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omments2.xml" ContentType="application/vnd.openxmlformats-officedocument.spreadsheetml.comments+xml"/>
  <Override PartName="/xl/drawings/drawing3.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C:\Users\chris.griffin\OneDrive - Home Instead Senior Care UK Ltd\Prediction League\"/>
    </mc:Choice>
  </mc:AlternateContent>
  <xr:revisionPtr revIDLastSave="0" documentId="8_{04914E4D-91FC-4516-9695-60E97B03E085}" xr6:coauthVersionLast="43" xr6:coauthVersionMax="43" xr10:uidLastSave="{00000000-0000-0000-0000-000000000000}"/>
  <bookViews>
    <workbookView xWindow="-108" yWindow="-108" windowWidth="23256" windowHeight="12600" tabRatio="601" activeTab="1"/>
  </bookViews>
  <sheets>
    <sheet name="Menu" sheetId="52" r:id="rId1"/>
    <sheet name="Table" sheetId="22" r:id="rId2"/>
    <sheet name="Weekly" sheetId="2" r:id="rId3"/>
    <sheet name="Cup" sheetId="25" r:id="rId4"/>
    <sheet name="Fixture" sheetId="23" r:id="rId5"/>
    <sheet name="Predictions" sheetId="24" r:id="rId6"/>
    <sheet name="Diary" sheetId="9" r:id="rId7"/>
    <sheet name="Players" sheetId="44" r:id="rId8"/>
    <sheet name="Match" sheetId="7" r:id="rId9"/>
    <sheet name="CupDraw" sheetId="13" r:id="rId10"/>
    <sheet name="Picks" sheetId="5" r:id="rId11"/>
    <sheet name="Picks2" sheetId="47" r:id="rId12"/>
    <sheet name="Results" sheetId="1" r:id="rId13"/>
    <sheet name="3of3" sheetId="50" r:id="rId14"/>
    <sheet name="TopPicks" sheetId="39" r:id="rId15"/>
    <sheet name="Pics" sheetId="34" r:id="rId16"/>
    <sheet name="Prizelist" sheetId="10" r:id="rId17"/>
    <sheet name="Prizes" sheetId="48" r:id="rId18"/>
    <sheet name="MiniLeagues" sheetId="54" r:id="rId19"/>
    <sheet name="FAQ" sheetId="42" r:id="rId20"/>
    <sheet name="PizzaRace" sheetId="55" r:id="rId21"/>
    <sheet name="Sample" sheetId="6" r:id="rId22"/>
    <sheet name="Odds" sheetId="3" r:id="rId23"/>
  </sheets>
  <definedNames>
    <definedName name="_xlnm._FilterDatabase" localSheetId="8" hidden="1">Match!$A$1:$X$47</definedName>
    <definedName name="_xlnm._FilterDatabase" localSheetId="10" hidden="1">Picks!$A$1:$N$196</definedName>
    <definedName name="_xlnm._FilterDatabase" localSheetId="11" hidden="1">Picks2!$A$1:$M$196</definedName>
    <definedName name="_xlnm._FilterDatabase" localSheetId="7" hidden="1">Players!$A$1:$H$101</definedName>
    <definedName name="_xlnm._FilterDatabase" localSheetId="12" hidden="1">Results!$A$1:$AI$271</definedName>
    <definedName name="_xlnm._FilterDatabase" localSheetId="1" hidden="1">Table!$A$1:$P$63</definedName>
    <definedName name="_xlnm._FilterDatabase" localSheetId="2" hidden="1">Weekly!$A$1:$BZ$66</definedName>
    <definedName name="all_scores" localSheetId="11">Weekly!#REF!</definedName>
    <definedName name="all_scores" localSheetId="1">Weekly!#REF!</definedName>
    <definedName name="all_scores">Weekly!#REF!</definedName>
    <definedName name="choices">Odds!$E$2:$E$139</definedName>
    <definedName name="entrants">Prizelist!$B$1</definedName>
    <definedName name="game1">PizzaRace!$B$6</definedName>
    <definedName name="game2">PizzaRace!$B$7</definedName>
    <definedName name="game3">PizzaRace!$B$8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9">CupDraw!$G$1:$AC$93</definedName>
    <definedName name="_xlnm.Print_Area" localSheetId="6">Diary!$B$3:$J$47</definedName>
    <definedName name="_xlnm.Print_Area" localSheetId="19">FAQ!$A$1:$C$78</definedName>
    <definedName name="_xlnm.Print_Area" localSheetId="4">Fixture!$A$1:$C$47</definedName>
    <definedName name="_xlnm.Print_Area" localSheetId="22">Odds!$A$1:$C$46</definedName>
    <definedName name="_xlnm.Print_Area" localSheetId="10">Picks!$A$1:$N$184</definedName>
    <definedName name="_xlnm.Print_Area" localSheetId="11">Picks2!$A$1:$M$184</definedName>
    <definedName name="_xlnm.Print_Area" localSheetId="15">Pics!$B$1:$AF$33</definedName>
    <definedName name="_xlnm.Print_Area" localSheetId="20">PizzaRace!$B$2:$O$50</definedName>
    <definedName name="_xlnm.Print_Area" localSheetId="5">Predictions!$A$1:$G$184</definedName>
    <definedName name="_xlnm.Print_Area" localSheetId="16">Prizelist!$A$1:$B$27</definedName>
    <definedName name="_xlnm.Print_Area" localSheetId="12">Results!$I$1:$W$62</definedName>
    <definedName name="_xlnm.Print_Area" localSheetId="21">Sample!$A$1:$S$7</definedName>
    <definedName name="_xlnm.Print_Area" localSheetId="1">Table!$A$1:$P$70</definedName>
    <definedName name="_xlnm.Print_Area" localSheetId="2">Weekly!$A$1:$O$12</definedName>
    <definedName name="thisweekscore">Weekly!$H$2:$H$66</definedName>
    <definedName name="TopMaxScores">Picks!$AI$2:$AI$66</definedName>
    <definedName name="TopScores">Picks!$AD$2:$AD$66</definedName>
    <definedName name="totalscores">Weekly!$F$2:$F$66</definedName>
    <definedName name="twentysixth">Prizelist!#REF!</definedName>
  </definedNames>
  <calcPr calcId="191029"/>
  <pivotCaches>
    <pivotCache cacheId="19" r:id="rId24"/>
    <pivotCache cacheId="20" r:id="rId25"/>
    <pivotCache cacheId="21" r:id="rId26"/>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 i="34" l="1"/>
  <c r="L14" i="34"/>
  <c r="A2" i="3"/>
  <c r="B2" i="3"/>
  <c r="A3" i="3"/>
  <c r="B3" i="3"/>
  <c r="A4" i="3"/>
  <c r="B4" i="3"/>
  <c r="A5" i="3"/>
  <c r="B5" i="3"/>
  <c r="A6" i="3"/>
  <c r="B6" i="3"/>
  <c r="A7" i="3"/>
  <c r="B7" i="3"/>
  <c r="A8" i="3"/>
  <c r="B8" i="3"/>
  <c r="A9" i="3"/>
  <c r="B9" i="3"/>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A42" i="3"/>
  <c r="B42" i="3"/>
  <c r="A43" i="3"/>
  <c r="B43" i="3"/>
  <c r="A44" i="3"/>
  <c r="B44" i="3"/>
  <c r="A45" i="3"/>
  <c r="B45" i="3"/>
  <c r="A46" i="3"/>
  <c r="B46" i="3"/>
  <c r="A47" i="3"/>
  <c r="B47" i="3"/>
  <c r="I3" i="6"/>
  <c r="J3" i="6"/>
  <c r="K3" i="6"/>
  <c r="L3" i="6"/>
  <c r="M3" i="6"/>
  <c r="N3" i="6"/>
  <c r="O3" i="6"/>
  <c r="P3" i="6"/>
  <c r="Q3" i="6"/>
  <c r="R3" i="6"/>
  <c r="L6" i="6"/>
  <c r="M6" i="6"/>
  <c r="I10" i="6"/>
  <c r="J10" i="6"/>
  <c r="K10" i="6"/>
  <c r="L10" i="6"/>
  <c r="M10" i="6"/>
  <c r="N10" i="6"/>
  <c r="O10" i="6"/>
  <c r="P10" i="6"/>
  <c r="Q10" i="6"/>
  <c r="R10" i="6"/>
  <c r="E11" i="6"/>
  <c r="F11" i="6"/>
  <c r="E12" i="6"/>
  <c r="F12" i="6"/>
  <c r="E13" i="6"/>
  <c r="F13" i="6"/>
  <c r="L13" i="6"/>
  <c r="M13" i="6"/>
  <c r="I17" i="6"/>
  <c r="J17" i="6"/>
  <c r="K17" i="6"/>
  <c r="L17" i="6"/>
  <c r="M17" i="6"/>
  <c r="N17" i="6"/>
  <c r="O17" i="6"/>
  <c r="P17" i="6"/>
  <c r="Q17" i="6"/>
  <c r="R17" i="6"/>
  <c r="E18" i="6"/>
  <c r="F18" i="6"/>
  <c r="E19" i="6"/>
  <c r="F19" i="6"/>
  <c r="E20" i="6"/>
  <c r="F20" i="6"/>
  <c r="L20" i="6"/>
  <c r="M20" i="6"/>
  <c r="I24" i="6"/>
  <c r="J24" i="6"/>
  <c r="K24" i="6"/>
  <c r="L24" i="6"/>
  <c r="M24" i="6"/>
  <c r="N24" i="6"/>
  <c r="O24" i="6"/>
  <c r="P24" i="6"/>
  <c r="Q24" i="6"/>
  <c r="R24" i="6"/>
  <c r="E25" i="6"/>
  <c r="F25" i="6"/>
  <c r="E26" i="6"/>
  <c r="F26" i="6"/>
  <c r="E27" i="6"/>
  <c r="F27" i="6"/>
  <c r="L27" i="6"/>
  <c r="M27" i="6"/>
  <c r="O4" i="55"/>
  <c r="L8" i="55"/>
  <c r="B13" i="55"/>
  <c r="B14" i="55"/>
  <c r="B15" i="55"/>
  <c r="L15" i="55"/>
  <c r="B20" i="55"/>
  <c r="B21" i="55"/>
  <c r="B22" i="55"/>
  <c r="L22" i="55"/>
  <c r="B27" i="55"/>
  <c r="B28" i="55"/>
  <c r="B29" i="55"/>
  <c r="L29" i="55"/>
  <c r="B34" i="55"/>
  <c r="B35" i="55"/>
  <c r="B36" i="55"/>
  <c r="L36" i="55"/>
  <c r="B41" i="55"/>
  <c r="B42" i="55"/>
  <c r="B43" i="55"/>
  <c r="L43" i="55"/>
  <c r="B48" i="55"/>
  <c r="B49" i="55"/>
  <c r="B50" i="55"/>
  <c r="L50" i="55"/>
  <c r="C7" i="54"/>
  <c r="C8" i="54"/>
  <c r="C9" i="54"/>
  <c r="C10" i="54"/>
  <c r="C11" i="54"/>
  <c r="C12" i="54"/>
  <c r="C13" i="54"/>
  <c r="C14" i="54"/>
  <c r="C15" i="54"/>
  <c r="C16" i="54"/>
  <c r="C17" i="54"/>
  <c r="C18" i="54"/>
  <c r="C19" i="54"/>
  <c r="C20" i="54"/>
  <c r="C21" i="54"/>
  <c r="C22" i="54"/>
  <c r="C23" i="54"/>
  <c r="C24" i="54"/>
  <c r="C25" i="54"/>
  <c r="C26" i="54"/>
  <c r="C27" i="54"/>
  <c r="C28" i="54"/>
  <c r="C29" i="54"/>
  <c r="C30" i="54"/>
  <c r="A2" i="48"/>
  <c r="M2" i="48"/>
  <c r="I1" i="48"/>
  <c r="I5" i="48"/>
  <c r="A3" i="48"/>
  <c r="A4" i="48"/>
  <c r="A5" i="48"/>
  <c r="A6" i="48"/>
  <c r="L6" i="48"/>
  <c r="A7" i="48"/>
  <c r="A8" i="48"/>
  <c r="A9" i="48"/>
  <c r="A10" i="48"/>
  <c r="A11" i="48"/>
  <c r="A12" i="48"/>
  <c r="A13" i="48"/>
  <c r="A14" i="48"/>
  <c r="A15" i="48"/>
  <c r="A16" i="48"/>
  <c r="A17" i="48"/>
  <c r="A18" i="48"/>
  <c r="A19" i="48"/>
  <c r="A20" i="48"/>
  <c r="A21" i="48"/>
  <c r="A22" i="48"/>
  <c r="A23" i="48"/>
  <c r="A24" i="48"/>
  <c r="A25" i="48"/>
  <c r="A26" i="48"/>
  <c r="A27" i="48"/>
  <c r="A28" i="48"/>
  <c r="A29" i="48"/>
  <c r="A30" i="48"/>
  <c r="A31" i="48"/>
  <c r="A32" i="48"/>
  <c r="A33" i="48"/>
  <c r="A34" i="48"/>
  <c r="A35" i="48"/>
  <c r="A36" i="48"/>
  <c r="A37" i="48"/>
  <c r="A38" i="48"/>
  <c r="A39" i="48"/>
  <c r="A40" i="48"/>
  <c r="A41" i="48"/>
  <c r="A42" i="48"/>
  <c r="A43" i="48"/>
  <c r="A44" i="48"/>
  <c r="A45" i="48"/>
  <c r="A46" i="48"/>
  <c r="A47" i="48"/>
  <c r="A48" i="48"/>
  <c r="A49" i="48"/>
  <c r="A50" i="48"/>
  <c r="A51" i="48"/>
  <c r="A52" i="48"/>
  <c r="A53" i="48"/>
  <c r="A54" i="48"/>
  <c r="F54" i="48"/>
  <c r="A55" i="48"/>
  <c r="A56" i="48"/>
  <c r="A57" i="48"/>
  <c r="A58" i="48"/>
  <c r="A59" i="48"/>
  <c r="A60" i="48"/>
  <c r="A61" i="48"/>
  <c r="A62" i="48"/>
  <c r="A63" i="48"/>
  <c r="A64" i="48"/>
  <c r="A65" i="48"/>
  <c r="A66" i="48"/>
  <c r="A67" i="48"/>
  <c r="A68" i="48"/>
  <c r="A69" i="48"/>
  <c r="A70" i="48"/>
  <c r="A71" i="48"/>
  <c r="A72" i="48"/>
  <c r="A73" i="48"/>
  <c r="A74" i="48"/>
  <c r="A75" i="48"/>
  <c r="A76" i="48"/>
  <c r="A77" i="48"/>
  <c r="A78" i="48"/>
  <c r="A79" i="48"/>
  <c r="A80" i="48"/>
  <c r="A81" i="48"/>
  <c r="A82" i="48"/>
  <c r="A83" i="48"/>
  <c r="A84" i="48"/>
  <c r="A85" i="48"/>
  <c r="A86" i="48"/>
  <c r="A87" i="48"/>
  <c r="A88" i="48"/>
  <c r="A89" i="48"/>
  <c r="A90" i="48"/>
  <c r="A91" i="48"/>
  <c r="A92" i="48"/>
  <c r="A93" i="48"/>
  <c r="A94" i="48"/>
  <c r="A95" i="48"/>
  <c r="A96" i="48"/>
  <c r="A97" i="48"/>
  <c r="A98" i="48"/>
  <c r="A99" i="48"/>
  <c r="A100" i="48"/>
  <c r="A101" i="48"/>
  <c r="B3" i="10"/>
  <c r="B8" i="10"/>
  <c r="B13" i="10"/>
  <c r="C4" i="34"/>
  <c r="K25" i="34"/>
  <c r="K26" i="34"/>
  <c r="K27" i="34"/>
  <c r="K28" i="34"/>
  <c r="B2" i="1"/>
  <c r="A2" i="5"/>
  <c r="I2" i="1"/>
  <c r="W2" i="1"/>
  <c r="AJ2" i="1"/>
  <c r="I3" i="1"/>
  <c r="W3" i="1"/>
  <c r="AJ3" i="1"/>
  <c r="I4" i="1"/>
  <c r="W4" i="1"/>
  <c r="AJ4" i="1"/>
  <c r="B5" i="1"/>
  <c r="I5" i="1"/>
  <c r="W5" i="1"/>
  <c r="AJ5" i="1"/>
  <c r="I6" i="1"/>
  <c r="W6" i="1"/>
  <c r="AJ6" i="1"/>
  <c r="I7" i="1"/>
  <c r="W7" i="1"/>
  <c r="AJ7" i="1"/>
  <c r="B8" i="1"/>
  <c r="A8" i="5"/>
  <c r="A9" i="5"/>
  <c r="I8" i="1"/>
  <c r="W8" i="1"/>
  <c r="AJ8" i="1"/>
  <c r="I9" i="1"/>
  <c r="W9" i="1"/>
  <c r="AJ9" i="1"/>
  <c r="I10" i="1"/>
  <c r="W10" i="1"/>
  <c r="AJ10" i="1"/>
  <c r="B11" i="1"/>
  <c r="I11" i="1"/>
  <c r="W11" i="1"/>
  <c r="AJ11" i="1"/>
  <c r="I12" i="1"/>
  <c r="W12" i="1"/>
  <c r="AJ12" i="1"/>
  <c r="I13" i="1"/>
  <c r="W13" i="1"/>
  <c r="AJ13" i="1"/>
  <c r="B14" i="1"/>
  <c r="A14" i="47"/>
  <c r="I14" i="1"/>
  <c r="W14" i="1"/>
  <c r="AJ14" i="1"/>
  <c r="I15" i="1"/>
  <c r="W15" i="1"/>
  <c r="AJ15" i="1"/>
  <c r="I16" i="1"/>
  <c r="W16" i="1"/>
  <c r="AJ16" i="1"/>
  <c r="B17" i="1"/>
  <c r="A17" i="47"/>
  <c r="I17" i="1"/>
  <c r="W17" i="1"/>
  <c r="AJ17" i="1"/>
  <c r="I18" i="1"/>
  <c r="W18" i="1"/>
  <c r="AJ18" i="1"/>
  <c r="I19" i="1"/>
  <c r="W19" i="1"/>
  <c r="AJ19" i="1"/>
  <c r="B20" i="1"/>
  <c r="A20" i="47"/>
  <c r="A21" i="47"/>
  <c r="I20" i="1"/>
  <c r="W20" i="1"/>
  <c r="AJ20" i="1"/>
  <c r="I21" i="1"/>
  <c r="W21" i="1"/>
  <c r="AJ21" i="1"/>
  <c r="I22" i="1"/>
  <c r="W22" i="1"/>
  <c r="AJ22" i="1"/>
  <c r="B23" i="1"/>
  <c r="I23" i="1"/>
  <c r="W23" i="1"/>
  <c r="AJ23" i="1"/>
  <c r="I24" i="1"/>
  <c r="W24" i="1"/>
  <c r="AJ24" i="1"/>
  <c r="I25" i="1"/>
  <c r="W25" i="1"/>
  <c r="AJ25" i="1"/>
  <c r="B26" i="1"/>
  <c r="A26" i="5"/>
  <c r="A27" i="5"/>
  <c r="I26" i="1"/>
  <c r="W26" i="1"/>
  <c r="AJ26" i="1"/>
  <c r="I27" i="1"/>
  <c r="W27" i="1"/>
  <c r="AJ27" i="1"/>
  <c r="I28" i="1"/>
  <c r="W28" i="1"/>
  <c r="AJ28" i="1"/>
  <c r="B29" i="1"/>
  <c r="A29" i="47"/>
  <c r="A30" i="47"/>
  <c r="I29" i="1"/>
  <c r="W29" i="1"/>
  <c r="AJ29" i="1"/>
  <c r="I30" i="1"/>
  <c r="W30" i="1"/>
  <c r="AJ30" i="1"/>
  <c r="I31" i="1"/>
  <c r="W31" i="1"/>
  <c r="AJ31" i="1"/>
  <c r="B32" i="1"/>
  <c r="A32" i="47"/>
  <c r="I32" i="1"/>
  <c r="W32" i="1"/>
  <c r="AJ32" i="1"/>
  <c r="I33" i="1"/>
  <c r="W33" i="1"/>
  <c r="AJ33" i="1"/>
  <c r="I34" i="1"/>
  <c r="W34" i="1"/>
  <c r="AJ34" i="1"/>
  <c r="B35" i="1"/>
  <c r="A35" i="47"/>
  <c r="I35" i="1"/>
  <c r="W35" i="1"/>
  <c r="AJ35" i="1"/>
  <c r="I36" i="1"/>
  <c r="W36" i="1"/>
  <c r="AJ36" i="1"/>
  <c r="I37" i="1"/>
  <c r="W37" i="1"/>
  <c r="AJ37" i="1"/>
  <c r="B38" i="1"/>
  <c r="A38" i="47"/>
  <c r="I38" i="1"/>
  <c r="W38" i="1"/>
  <c r="AJ38" i="1"/>
  <c r="I39" i="1"/>
  <c r="W39" i="1"/>
  <c r="AJ39" i="1"/>
  <c r="I40" i="1"/>
  <c r="W40" i="1"/>
  <c r="AJ40" i="1"/>
  <c r="B41" i="1"/>
  <c r="A41" i="47"/>
  <c r="I41" i="1"/>
  <c r="W41" i="1"/>
  <c r="AJ41" i="1"/>
  <c r="I42" i="1"/>
  <c r="W42" i="1"/>
  <c r="AJ42" i="1"/>
  <c r="I43" i="1"/>
  <c r="W43" i="1"/>
  <c r="AJ43" i="1"/>
  <c r="B44" i="1"/>
  <c r="A44" i="5"/>
  <c r="I44" i="1"/>
  <c r="W44" i="1"/>
  <c r="AJ44" i="1"/>
  <c r="I45" i="1"/>
  <c r="W45" i="1"/>
  <c r="AJ45" i="1"/>
  <c r="I46" i="1"/>
  <c r="W46" i="1"/>
  <c r="AJ46" i="1"/>
  <c r="B47" i="1"/>
  <c r="A47" i="47"/>
  <c r="I47" i="1"/>
  <c r="W47" i="1"/>
  <c r="AJ47" i="1"/>
  <c r="I48" i="1"/>
  <c r="W48" i="1"/>
  <c r="AJ48" i="1"/>
  <c r="I49" i="1"/>
  <c r="W49" i="1"/>
  <c r="AJ49" i="1"/>
  <c r="B50" i="1"/>
  <c r="A50" i="47"/>
  <c r="I50" i="1"/>
  <c r="W50" i="1"/>
  <c r="AJ50" i="1"/>
  <c r="I51" i="1"/>
  <c r="W51" i="1"/>
  <c r="AJ51" i="1"/>
  <c r="I52" i="1"/>
  <c r="W52" i="1"/>
  <c r="AJ52" i="1"/>
  <c r="B53" i="1"/>
  <c r="I53" i="1"/>
  <c r="W53" i="1"/>
  <c r="AJ53" i="1"/>
  <c r="I54" i="1"/>
  <c r="W54" i="1"/>
  <c r="AJ54" i="1"/>
  <c r="I55" i="1"/>
  <c r="W55" i="1"/>
  <c r="AJ55" i="1"/>
  <c r="B56" i="1"/>
  <c r="A56" i="47"/>
  <c r="A58" i="47"/>
  <c r="I56" i="1"/>
  <c r="W56" i="1"/>
  <c r="AJ56" i="1"/>
  <c r="I57" i="1"/>
  <c r="W57" i="1"/>
  <c r="AJ57" i="1"/>
  <c r="I58" i="1"/>
  <c r="W58" i="1"/>
  <c r="AJ58" i="1"/>
  <c r="B59" i="1"/>
  <c r="A59" i="5"/>
  <c r="A59" i="24"/>
  <c r="I59" i="1"/>
  <c r="W59" i="1"/>
  <c r="AJ59" i="1"/>
  <c r="I60" i="1"/>
  <c r="W60" i="1"/>
  <c r="AJ60" i="1"/>
  <c r="I61" i="1"/>
  <c r="W61" i="1"/>
  <c r="AJ61" i="1"/>
  <c r="B62" i="1"/>
  <c r="I62" i="1"/>
  <c r="W62" i="1"/>
  <c r="AJ62" i="1"/>
  <c r="I63" i="1"/>
  <c r="W63" i="1"/>
  <c r="AJ63" i="1"/>
  <c r="I64" i="1"/>
  <c r="W64" i="1"/>
  <c r="AJ64" i="1"/>
  <c r="B65" i="1"/>
  <c r="A65" i="47"/>
  <c r="I65" i="1"/>
  <c r="W65" i="1"/>
  <c r="AJ65" i="1"/>
  <c r="I66" i="1"/>
  <c r="W66" i="1"/>
  <c r="AJ66" i="1"/>
  <c r="I67" i="1"/>
  <c r="B68" i="1"/>
  <c r="I68" i="1"/>
  <c r="I69" i="1"/>
  <c r="I70" i="1"/>
  <c r="B71" i="1"/>
  <c r="A71" i="5"/>
  <c r="I71" i="1"/>
  <c r="I72" i="1"/>
  <c r="I73" i="1"/>
  <c r="B74" i="1"/>
  <c r="I74" i="1"/>
  <c r="I75" i="1"/>
  <c r="I76" i="1"/>
  <c r="B77" i="1"/>
  <c r="A77" i="47"/>
  <c r="A78" i="47"/>
  <c r="I77" i="1"/>
  <c r="I78" i="1"/>
  <c r="I79" i="1"/>
  <c r="B80" i="1"/>
  <c r="A80" i="5"/>
  <c r="I80" i="1"/>
  <c r="I81" i="1"/>
  <c r="I82" i="1"/>
  <c r="B83" i="1"/>
  <c r="A83" i="47"/>
  <c r="I83" i="1"/>
  <c r="I84" i="1"/>
  <c r="I85" i="1"/>
  <c r="B86" i="1"/>
  <c r="A86" i="47"/>
  <c r="I86" i="1"/>
  <c r="I87" i="1"/>
  <c r="I88" i="1"/>
  <c r="B89" i="1"/>
  <c r="A89" i="47"/>
  <c r="I89" i="1"/>
  <c r="I90" i="1"/>
  <c r="I91" i="1"/>
  <c r="B92" i="1"/>
  <c r="A92" i="5"/>
  <c r="I92" i="1"/>
  <c r="I93" i="1"/>
  <c r="I94" i="1"/>
  <c r="B95" i="1"/>
  <c r="A95" i="47"/>
  <c r="I95" i="1"/>
  <c r="I96" i="1"/>
  <c r="I97" i="1"/>
  <c r="B98" i="1"/>
  <c r="I98" i="1"/>
  <c r="I99" i="1"/>
  <c r="I100" i="1"/>
  <c r="B101" i="1"/>
  <c r="A101" i="47"/>
  <c r="I101" i="1"/>
  <c r="I102" i="1"/>
  <c r="I103" i="1"/>
  <c r="B104" i="1"/>
  <c r="A104" i="47"/>
  <c r="I104" i="1"/>
  <c r="I105" i="1"/>
  <c r="I106" i="1"/>
  <c r="B107" i="1"/>
  <c r="A107" i="47"/>
  <c r="I107" i="1"/>
  <c r="I108" i="1"/>
  <c r="I109" i="1"/>
  <c r="B110" i="1"/>
  <c r="A110" i="47"/>
  <c r="I110" i="1"/>
  <c r="I111" i="1"/>
  <c r="I112" i="1"/>
  <c r="B113" i="1"/>
  <c r="I113" i="1"/>
  <c r="I114" i="1"/>
  <c r="I115" i="1"/>
  <c r="B116" i="1"/>
  <c r="A116" i="47"/>
  <c r="I116" i="1"/>
  <c r="I117" i="1"/>
  <c r="I118" i="1"/>
  <c r="B119" i="1"/>
  <c r="A119" i="47"/>
  <c r="I119" i="1"/>
  <c r="I120" i="1"/>
  <c r="I121" i="1"/>
  <c r="B122" i="1"/>
  <c r="A122" i="47"/>
  <c r="I122" i="1"/>
  <c r="I123" i="1"/>
  <c r="I124" i="1"/>
  <c r="B125" i="1"/>
  <c r="A125" i="47"/>
  <c r="I125" i="1"/>
  <c r="I126" i="1"/>
  <c r="I127" i="1"/>
  <c r="B128" i="1"/>
  <c r="A128" i="47"/>
  <c r="I128" i="1"/>
  <c r="I129" i="1"/>
  <c r="I130" i="1"/>
  <c r="B131" i="1"/>
  <c r="I131" i="1"/>
  <c r="I132" i="1"/>
  <c r="I133" i="1"/>
  <c r="B134" i="1"/>
  <c r="I134" i="1"/>
  <c r="I135" i="1"/>
  <c r="I136" i="1"/>
  <c r="B137" i="1"/>
  <c r="A137" i="5"/>
  <c r="I137" i="1"/>
  <c r="I138" i="1"/>
  <c r="I139" i="1"/>
  <c r="B140" i="1"/>
  <c r="A140" i="5"/>
  <c r="I140" i="1"/>
  <c r="I141" i="1"/>
  <c r="I142" i="1"/>
  <c r="B143" i="1"/>
  <c r="A143" i="47"/>
  <c r="I143" i="1"/>
  <c r="I144" i="1"/>
  <c r="I145" i="1"/>
  <c r="B146" i="1"/>
  <c r="A146" i="47"/>
  <c r="I146" i="1"/>
  <c r="I147" i="1"/>
  <c r="I148" i="1"/>
  <c r="B149" i="1"/>
  <c r="A149" i="47"/>
  <c r="I149" i="1"/>
  <c r="I150" i="1"/>
  <c r="I151" i="1"/>
  <c r="B152" i="1"/>
  <c r="A152" i="5"/>
  <c r="A152" i="24"/>
  <c r="I152" i="1"/>
  <c r="I153" i="1"/>
  <c r="I154" i="1"/>
  <c r="B155" i="1"/>
  <c r="A155" i="47"/>
  <c r="I155" i="1"/>
  <c r="I156" i="1"/>
  <c r="I157" i="1"/>
  <c r="B158" i="1"/>
  <c r="A158" i="47"/>
  <c r="I158" i="1"/>
  <c r="I159" i="1"/>
  <c r="I160" i="1"/>
  <c r="B161" i="1"/>
  <c r="A161" i="47"/>
  <c r="I161" i="1"/>
  <c r="I162" i="1"/>
  <c r="I163" i="1"/>
  <c r="B164" i="1"/>
  <c r="A164" i="5"/>
  <c r="I164" i="1"/>
  <c r="I165" i="1"/>
  <c r="I166" i="1"/>
  <c r="B167" i="1"/>
  <c r="A167" i="47"/>
  <c r="I167" i="1"/>
  <c r="I168" i="1"/>
  <c r="I169" i="1"/>
  <c r="B170" i="1"/>
  <c r="A170" i="47"/>
  <c r="I170" i="1"/>
  <c r="I171" i="1"/>
  <c r="I172" i="1"/>
  <c r="B173" i="1"/>
  <c r="I173" i="1"/>
  <c r="I174" i="1"/>
  <c r="I175" i="1"/>
  <c r="B176" i="1"/>
  <c r="I176" i="1"/>
  <c r="I177" i="1"/>
  <c r="I178" i="1"/>
  <c r="B179" i="1"/>
  <c r="A179" i="47"/>
  <c r="I179" i="1"/>
  <c r="I180" i="1"/>
  <c r="I181" i="1"/>
  <c r="B182" i="1"/>
  <c r="A182" i="47"/>
  <c r="I182" i="1"/>
  <c r="I183" i="1"/>
  <c r="I184" i="1"/>
  <c r="B185" i="1"/>
  <c r="A185" i="5"/>
  <c r="A186" i="5"/>
  <c r="I185" i="1"/>
  <c r="I186" i="1"/>
  <c r="I187" i="1"/>
  <c r="B188" i="1"/>
  <c r="A188" i="5"/>
  <c r="I188" i="1"/>
  <c r="I189" i="1"/>
  <c r="I190" i="1"/>
  <c r="B191" i="1"/>
  <c r="I191" i="1"/>
  <c r="I192" i="1"/>
  <c r="I193" i="1"/>
  <c r="B194" i="1"/>
  <c r="I194" i="1"/>
  <c r="I195" i="1"/>
  <c r="I196" i="1"/>
  <c r="I197" i="1"/>
  <c r="I198" i="1"/>
  <c r="I199" i="1"/>
  <c r="B2" i="47"/>
  <c r="C2" i="47"/>
  <c r="D2" i="47"/>
  <c r="E2" i="47"/>
  <c r="F2" i="47"/>
  <c r="G2" i="47"/>
  <c r="H2" i="47"/>
  <c r="B3" i="47"/>
  <c r="C3" i="47"/>
  <c r="D3" i="47"/>
  <c r="E3" i="47"/>
  <c r="B4" i="47"/>
  <c r="C4" i="47"/>
  <c r="D4" i="47"/>
  <c r="E4" i="47"/>
  <c r="A5" i="47"/>
  <c r="A6" i="47"/>
  <c r="B5" i="47"/>
  <c r="C5" i="47"/>
  <c r="D5" i="47"/>
  <c r="E5" i="47"/>
  <c r="F5" i="47"/>
  <c r="G5" i="47"/>
  <c r="H5" i="47"/>
  <c r="B6" i="47"/>
  <c r="C6" i="47"/>
  <c r="D6" i="47"/>
  <c r="E6" i="47"/>
  <c r="B7" i="47"/>
  <c r="C7" i="47"/>
  <c r="D7" i="47"/>
  <c r="E7" i="47"/>
  <c r="B8" i="47"/>
  <c r="C8" i="47"/>
  <c r="D8" i="47"/>
  <c r="E8" i="47"/>
  <c r="F8" i="47"/>
  <c r="G8" i="47"/>
  <c r="H8" i="47"/>
  <c r="B9" i="47"/>
  <c r="C9" i="47"/>
  <c r="D9" i="47"/>
  <c r="E9" i="47"/>
  <c r="B10" i="47"/>
  <c r="C10" i="47"/>
  <c r="D10" i="47"/>
  <c r="E10" i="47"/>
  <c r="A11" i="47"/>
  <c r="A12" i="47"/>
  <c r="B11" i="47"/>
  <c r="C11" i="47"/>
  <c r="D11" i="47"/>
  <c r="E11" i="47"/>
  <c r="F11" i="47"/>
  <c r="G11" i="47"/>
  <c r="H11" i="47"/>
  <c r="B12" i="47"/>
  <c r="C12" i="47"/>
  <c r="D12" i="47"/>
  <c r="E12" i="47"/>
  <c r="A13" i="47"/>
  <c r="B13" i="47"/>
  <c r="C13" i="47"/>
  <c r="D13" i="47"/>
  <c r="E13" i="47"/>
  <c r="B14" i="47"/>
  <c r="C14" i="47"/>
  <c r="D14" i="47"/>
  <c r="E14" i="47"/>
  <c r="F14" i="47"/>
  <c r="G14" i="47"/>
  <c r="H14" i="47"/>
  <c r="B15" i="47"/>
  <c r="C15" i="47"/>
  <c r="D15" i="47"/>
  <c r="E15" i="47"/>
  <c r="B16" i="47"/>
  <c r="C16" i="47"/>
  <c r="D16" i="47"/>
  <c r="E16" i="47"/>
  <c r="B17" i="47"/>
  <c r="C17" i="47"/>
  <c r="D17" i="47"/>
  <c r="E17" i="47"/>
  <c r="F17" i="47"/>
  <c r="G17" i="47"/>
  <c r="H17" i="47"/>
  <c r="B18" i="47"/>
  <c r="C18" i="47"/>
  <c r="D18" i="47"/>
  <c r="E18" i="47"/>
  <c r="B19" i="47"/>
  <c r="C19" i="47"/>
  <c r="D19" i="47"/>
  <c r="E19" i="47"/>
  <c r="B20" i="47"/>
  <c r="C20" i="47"/>
  <c r="D20" i="47"/>
  <c r="E20" i="47"/>
  <c r="F20" i="47"/>
  <c r="G20" i="47"/>
  <c r="H20" i="47"/>
  <c r="B21" i="47"/>
  <c r="C21" i="47"/>
  <c r="D21" i="47"/>
  <c r="E21" i="47"/>
  <c r="B22" i="47"/>
  <c r="C22" i="47"/>
  <c r="D22" i="47"/>
  <c r="E22" i="47"/>
  <c r="A23" i="47"/>
  <c r="B23" i="47"/>
  <c r="C23" i="47"/>
  <c r="D23" i="47"/>
  <c r="E23" i="47"/>
  <c r="F23" i="47"/>
  <c r="G23" i="47"/>
  <c r="H23" i="47"/>
  <c r="B24" i="47"/>
  <c r="C24" i="47"/>
  <c r="D24" i="47"/>
  <c r="E24" i="47"/>
  <c r="B25" i="47"/>
  <c r="C25" i="47"/>
  <c r="D25" i="47"/>
  <c r="E25" i="47"/>
  <c r="B26" i="47"/>
  <c r="C26" i="47"/>
  <c r="D26" i="47"/>
  <c r="E26" i="47"/>
  <c r="F26" i="47"/>
  <c r="G26" i="47"/>
  <c r="H26" i="47"/>
  <c r="B27" i="47"/>
  <c r="C27" i="47"/>
  <c r="D27" i="47"/>
  <c r="E27" i="47"/>
  <c r="B28" i="47"/>
  <c r="C28" i="47"/>
  <c r="D28" i="47"/>
  <c r="E28" i="47"/>
  <c r="B29" i="47"/>
  <c r="C29" i="47"/>
  <c r="D29" i="47"/>
  <c r="E29" i="47"/>
  <c r="F29" i="47"/>
  <c r="G29" i="47"/>
  <c r="H29" i="47"/>
  <c r="B30" i="47"/>
  <c r="C30" i="47"/>
  <c r="D30" i="47"/>
  <c r="E30" i="47"/>
  <c r="B31" i="47"/>
  <c r="C31" i="47"/>
  <c r="D31" i="47"/>
  <c r="E31" i="47"/>
  <c r="B32" i="47"/>
  <c r="C32" i="47"/>
  <c r="D32" i="47"/>
  <c r="E32" i="47"/>
  <c r="F32" i="47"/>
  <c r="G32" i="47"/>
  <c r="H32" i="47"/>
  <c r="B33" i="47"/>
  <c r="C33" i="47"/>
  <c r="D33" i="47"/>
  <c r="E33" i="47"/>
  <c r="B34" i="47"/>
  <c r="C34" i="47"/>
  <c r="D34" i="47"/>
  <c r="E34" i="47"/>
  <c r="B35" i="47"/>
  <c r="C35" i="47"/>
  <c r="D35" i="47"/>
  <c r="E35" i="47"/>
  <c r="F35" i="47"/>
  <c r="G35" i="47"/>
  <c r="H35" i="47"/>
  <c r="B36" i="47"/>
  <c r="C36" i="47"/>
  <c r="D36" i="47"/>
  <c r="E36" i="47"/>
  <c r="B37" i="47"/>
  <c r="C37" i="47"/>
  <c r="D37" i="47"/>
  <c r="E37" i="47"/>
  <c r="B38" i="47"/>
  <c r="C38" i="47"/>
  <c r="D38" i="47"/>
  <c r="E38" i="47"/>
  <c r="F38" i="47"/>
  <c r="G38" i="47"/>
  <c r="H38" i="47"/>
  <c r="B39" i="47"/>
  <c r="C39" i="47"/>
  <c r="D39" i="47"/>
  <c r="E39" i="47"/>
  <c r="B40" i="47"/>
  <c r="C40" i="47"/>
  <c r="D40" i="47"/>
  <c r="E40" i="47"/>
  <c r="B41" i="47"/>
  <c r="C41" i="47"/>
  <c r="D41" i="47"/>
  <c r="E41" i="47"/>
  <c r="F41" i="47"/>
  <c r="G41" i="47"/>
  <c r="H41" i="47"/>
  <c r="B42" i="47"/>
  <c r="C42" i="47"/>
  <c r="D42" i="47"/>
  <c r="E42" i="47"/>
  <c r="B43" i="47"/>
  <c r="C43" i="47"/>
  <c r="D43" i="47"/>
  <c r="E43" i="47"/>
  <c r="B44" i="47"/>
  <c r="C44" i="47"/>
  <c r="D44" i="47"/>
  <c r="E44" i="47"/>
  <c r="F44" i="47"/>
  <c r="G44" i="47"/>
  <c r="H44" i="47"/>
  <c r="B45" i="47"/>
  <c r="C45" i="47"/>
  <c r="D45" i="47"/>
  <c r="E45" i="47"/>
  <c r="B46" i="47"/>
  <c r="C46" i="47"/>
  <c r="D46" i="47"/>
  <c r="E46" i="47"/>
  <c r="B47" i="47"/>
  <c r="C47" i="47"/>
  <c r="D47" i="47"/>
  <c r="E47" i="47"/>
  <c r="F47" i="47"/>
  <c r="G47" i="47"/>
  <c r="H47" i="47"/>
  <c r="B48" i="47"/>
  <c r="C48" i="47"/>
  <c r="D48" i="47"/>
  <c r="E48" i="47"/>
  <c r="B49" i="47"/>
  <c r="C49" i="47"/>
  <c r="D49" i="47"/>
  <c r="E49" i="47"/>
  <c r="B50" i="47"/>
  <c r="C50" i="47"/>
  <c r="D50" i="47"/>
  <c r="E50" i="47"/>
  <c r="F50" i="47"/>
  <c r="G50" i="47"/>
  <c r="H50" i="47"/>
  <c r="B51" i="47"/>
  <c r="C51" i="47"/>
  <c r="D51" i="47"/>
  <c r="E51" i="47"/>
  <c r="B52" i="47"/>
  <c r="C52" i="47"/>
  <c r="D52" i="47"/>
  <c r="E52" i="47"/>
  <c r="A53" i="47"/>
  <c r="A55" i="47"/>
  <c r="B53" i="47"/>
  <c r="C53" i="47"/>
  <c r="D53" i="47"/>
  <c r="E53" i="47"/>
  <c r="F53" i="47"/>
  <c r="G53" i="47"/>
  <c r="H53" i="47"/>
  <c r="B54" i="47"/>
  <c r="C54" i="47"/>
  <c r="D54" i="47"/>
  <c r="E54" i="47"/>
  <c r="B55" i="47"/>
  <c r="C55" i="47"/>
  <c r="D55" i="47"/>
  <c r="E55" i="47"/>
  <c r="B56" i="47"/>
  <c r="C56" i="47"/>
  <c r="D56" i="47"/>
  <c r="E56" i="47"/>
  <c r="F56" i="47"/>
  <c r="G56" i="47"/>
  <c r="H56" i="47"/>
  <c r="B57" i="47"/>
  <c r="C57" i="47"/>
  <c r="D57" i="47"/>
  <c r="E57" i="47"/>
  <c r="B58" i="47"/>
  <c r="C58" i="47"/>
  <c r="D58" i="47"/>
  <c r="E58" i="47"/>
  <c r="A59" i="47"/>
  <c r="A61" i="47"/>
  <c r="B59" i="47"/>
  <c r="C59" i="47"/>
  <c r="D59" i="47"/>
  <c r="E59" i="47"/>
  <c r="F59" i="47"/>
  <c r="G59" i="47"/>
  <c r="H59" i="47"/>
  <c r="B60" i="47"/>
  <c r="C60" i="47"/>
  <c r="D60" i="47"/>
  <c r="E60" i="47"/>
  <c r="B61" i="47"/>
  <c r="C61" i="47"/>
  <c r="D61" i="47"/>
  <c r="E61" i="47"/>
  <c r="B62" i="47"/>
  <c r="C62" i="47"/>
  <c r="D62" i="47"/>
  <c r="E62" i="47"/>
  <c r="F62" i="47"/>
  <c r="G62" i="47"/>
  <c r="H62" i="47"/>
  <c r="B63" i="47"/>
  <c r="C63" i="47"/>
  <c r="D63" i="47"/>
  <c r="E63" i="47"/>
  <c r="B64" i="47"/>
  <c r="C64" i="47"/>
  <c r="D64" i="47"/>
  <c r="E64" i="47"/>
  <c r="B65" i="47"/>
  <c r="C65" i="47"/>
  <c r="D65" i="47"/>
  <c r="E65" i="47"/>
  <c r="F65" i="47"/>
  <c r="G65" i="47"/>
  <c r="H65" i="47"/>
  <c r="B66" i="47"/>
  <c r="C66" i="47"/>
  <c r="D66" i="47"/>
  <c r="E66" i="47"/>
  <c r="B67" i="47"/>
  <c r="C67" i="47"/>
  <c r="D67" i="47"/>
  <c r="E67" i="47"/>
  <c r="B68" i="47"/>
  <c r="C68" i="47"/>
  <c r="D68" i="47"/>
  <c r="E68" i="47"/>
  <c r="F68" i="47"/>
  <c r="G68" i="47"/>
  <c r="H68" i="47"/>
  <c r="B69" i="47"/>
  <c r="C69" i="47"/>
  <c r="D69" i="47"/>
  <c r="E69" i="47"/>
  <c r="B70" i="47"/>
  <c r="C70" i="47"/>
  <c r="D70" i="47"/>
  <c r="E70" i="47"/>
  <c r="B71" i="47"/>
  <c r="C71" i="47"/>
  <c r="D71" i="47"/>
  <c r="E71" i="47"/>
  <c r="F71" i="47"/>
  <c r="G71" i="47"/>
  <c r="H71" i="47"/>
  <c r="B72" i="47"/>
  <c r="C72" i="47"/>
  <c r="D72" i="47"/>
  <c r="E72" i="47"/>
  <c r="B73" i="47"/>
  <c r="C73" i="47"/>
  <c r="D73" i="47"/>
  <c r="E73" i="47"/>
  <c r="B74" i="47"/>
  <c r="C74" i="47"/>
  <c r="D74" i="47"/>
  <c r="E74" i="47"/>
  <c r="F74" i="47"/>
  <c r="G74" i="47"/>
  <c r="H74" i="47"/>
  <c r="B75" i="47"/>
  <c r="C75" i="47"/>
  <c r="D75" i="47"/>
  <c r="E75" i="47"/>
  <c r="B76" i="47"/>
  <c r="C76" i="47"/>
  <c r="D76" i="47"/>
  <c r="E76" i="47"/>
  <c r="B77" i="47"/>
  <c r="C77" i="47"/>
  <c r="D77" i="47"/>
  <c r="E77" i="47"/>
  <c r="F77" i="47"/>
  <c r="G77" i="47"/>
  <c r="H77" i="47"/>
  <c r="B78" i="47"/>
  <c r="C78" i="47"/>
  <c r="D78" i="47"/>
  <c r="E78" i="47"/>
  <c r="B79" i="47"/>
  <c r="C79" i="47"/>
  <c r="D79" i="47"/>
  <c r="E79" i="47"/>
  <c r="B80" i="47"/>
  <c r="C80" i="47"/>
  <c r="D80" i="47"/>
  <c r="E80" i="47"/>
  <c r="F80" i="47"/>
  <c r="G80" i="47"/>
  <c r="H80" i="47"/>
  <c r="B81" i="47"/>
  <c r="C81" i="47"/>
  <c r="D81" i="47"/>
  <c r="E81" i="47"/>
  <c r="B82" i="47"/>
  <c r="C82" i="47"/>
  <c r="D82" i="47"/>
  <c r="E82" i="47"/>
  <c r="B83" i="47"/>
  <c r="C83" i="47"/>
  <c r="D83" i="47"/>
  <c r="E83" i="47"/>
  <c r="F83" i="47"/>
  <c r="G83" i="47"/>
  <c r="H83" i="47"/>
  <c r="B84" i="47"/>
  <c r="C84" i="47"/>
  <c r="D84" i="47"/>
  <c r="E84" i="47"/>
  <c r="B85" i="47"/>
  <c r="C85" i="47"/>
  <c r="D85" i="47"/>
  <c r="E85" i="47"/>
  <c r="B86" i="47"/>
  <c r="C86" i="47"/>
  <c r="D86" i="47"/>
  <c r="E86" i="47"/>
  <c r="F86" i="47"/>
  <c r="G86" i="47"/>
  <c r="H86" i="47"/>
  <c r="B87" i="47"/>
  <c r="C87" i="47"/>
  <c r="D87" i="47"/>
  <c r="E87" i="47"/>
  <c r="B88" i="47"/>
  <c r="C88" i="47"/>
  <c r="D88" i="47"/>
  <c r="E88" i="47"/>
  <c r="B89" i="47"/>
  <c r="C89" i="47"/>
  <c r="D89" i="47"/>
  <c r="E89" i="47"/>
  <c r="F89" i="47"/>
  <c r="G89" i="47"/>
  <c r="H89" i="47"/>
  <c r="B90" i="47"/>
  <c r="C90" i="47"/>
  <c r="D90" i="47"/>
  <c r="E90" i="47"/>
  <c r="B91" i="47"/>
  <c r="C91" i="47"/>
  <c r="D91" i="47"/>
  <c r="E91" i="47"/>
  <c r="B92" i="47"/>
  <c r="C92" i="47"/>
  <c r="D92" i="47"/>
  <c r="E92" i="47"/>
  <c r="F92" i="47"/>
  <c r="G92" i="47"/>
  <c r="H92" i="47"/>
  <c r="B93" i="47"/>
  <c r="C93" i="47"/>
  <c r="D93" i="47"/>
  <c r="E93" i="47"/>
  <c r="B94" i="47"/>
  <c r="C94" i="47"/>
  <c r="D94" i="47"/>
  <c r="E94" i="47"/>
  <c r="B95" i="47"/>
  <c r="C95" i="47"/>
  <c r="D95" i="47"/>
  <c r="E95" i="47"/>
  <c r="F95" i="47"/>
  <c r="G95" i="47"/>
  <c r="H95" i="47"/>
  <c r="B96" i="47"/>
  <c r="C96" i="47"/>
  <c r="D96" i="47"/>
  <c r="E96" i="47"/>
  <c r="B97" i="47"/>
  <c r="C97" i="47"/>
  <c r="D97" i="47"/>
  <c r="E97" i="47"/>
  <c r="B98" i="47"/>
  <c r="C98" i="47"/>
  <c r="D98" i="47"/>
  <c r="E98" i="47"/>
  <c r="F98" i="47"/>
  <c r="G98" i="47"/>
  <c r="H98" i="47"/>
  <c r="B99" i="47"/>
  <c r="C99" i="47"/>
  <c r="D99" i="47"/>
  <c r="E99" i="47"/>
  <c r="B100" i="47"/>
  <c r="C100" i="47"/>
  <c r="D100" i="47"/>
  <c r="E100" i="47"/>
  <c r="B101" i="47"/>
  <c r="C101" i="47"/>
  <c r="D101" i="47"/>
  <c r="E101" i="47"/>
  <c r="F101" i="47"/>
  <c r="G101" i="47"/>
  <c r="H101" i="47"/>
  <c r="B102" i="47"/>
  <c r="C102" i="47"/>
  <c r="D102" i="47"/>
  <c r="E102" i="47"/>
  <c r="B103" i="47"/>
  <c r="C103" i="47"/>
  <c r="D103" i="47"/>
  <c r="E103" i="47"/>
  <c r="B104" i="47"/>
  <c r="C104" i="47"/>
  <c r="D104" i="47"/>
  <c r="E104" i="47"/>
  <c r="F104" i="47"/>
  <c r="G104" i="47"/>
  <c r="H104" i="47"/>
  <c r="B105" i="47"/>
  <c r="C105" i="47"/>
  <c r="D105" i="47"/>
  <c r="E105" i="47"/>
  <c r="B106" i="47"/>
  <c r="C106" i="47"/>
  <c r="D106" i="47"/>
  <c r="E106" i="47"/>
  <c r="B107" i="47"/>
  <c r="C107" i="47"/>
  <c r="D107" i="47"/>
  <c r="E107" i="47"/>
  <c r="F107" i="47"/>
  <c r="G107" i="47"/>
  <c r="H107" i="47"/>
  <c r="B108" i="47"/>
  <c r="C108" i="47"/>
  <c r="D108" i="47"/>
  <c r="E108" i="47"/>
  <c r="B109" i="47"/>
  <c r="C109" i="47"/>
  <c r="D109" i="47"/>
  <c r="E109" i="47"/>
  <c r="B110" i="47"/>
  <c r="C110" i="47"/>
  <c r="D110" i="47"/>
  <c r="E110" i="47"/>
  <c r="F110" i="47"/>
  <c r="G110" i="47"/>
  <c r="H110" i="47"/>
  <c r="B111" i="47"/>
  <c r="C111" i="47"/>
  <c r="D111" i="47"/>
  <c r="E111" i="47"/>
  <c r="B112" i="47"/>
  <c r="C112" i="47"/>
  <c r="D112" i="47"/>
  <c r="E112" i="47"/>
  <c r="B113" i="47"/>
  <c r="C113" i="47"/>
  <c r="D113" i="47"/>
  <c r="E113" i="47"/>
  <c r="F113" i="47"/>
  <c r="G113" i="47"/>
  <c r="H113" i="47"/>
  <c r="B114" i="47"/>
  <c r="C114" i="47"/>
  <c r="D114" i="47"/>
  <c r="E114" i="47"/>
  <c r="B115" i="47"/>
  <c r="C115" i="47"/>
  <c r="D115" i="47"/>
  <c r="E115" i="47"/>
  <c r="B116" i="47"/>
  <c r="C116" i="47"/>
  <c r="D116" i="47"/>
  <c r="E116" i="47"/>
  <c r="F116" i="47"/>
  <c r="G116" i="47"/>
  <c r="H116" i="47"/>
  <c r="B117" i="47"/>
  <c r="C117" i="47"/>
  <c r="D117" i="47"/>
  <c r="E117" i="47"/>
  <c r="B118" i="47"/>
  <c r="C118" i="47"/>
  <c r="D118" i="47"/>
  <c r="E118" i="47"/>
  <c r="B119" i="47"/>
  <c r="C119" i="47"/>
  <c r="D119" i="47"/>
  <c r="E119" i="47"/>
  <c r="F119" i="47"/>
  <c r="G119" i="47"/>
  <c r="H119" i="47"/>
  <c r="B120" i="47"/>
  <c r="C120" i="47"/>
  <c r="D120" i="47"/>
  <c r="E120" i="47"/>
  <c r="B121" i="47"/>
  <c r="C121" i="47"/>
  <c r="D121" i="47"/>
  <c r="E121" i="47"/>
  <c r="B122" i="47"/>
  <c r="C122" i="47"/>
  <c r="D122" i="47"/>
  <c r="E122" i="47"/>
  <c r="F122" i="47"/>
  <c r="G122" i="47"/>
  <c r="H122" i="47"/>
  <c r="B123" i="47"/>
  <c r="C123" i="47"/>
  <c r="D123" i="47"/>
  <c r="E123" i="47"/>
  <c r="B124" i="47"/>
  <c r="C124" i="47"/>
  <c r="D124" i="47"/>
  <c r="E124" i="47"/>
  <c r="B125" i="47"/>
  <c r="C125" i="47"/>
  <c r="D125" i="47"/>
  <c r="E125" i="47"/>
  <c r="F125" i="47"/>
  <c r="G125" i="47"/>
  <c r="H125" i="47"/>
  <c r="B126" i="47"/>
  <c r="C126" i="47"/>
  <c r="D126" i="47"/>
  <c r="E126" i="47"/>
  <c r="B127" i="47"/>
  <c r="C127" i="47"/>
  <c r="D127" i="47"/>
  <c r="E127" i="47"/>
  <c r="B128" i="47"/>
  <c r="C128" i="47"/>
  <c r="D128" i="47"/>
  <c r="E128" i="47"/>
  <c r="F128" i="47"/>
  <c r="G128" i="47"/>
  <c r="H128" i="47"/>
  <c r="B129" i="47"/>
  <c r="C129" i="47"/>
  <c r="D129" i="47"/>
  <c r="E129" i="47"/>
  <c r="B130" i="47"/>
  <c r="C130" i="47"/>
  <c r="D130" i="47"/>
  <c r="E130" i="47"/>
  <c r="B131" i="47"/>
  <c r="C131" i="47"/>
  <c r="D131" i="47"/>
  <c r="E131" i="47"/>
  <c r="F131" i="47"/>
  <c r="G131" i="47"/>
  <c r="H131" i="47"/>
  <c r="B132" i="47"/>
  <c r="C132" i="47"/>
  <c r="D132" i="47"/>
  <c r="E132" i="47"/>
  <c r="B133" i="47"/>
  <c r="C133" i="47"/>
  <c r="D133" i="47"/>
  <c r="E133" i="47"/>
  <c r="A134" i="47"/>
  <c r="B134" i="47"/>
  <c r="C134" i="47"/>
  <c r="D134" i="47"/>
  <c r="E134" i="47"/>
  <c r="F134" i="47"/>
  <c r="G134" i="47"/>
  <c r="H134" i="47"/>
  <c r="B135" i="47"/>
  <c r="C135" i="47"/>
  <c r="D135" i="47"/>
  <c r="E135" i="47"/>
  <c r="B136" i="47"/>
  <c r="C136" i="47"/>
  <c r="D136" i="47"/>
  <c r="E136" i="47"/>
  <c r="B137" i="47"/>
  <c r="C137" i="47"/>
  <c r="D137" i="47"/>
  <c r="E137" i="47"/>
  <c r="F137" i="47"/>
  <c r="G137" i="47"/>
  <c r="H137" i="47"/>
  <c r="B138" i="47"/>
  <c r="C138" i="47"/>
  <c r="D138" i="47"/>
  <c r="E138" i="47"/>
  <c r="B139" i="47"/>
  <c r="C139" i="47"/>
  <c r="D139" i="47"/>
  <c r="E139" i="47"/>
  <c r="B140" i="47"/>
  <c r="C140" i="47"/>
  <c r="D140" i="47"/>
  <c r="E140" i="47"/>
  <c r="F140" i="47"/>
  <c r="G140" i="47"/>
  <c r="H140" i="47"/>
  <c r="B141" i="47"/>
  <c r="C141" i="47"/>
  <c r="D141" i="47"/>
  <c r="E141" i="47"/>
  <c r="B142" i="47"/>
  <c r="C142" i="47"/>
  <c r="D142" i="47"/>
  <c r="E142" i="47"/>
  <c r="B143" i="47"/>
  <c r="C143" i="47"/>
  <c r="D143" i="47"/>
  <c r="E143" i="47"/>
  <c r="F143" i="47"/>
  <c r="G143" i="47"/>
  <c r="H143" i="47"/>
  <c r="B144" i="47"/>
  <c r="C144" i="47"/>
  <c r="D144" i="47"/>
  <c r="E144" i="47"/>
  <c r="B145" i="47"/>
  <c r="C145" i="47"/>
  <c r="D145" i="47"/>
  <c r="E145" i="47"/>
  <c r="B146" i="47"/>
  <c r="C146" i="47"/>
  <c r="D146" i="47"/>
  <c r="E146" i="47"/>
  <c r="F146" i="47"/>
  <c r="G146" i="47"/>
  <c r="H146" i="47"/>
  <c r="B147" i="47"/>
  <c r="C147" i="47"/>
  <c r="D147" i="47"/>
  <c r="E147" i="47"/>
  <c r="B148" i="47"/>
  <c r="C148" i="47"/>
  <c r="D148" i="47"/>
  <c r="E148" i="47"/>
  <c r="B149" i="47"/>
  <c r="C149" i="47"/>
  <c r="D149" i="47"/>
  <c r="E149" i="47"/>
  <c r="F149" i="47"/>
  <c r="G149" i="47"/>
  <c r="H149" i="47"/>
  <c r="B150" i="47"/>
  <c r="C150" i="47"/>
  <c r="D150" i="47"/>
  <c r="E150" i="47"/>
  <c r="B151" i="47"/>
  <c r="C151" i="47"/>
  <c r="D151" i="47"/>
  <c r="E151" i="47"/>
  <c r="A152" i="47"/>
  <c r="A153" i="47"/>
  <c r="B152" i="47"/>
  <c r="C152" i="47"/>
  <c r="D152" i="47"/>
  <c r="E152" i="47"/>
  <c r="F152" i="47"/>
  <c r="G152" i="47"/>
  <c r="H152" i="47"/>
  <c r="B153" i="47"/>
  <c r="C153" i="47"/>
  <c r="D153" i="47"/>
  <c r="E153" i="47"/>
  <c r="B154" i="47"/>
  <c r="C154" i="47"/>
  <c r="D154" i="47"/>
  <c r="E154" i="47"/>
  <c r="B155" i="47"/>
  <c r="C155" i="47"/>
  <c r="D155" i="47"/>
  <c r="E155" i="47"/>
  <c r="F155" i="47"/>
  <c r="G155" i="47"/>
  <c r="H155" i="47"/>
  <c r="B156" i="47"/>
  <c r="C156" i="47"/>
  <c r="D156" i="47"/>
  <c r="E156" i="47"/>
  <c r="B157" i="47"/>
  <c r="C157" i="47"/>
  <c r="D157" i="47"/>
  <c r="E157" i="47"/>
  <c r="B158" i="47"/>
  <c r="C158" i="47"/>
  <c r="D158" i="47"/>
  <c r="E158" i="47"/>
  <c r="F158" i="47"/>
  <c r="G158" i="47"/>
  <c r="H158" i="47"/>
  <c r="B159" i="47"/>
  <c r="C159" i="47"/>
  <c r="D159" i="47"/>
  <c r="E159" i="47"/>
  <c r="B160" i="47"/>
  <c r="C160" i="47"/>
  <c r="D160" i="47"/>
  <c r="E160" i="47"/>
  <c r="B161" i="47"/>
  <c r="C161" i="47"/>
  <c r="D161" i="47"/>
  <c r="E161" i="47"/>
  <c r="F161" i="47"/>
  <c r="G161" i="47"/>
  <c r="H161" i="47"/>
  <c r="B162" i="47"/>
  <c r="C162" i="47"/>
  <c r="D162" i="47"/>
  <c r="E162" i="47"/>
  <c r="B163" i="47"/>
  <c r="C163" i="47"/>
  <c r="D163" i="47"/>
  <c r="E163" i="47"/>
  <c r="B164" i="47"/>
  <c r="C164" i="47"/>
  <c r="D164" i="47"/>
  <c r="E164" i="47"/>
  <c r="F164" i="47"/>
  <c r="G164" i="47"/>
  <c r="H164" i="47"/>
  <c r="B165" i="47"/>
  <c r="C165" i="47"/>
  <c r="D165" i="47"/>
  <c r="E165" i="47"/>
  <c r="B166" i="47"/>
  <c r="C166" i="47"/>
  <c r="D166" i="47"/>
  <c r="E166" i="47"/>
  <c r="B167" i="47"/>
  <c r="C167" i="47"/>
  <c r="D167" i="47"/>
  <c r="E167" i="47"/>
  <c r="F167" i="47"/>
  <c r="G167" i="47"/>
  <c r="H167" i="47"/>
  <c r="B168" i="47"/>
  <c r="C168" i="47"/>
  <c r="D168" i="47"/>
  <c r="E168" i="47"/>
  <c r="B169" i="47"/>
  <c r="C169" i="47"/>
  <c r="D169" i="47"/>
  <c r="E169" i="47"/>
  <c r="B170" i="47"/>
  <c r="C170" i="47"/>
  <c r="D170" i="47"/>
  <c r="E170" i="47"/>
  <c r="F170" i="47"/>
  <c r="G170" i="47"/>
  <c r="H170" i="47"/>
  <c r="B171" i="47"/>
  <c r="C171" i="47"/>
  <c r="D171" i="47"/>
  <c r="E171" i="47"/>
  <c r="B172" i="47"/>
  <c r="C172" i="47"/>
  <c r="D172" i="47"/>
  <c r="E172" i="47"/>
  <c r="B173" i="47"/>
  <c r="C173" i="47"/>
  <c r="D173" i="47"/>
  <c r="E173" i="47"/>
  <c r="F173" i="47"/>
  <c r="G173" i="47"/>
  <c r="H173" i="47"/>
  <c r="B174" i="47"/>
  <c r="C174" i="47"/>
  <c r="D174" i="47"/>
  <c r="E174" i="47"/>
  <c r="B175" i="47"/>
  <c r="C175" i="47"/>
  <c r="D175" i="47"/>
  <c r="E175" i="47"/>
  <c r="B176" i="47"/>
  <c r="C176" i="47"/>
  <c r="D176" i="47"/>
  <c r="E176" i="47"/>
  <c r="F176" i="47"/>
  <c r="G176" i="47"/>
  <c r="H176" i="47"/>
  <c r="B177" i="47"/>
  <c r="C177" i="47"/>
  <c r="D177" i="47"/>
  <c r="E177" i="47"/>
  <c r="B178" i="47"/>
  <c r="C178" i="47"/>
  <c r="D178" i="47"/>
  <c r="E178" i="47"/>
  <c r="B179" i="47"/>
  <c r="C179" i="47"/>
  <c r="D179" i="47"/>
  <c r="E179" i="47"/>
  <c r="F179" i="47"/>
  <c r="G179" i="47"/>
  <c r="H179" i="47"/>
  <c r="B180" i="47"/>
  <c r="C180" i="47"/>
  <c r="D180" i="47"/>
  <c r="E180" i="47"/>
  <c r="B181" i="47"/>
  <c r="C181" i="47"/>
  <c r="D181" i="47"/>
  <c r="E181" i="47"/>
  <c r="B182" i="47"/>
  <c r="C182" i="47"/>
  <c r="D182" i="47"/>
  <c r="E182" i="47"/>
  <c r="F182" i="47"/>
  <c r="G182" i="47"/>
  <c r="H182" i="47"/>
  <c r="B183" i="47"/>
  <c r="C183" i="47"/>
  <c r="D183" i="47"/>
  <c r="E183" i="47"/>
  <c r="B184" i="47"/>
  <c r="C184" i="47"/>
  <c r="D184" i="47"/>
  <c r="E184" i="47"/>
  <c r="A185" i="47"/>
  <c r="A186" i="47"/>
  <c r="B185" i="47"/>
  <c r="C185" i="47"/>
  <c r="D185" i="47"/>
  <c r="E185" i="47"/>
  <c r="F185" i="47"/>
  <c r="G185" i="47"/>
  <c r="H185" i="47"/>
  <c r="B186" i="47"/>
  <c r="C186" i="47"/>
  <c r="D186" i="47"/>
  <c r="E186" i="47"/>
  <c r="B187" i="47"/>
  <c r="C187" i="47"/>
  <c r="D187" i="47"/>
  <c r="E187" i="47"/>
  <c r="B188" i="47"/>
  <c r="C188" i="47"/>
  <c r="D188" i="47"/>
  <c r="E188" i="47"/>
  <c r="F188" i="47"/>
  <c r="G188" i="47"/>
  <c r="H188" i="47"/>
  <c r="B189" i="47"/>
  <c r="C189" i="47"/>
  <c r="D189" i="47"/>
  <c r="E189" i="47"/>
  <c r="B190" i="47"/>
  <c r="C190" i="47"/>
  <c r="D190" i="47"/>
  <c r="E190" i="47"/>
  <c r="A191" i="47"/>
  <c r="B191" i="47"/>
  <c r="C191" i="47"/>
  <c r="D191" i="47"/>
  <c r="E191" i="47"/>
  <c r="F191" i="47"/>
  <c r="G191" i="47"/>
  <c r="H191" i="47"/>
  <c r="B192" i="47"/>
  <c r="C192" i="47"/>
  <c r="D192" i="47"/>
  <c r="E192" i="47"/>
  <c r="B193" i="47"/>
  <c r="C193" i="47"/>
  <c r="D193" i="47"/>
  <c r="E193" i="47"/>
  <c r="B194" i="47"/>
  <c r="C194" i="47"/>
  <c r="D194" i="47"/>
  <c r="E194" i="47"/>
  <c r="F194" i="47"/>
  <c r="G194" i="47"/>
  <c r="H194" i="47"/>
  <c r="B195" i="47"/>
  <c r="C195" i="47"/>
  <c r="D195" i="47"/>
  <c r="E195" i="47"/>
  <c r="B196" i="47"/>
  <c r="C196" i="47"/>
  <c r="D196" i="47"/>
  <c r="E196" i="47"/>
  <c r="B2" i="5"/>
  <c r="C2" i="1"/>
  <c r="AE36" i="5"/>
  <c r="AJ32" i="5"/>
  <c r="B3" i="5"/>
  <c r="AE47" i="5"/>
  <c r="AJ5" i="5"/>
  <c r="B4" i="5"/>
  <c r="AE27" i="5"/>
  <c r="AJ52" i="5"/>
  <c r="A5" i="5"/>
  <c r="B5" i="5"/>
  <c r="AE49" i="5"/>
  <c r="AJ31" i="5"/>
  <c r="A6" i="5"/>
  <c r="B6" i="5"/>
  <c r="AE54" i="5"/>
  <c r="AJ12" i="5"/>
  <c r="B7" i="5"/>
  <c r="B7" i="24"/>
  <c r="AE61" i="5"/>
  <c r="AJ27" i="5"/>
  <c r="B8" i="5"/>
  <c r="C8" i="1"/>
  <c r="AE62" i="5"/>
  <c r="AJ19" i="5"/>
  <c r="B9" i="5"/>
  <c r="B9" i="24"/>
  <c r="AE50" i="5"/>
  <c r="AJ24" i="5"/>
  <c r="B10" i="5"/>
  <c r="AE16" i="5"/>
  <c r="AJ18" i="5"/>
  <c r="A11" i="5"/>
  <c r="A12" i="5"/>
  <c r="B11" i="5"/>
  <c r="B11" i="24"/>
  <c r="AE31" i="5"/>
  <c r="AJ50" i="5"/>
  <c r="B12" i="5"/>
  <c r="B12" i="24"/>
  <c r="AE59" i="5"/>
  <c r="AJ35" i="5"/>
  <c r="B13" i="5"/>
  <c r="B13" i="24"/>
  <c r="AE5" i="5"/>
  <c r="AJ8" i="5"/>
  <c r="B14" i="5"/>
  <c r="B14" i="24"/>
  <c r="AE51" i="5"/>
  <c r="AJ20" i="5"/>
  <c r="B15" i="5"/>
  <c r="C15" i="1"/>
  <c r="AE43" i="5"/>
  <c r="AJ23" i="5"/>
  <c r="B16" i="5"/>
  <c r="B16" i="24"/>
  <c r="AE28" i="5"/>
  <c r="AJ10" i="5"/>
  <c r="B17" i="5"/>
  <c r="B17" i="24"/>
  <c r="AE15" i="5"/>
  <c r="AJ43" i="5"/>
  <c r="B18" i="5"/>
  <c r="C18" i="1"/>
  <c r="AE55" i="5"/>
  <c r="AJ46" i="5"/>
  <c r="B19" i="5"/>
  <c r="B19" i="24"/>
  <c r="AE25" i="5"/>
  <c r="AJ40" i="5"/>
  <c r="B20" i="5"/>
  <c r="C20" i="1"/>
  <c r="AE60" i="5"/>
  <c r="AJ14" i="5"/>
  <c r="B21" i="5"/>
  <c r="C21" i="1"/>
  <c r="AE33" i="5"/>
  <c r="AJ3" i="5"/>
  <c r="B22" i="5"/>
  <c r="AE7" i="5"/>
  <c r="AJ48" i="5"/>
  <c r="A23" i="5"/>
  <c r="A25" i="5"/>
  <c r="B23" i="5"/>
  <c r="C23" i="1"/>
  <c r="AE42" i="5"/>
  <c r="AJ13" i="5"/>
  <c r="B24" i="5"/>
  <c r="C24" i="1"/>
  <c r="AE2" i="5"/>
  <c r="AJ38" i="5"/>
  <c r="B25" i="5"/>
  <c r="C25" i="1"/>
  <c r="AE18" i="5"/>
  <c r="AJ26" i="5"/>
  <c r="B26" i="5"/>
  <c r="B26" i="24"/>
  <c r="AE24" i="5"/>
  <c r="AJ21" i="5"/>
  <c r="B27" i="5"/>
  <c r="B27" i="24"/>
  <c r="AE29" i="5"/>
  <c r="AJ7" i="5"/>
  <c r="B28" i="5"/>
  <c r="B28" i="24"/>
  <c r="AE32" i="5"/>
  <c r="AJ65" i="5"/>
  <c r="A29" i="5"/>
  <c r="A31" i="5"/>
  <c r="B29" i="5"/>
  <c r="B29" i="24"/>
  <c r="AE14" i="5"/>
  <c r="AJ22" i="5"/>
  <c r="B30" i="5"/>
  <c r="B30" i="24"/>
  <c r="AE12" i="5"/>
  <c r="AJ37" i="5"/>
  <c r="B31" i="5"/>
  <c r="C31" i="1"/>
  <c r="AE41" i="5"/>
  <c r="AJ30" i="5"/>
  <c r="B32" i="5"/>
  <c r="C32" i="1"/>
  <c r="AE22" i="5"/>
  <c r="AJ15" i="5"/>
  <c r="B33" i="5"/>
  <c r="C33" i="1"/>
  <c r="AE45" i="5"/>
  <c r="AJ49" i="5"/>
  <c r="B34" i="5"/>
  <c r="B34" i="24"/>
  <c r="AE23" i="5"/>
  <c r="AJ41" i="5"/>
  <c r="B35" i="5"/>
  <c r="C35" i="1"/>
  <c r="AE17" i="5"/>
  <c r="AJ25" i="5"/>
  <c r="B36" i="5"/>
  <c r="B36" i="24"/>
  <c r="AE44" i="5"/>
  <c r="AJ39" i="5"/>
  <c r="B37" i="5"/>
  <c r="B37" i="24"/>
  <c r="AE9" i="5"/>
  <c r="AJ34" i="5"/>
  <c r="B38" i="5"/>
  <c r="C38" i="1"/>
  <c r="AE4" i="5"/>
  <c r="AJ2" i="5"/>
  <c r="B39" i="5"/>
  <c r="C39" i="1"/>
  <c r="AE3" i="5"/>
  <c r="AJ4" i="5"/>
  <c r="B40" i="5"/>
  <c r="C40" i="1"/>
  <c r="AE19" i="5"/>
  <c r="AJ33" i="5"/>
  <c r="B41" i="5"/>
  <c r="B41" i="24"/>
  <c r="AE66" i="5"/>
  <c r="AJ17" i="5"/>
  <c r="B42" i="5"/>
  <c r="B42" i="24"/>
  <c r="AE10" i="5"/>
  <c r="AJ44" i="5"/>
  <c r="B43" i="5"/>
  <c r="C43" i="1"/>
  <c r="AE34" i="5"/>
  <c r="AJ45" i="5"/>
  <c r="B44" i="5"/>
  <c r="B44" i="24"/>
  <c r="AE20" i="5"/>
  <c r="AJ51" i="5"/>
  <c r="B45" i="5"/>
  <c r="C45" i="1"/>
  <c r="AE40" i="5"/>
  <c r="AJ28" i="5"/>
  <c r="B46" i="5"/>
  <c r="B46" i="24"/>
  <c r="AE64" i="5"/>
  <c r="AJ60" i="5"/>
  <c r="B47" i="5"/>
  <c r="C47" i="1"/>
  <c r="AE37" i="5"/>
  <c r="AJ42" i="5"/>
  <c r="B48" i="5"/>
  <c r="AE26" i="5"/>
  <c r="AJ66" i="5"/>
  <c r="B49" i="5"/>
  <c r="C49" i="1"/>
  <c r="AE11" i="5"/>
  <c r="AJ62" i="5"/>
  <c r="B50" i="5"/>
  <c r="B50" i="24"/>
  <c r="AE21" i="5"/>
  <c r="AJ6" i="5"/>
  <c r="B51" i="5"/>
  <c r="AE52" i="5"/>
  <c r="AJ61" i="5"/>
  <c r="B52" i="5"/>
  <c r="C52" i="1"/>
  <c r="AE57" i="5"/>
  <c r="AJ9" i="5"/>
  <c r="A53" i="5"/>
  <c r="B53" i="5"/>
  <c r="C53" i="1"/>
  <c r="AE65" i="5"/>
  <c r="AJ54" i="5"/>
  <c r="B54" i="5"/>
  <c r="C54" i="1"/>
  <c r="AE56" i="5"/>
  <c r="AJ36" i="5"/>
  <c r="B55" i="5"/>
  <c r="AE58" i="5"/>
  <c r="AJ57" i="5"/>
  <c r="B56" i="5"/>
  <c r="B56" i="24"/>
  <c r="AE48" i="5"/>
  <c r="AJ53" i="5"/>
  <c r="B57" i="5"/>
  <c r="C57" i="1"/>
  <c r="AE53" i="5"/>
  <c r="AJ56" i="5"/>
  <c r="B58" i="5"/>
  <c r="C58" i="1"/>
  <c r="AE6" i="5"/>
  <c r="AJ63" i="5"/>
  <c r="B59" i="5"/>
  <c r="AE46" i="5"/>
  <c r="AJ55" i="5"/>
  <c r="B60" i="5"/>
  <c r="AE8" i="5"/>
  <c r="AJ47" i="5"/>
  <c r="B61" i="5"/>
  <c r="AE30" i="5"/>
  <c r="AJ11" i="5"/>
  <c r="B62" i="5"/>
  <c r="AE13" i="5"/>
  <c r="AJ16" i="5"/>
  <c r="B63" i="5"/>
  <c r="B63" i="24"/>
  <c r="AE35" i="5"/>
  <c r="AJ58" i="5"/>
  <c r="B64" i="5"/>
  <c r="C64" i="1"/>
  <c r="AE63" i="5"/>
  <c r="AJ29" i="5"/>
  <c r="B65" i="5"/>
  <c r="B65" i="24"/>
  <c r="AE39" i="5"/>
  <c r="AJ59" i="5"/>
  <c r="B66" i="5"/>
  <c r="C66" i="1"/>
  <c r="AE38" i="5"/>
  <c r="AJ64" i="5"/>
  <c r="B67" i="5"/>
  <c r="C67" i="1"/>
  <c r="B68" i="5"/>
  <c r="C68" i="1"/>
  <c r="B69" i="5"/>
  <c r="C69" i="1"/>
  <c r="B70" i="5"/>
  <c r="B70" i="24"/>
  <c r="B71" i="5"/>
  <c r="C71" i="1"/>
  <c r="B72" i="5"/>
  <c r="C72" i="1"/>
  <c r="B73" i="5"/>
  <c r="C73" i="1"/>
  <c r="B74" i="5"/>
  <c r="C74" i="1"/>
  <c r="B75" i="5"/>
  <c r="B75" i="24"/>
  <c r="B76" i="5"/>
  <c r="B76" i="24"/>
  <c r="A77" i="5"/>
  <c r="A79" i="5"/>
  <c r="B77" i="5"/>
  <c r="C77" i="1"/>
  <c r="B78" i="5"/>
  <c r="B79" i="5"/>
  <c r="B80" i="5"/>
  <c r="C80" i="1"/>
  <c r="B81" i="5"/>
  <c r="C81" i="1"/>
  <c r="B82" i="5"/>
  <c r="C82" i="1"/>
  <c r="B83" i="5"/>
  <c r="B84" i="5"/>
  <c r="B84" i="24"/>
  <c r="B85" i="5"/>
  <c r="A86" i="5"/>
  <c r="B86" i="5"/>
  <c r="C86" i="1"/>
  <c r="B87" i="5"/>
  <c r="C87" i="1"/>
  <c r="B88" i="5"/>
  <c r="C88" i="1"/>
  <c r="B89" i="5"/>
  <c r="B89" i="24"/>
  <c r="B90" i="5"/>
  <c r="B91" i="5"/>
  <c r="C91" i="1"/>
  <c r="B92" i="5"/>
  <c r="B93" i="5"/>
  <c r="C93" i="1"/>
  <c r="B94" i="5"/>
  <c r="B95" i="5"/>
  <c r="C95" i="1"/>
  <c r="B96" i="5"/>
  <c r="B96" i="24"/>
  <c r="B97" i="5"/>
  <c r="C97" i="1"/>
  <c r="B98" i="5"/>
  <c r="B99" i="5"/>
  <c r="B100" i="5"/>
  <c r="B100" i="24"/>
  <c r="A101" i="5"/>
  <c r="A103" i="5"/>
  <c r="B101" i="5"/>
  <c r="C101" i="1"/>
  <c r="B102" i="5"/>
  <c r="B102" i="24"/>
  <c r="B103" i="5"/>
  <c r="C103" i="1"/>
  <c r="B104" i="5"/>
  <c r="B104" i="24"/>
  <c r="B105" i="5"/>
  <c r="C105" i="1"/>
  <c r="B106" i="5"/>
  <c r="A107" i="5"/>
  <c r="A109" i="5"/>
  <c r="B107" i="5"/>
  <c r="C107" i="1"/>
  <c r="B108" i="5"/>
  <c r="C108" i="1"/>
  <c r="B109" i="5"/>
  <c r="C109" i="1"/>
  <c r="A110" i="5"/>
  <c r="A111" i="5"/>
  <c r="B110" i="5"/>
  <c r="B110" i="24"/>
  <c r="B111" i="5"/>
  <c r="B111" i="24"/>
  <c r="A112" i="5"/>
  <c r="B112" i="5"/>
  <c r="C112" i="1"/>
  <c r="B113" i="5"/>
  <c r="B113" i="24"/>
  <c r="B114" i="5"/>
  <c r="C114" i="1"/>
  <c r="B115" i="5"/>
  <c r="A116" i="5"/>
  <c r="A117" i="5"/>
  <c r="B116" i="5"/>
  <c r="B116" i="24"/>
  <c r="B117" i="5"/>
  <c r="B117" i="24"/>
  <c r="B118" i="5"/>
  <c r="B119" i="5"/>
  <c r="C119" i="1"/>
  <c r="B120" i="5"/>
  <c r="B121" i="5"/>
  <c r="B121" i="24"/>
  <c r="B122" i="5"/>
  <c r="B123" i="5"/>
  <c r="C123" i="1"/>
  <c r="B124" i="5"/>
  <c r="B125" i="5"/>
  <c r="B126" i="5"/>
  <c r="C126" i="1"/>
  <c r="B127" i="5"/>
  <c r="A128" i="5"/>
  <c r="A129" i="5"/>
  <c r="B128" i="5"/>
  <c r="B129" i="5"/>
  <c r="B129" i="24"/>
  <c r="B130" i="5"/>
  <c r="B130" i="24"/>
  <c r="B131" i="5"/>
  <c r="B131" i="24"/>
  <c r="B132" i="5"/>
  <c r="C132" i="1"/>
  <c r="B133" i="5"/>
  <c r="B133" i="24"/>
  <c r="A134" i="5"/>
  <c r="A135" i="5"/>
  <c r="B134" i="5"/>
  <c r="B134" i="24"/>
  <c r="B135" i="5"/>
  <c r="C135" i="1"/>
  <c r="B136" i="5"/>
  <c r="B137" i="5"/>
  <c r="B137" i="24"/>
  <c r="B138" i="5"/>
  <c r="B138" i="24"/>
  <c r="B139" i="5"/>
  <c r="B139" i="24"/>
  <c r="B140" i="5"/>
  <c r="B140" i="24"/>
  <c r="B141" i="5"/>
  <c r="C141" i="1"/>
  <c r="B142" i="5"/>
  <c r="C142" i="1"/>
  <c r="B143" i="5"/>
  <c r="C143" i="1"/>
  <c r="B144" i="5"/>
  <c r="C144" i="1"/>
  <c r="B145" i="5"/>
  <c r="C145" i="1"/>
  <c r="A146" i="5"/>
  <c r="A146" i="24"/>
  <c r="B146" i="5"/>
  <c r="B146" i="24"/>
  <c r="B147" i="5"/>
  <c r="C147" i="1"/>
  <c r="B148" i="5"/>
  <c r="C148" i="1"/>
  <c r="A149" i="5"/>
  <c r="A149" i="24"/>
  <c r="B149" i="5"/>
  <c r="B149" i="24"/>
  <c r="B150" i="5"/>
  <c r="C150" i="1"/>
  <c r="B151" i="5"/>
  <c r="B151" i="24"/>
  <c r="B152" i="5"/>
  <c r="B152" i="24"/>
  <c r="B153" i="5"/>
  <c r="C153" i="1"/>
  <c r="B154" i="5"/>
  <c r="C154" i="1"/>
  <c r="B155" i="5"/>
  <c r="B155" i="24"/>
  <c r="B156" i="5"/>
  <c r="C156" i="1"/>
  <c r="B157" i="5"/>
  <c r="C157" i="1"/>
  <c r="B158" i="5"/>
  <c r="B158" i="24"/>
  <c r="B159" i="5"/>
  <c r="C159" i="1"/>
  <c r="B160" i="5"/>
  <c r="C160" i="1"/>
  <c r="A161" i="5"/>
  <c r="A162" i="5"/>
  <c r="B161" i="5"/>
  <c r="C161" i="1"/>
  <c r="B162" i="5"/>
  <c r="C162" i="1"/>
  <c r="B163" i="5"/>
  <c r="C163" i="1"/>
  <c r="B164" i="5"/>
  <c r="C164" i="1"/>
  <c r="B165" i="5"/>
  <c r="B165" i="24"/>
  <c r="B166" i="5"/>
  <c r="C166" i="1"/>
  <c r="A167" i="5"/>
  <c r="A167" i="24"/>
  <c r="B167" i="5"/>
  <c r="C167" i="1"/>
  <c r="B168" i="5"/>
  <c r="C168" i="1"/>
  <c r="B169" i="5"/>
  <c r="B169" i="24"/>
  <c r="A170" i="5"/>
  <c r="A172" i="5"/>
  <c r="B170" i="5"/>
  <c r="C170" i="1"/>
  <c r="B171" i="5"/>
  <c r="B172" i="5"/>
  <c r="B172" i="24"/>
  <c r="B173" i="5"/>
  <c r="B174" i="5"/>
  <c r="C174" i="1"/>
  <c r="B175" i="5"/>
  <c r="C175" i="1"/>
  <c r="B176" i="5"/>
  <c r="C176" i="1"/>
  <c r="B177" i="5"/>
  <c r="B178" i="5"/>
  <c r="B178" i="24"/>
  <c r="A179" i="5"/>
  <c r="A181" i="5"/>
  <c r="B179" i="5"/>
  <c r="B180" i="5"/>
  <c r="C180" i="1"/>
  <c r="B181" i="5"/>
  <c r="B181" i="24"/>
  <c r="A182" i="5"/>
  <c r="A183" i="5"/>
  <c r="B182" i="5"/>
  <c r="B183" i="5"/>
  <c r="C183" i="1"/>
  <c r="B184" i="5"/>
  <c r="B185" i="5"/>
  <c r="C185" i="1"/>
  <c r="B186" i="5"/>
  <c r="B187" i="5"/>
  <c r="C187" i="1"/>
  <c r="B188" i="5"/>
  <c r="B189" i="5"/>
  <c r="C189" i="1"/>
  <c r="B190" i="5"/>
  <c r="A191" i="5"/>
  <c r="A193" i="5"/>
  <c r="B191" i="5"/>
  <c r="C191" i="1"/>
  <c r="B192" i="5"/>
  <c r="C192" i="1"/>
  <c r="B193" i="5"/>
  <c r="B193" i="24"/>
  <c r="B194" i="5"/>
  <c r="B194" i="24"/>
  <c r="B195" i="5"/>
  <c r="C195" i="1"/>
  <c r="B196" i="5"/>
  <c r="C196" i="1"/>
  <c r="J2" i="13"/>
  <c r="P2" i="13"/>
  <c r="T2" i="13"/>
  <c r="V2" i="13"/>
  <c r="Z2" i="13"/>
  <c r="AB2" i="13"/>
  <c r="T3" i="13"/>
  <c r="Z3" i="13"/>
  <c r="B4" i="13"/>
  <c r="J4" i="13"/>
  <c r="K4" i="13"/>
  <c r="P4" i="13"/>
  <c r="T4" i="13"/>
  <c r="V4" i="13"/>
  <c r="Z4" i="13"/>
  <c r="AB4" i="13"/>
  <c r="K5" i="13"/>
  <c r="T5" i="13"/>
  <c r="Z5" i="13"/>
  <c r="B6" i="13"/>
  <c r="J6" i="13"/>
  <c r="K6" i="13"/>
  <c r="P6" i="13"/>
  <c r="T6" i="13"/>
  <c r="V6" i="13"/>
  <c r="Z6" i="13"/>
  <c r="AB6" i="13"/>
  <c r="K7" i="13"/>
  <c r="T7" i="13"/>
  <c r="Z7" i="13"/>
  <c r="J8" i="13"/>
  <c r="K8" i="13"/>
  <c r="P8" i="13"/>
  <c r="T8" i="13"/>
  <c r="V8" i="13"/>
  <c r="Z8" i="13"/>
  <c r="AB8" i="13"/>
  <c r="K9" i="13"/>
  <c r="T9" i="13"/>
  <c r="Z9" i="13"/>
  <c r="J10" i="13"/>
  <c r="K10" i="13"/>
  <c r="P10" i="13"/>
  <c r="T10" i="13"/>
  <c r="V10" i="13"/>
  <c r="Z10" i="13"/>
  <c r="AB10" i="13"/>
  <c r="K11" i="13"/>
  <c r="T11" i="13"/>
  <c r="Z11" i="13"/>
  <c r="J12" i="13"/>
  <c r="K12" i="13"/>
  <c r="P12" i="13"/>
  <c r="T12" i="13"/>
  <c r="V12" i="13"/>
  <c r="Z12" i="13"/>
  <c r="AB12" i="13"/>
  <c r="K13" i="13"/>
  <c r="T13" i="13"/>
  <c r="Z13" i="13"/>
  <c r="J14" i="13"/>
  <c r="K14" i="13"/>
  <c r="P14" i="13"/>
  <c r="T14" i="13"/>
  <c r="V14" i="13"/>
  <c r="Z14" i="13"/>
  <c r="AB14" i="13"/>
  <c r="K15" i="13"/>
  <c r="T15" i="13"/>
  <c r="Z15" i="13"/>
  <c r="J16" i="13"/>
  <c r="K16" i="13"/>
  <c r="P16" i="13"/>
  <c r="T16" i="13"/>
  <c r="V16" i="13"/>
  <c r="Z16" i="13"/>
  <c r="AB16" i="13"/>
  <c r="K17" i="13"/>
  <c r="T17" i="13"/>
  <c r="Z17" i="13"/>
  <c r="J18" i="13"/>
  <c r="K18" i="13"/>
  <c r="P18" i="13"/>
  <c r="T18" i="13"/>
  <c r="V18" i="13"/>
  <c r="K19" i="13"/>
  <c r="T19" i="13"/>
  <c r="J20" i="13"/>
  <c r="K20" i="13"/>
  <c r="P20" i="13"/>
  <c r="T20" i="13"/>
  <c r="V20" i="13"/>
  <c r="K21" i="13"/>
  <c r="T21" i="13"/>
  <c r="J22" i="13"/>
  <c r="K22" i="13"/>
  <c r="P22" i="13"/>
  <c r="T22" i="13"/>
  <c r="V22" i="13"/>
  <c r="K23" i="13"/>
  <c r="T23" i="13"/>
  <c r="J24" i="13"/>
  <c r="K24" i="13"/>
  <c r="P24" i="13"/>
  <c r="T24" i="13"/>
  <c r="V24" i="13"/>
  <c r="K25" i="13"/>
  <c r="T25" i="13"/>
  <c r="J26" i="13"/>
  <c r="K26" i="13"/>
  <c r="P26" i="13"/>
  <c r="T26" i="13"/>
  <c r="V26" i="13"/>
  <c r="AB26" i="13"/>
  <c r="K27" i="13"/>
  <c r="T27" i="13"/>
  <c r="J28" i="13"/>
  <c r="K28" i="13"/>
  <c r="P28" i="13"/>
  <c r="T28" i="13"/>
  <c r="V28" i="13"/>
  <c r="AB28" i="13"/>
  <c r="K29" i="13"/>
  <c r="T29" i="13"/>
  <c r="J30" i="13"/>
  <c r="K30" i="13"/>
  <c r="P30" i="13"/>
  <c r="T30" i="13"/>
  <c r="V30" i="13"/>
  <c r="K31" i="13"/>
  <c r="T31" i="13"/>
  <c r="J32" i="13"/>
  <c r="K32" i="13"/>
  <c r="P32" i="13"/>
  <c r="T32" i="13"/>
  <c r="V32" i="13"/>
  <c r="K33" i="13"/>
  <c r="T33" i="13"/>
  <c r="J34" i="13"/>
  <c r="K34" i="13"/>
  <c r="P34" i="13"/>
  <c r="K35" i="13"/>
  <c r="J36" i="13"/>
  <c r="K36" i="13"/>
  <c r="P36" i="13"/>
  <c r="K37" i="13"/>
  <c r="J38" i="13"/>
  <c r="K38" i="13"/>
  <c r="P38" i="13"/>
  <c r="V38" i="13"/>
  <c r="K39" i="13"/>
  <c r="Z39" i="13"/>
  <c r="AB39" i="13"/>
  <c r="J40" i="13"/>
  <c r="K40" i="13"/>
  <c r="P40" i="13"/>
  <c r="V40" i="13"/>
  <c r="Z40" i="13"/>
  <c r="K41" i="13"/>
  <c r="Z41" i="13"/>
  <c r="AB41" i="13"/>
  <c r="J42" i="13"/>
  <c r="K42" i="13"/>
  <c r="P42" i="13"/>
  <c r="V42" i="13"/>
  <c r="W42" i="13"/>
  <c r="Z42" i="13"/>
  <c r="K43" i="13"/>
  <c r="W43" i="13"/>
  <c r="Z43" i="13"/>
  <c r="AB43" i="13"/>
  <c r="J44" i="13"/>
  <c r="K44" i="13"/>
  <c r="P44" i="13"/>
  <c r="V44" i="13"/>
  <c r="W44" i="13"/>
  <c r="Z44" i="13"/>
  <c r="K45" i="13"/>
  <c r="W45" i="13"/>
  <c r="Z45" i="13"/>
  <c r="AB45" i="13"/>
  <c r="J46" i="13"/>
  <c r="K46" i="13"/>
  <c r="P46" i="13"/>
  <c r="V46" i="13"/>
  <c r="W46" i="13"/>
  <c r="Z46" i="13"/>
  <c r="K47" i="13"/>
  <c r="W47" i="13"/>
  <c r="J48" i="13"/>
  <c r="K48" i="13"/>
  <c r="P48" i="13"/>
  <c r="V48" i="13"/>
  <c r="W48" i="13"/>
  <c r="K49" i="13"/>
  <c r="W49" i="13"/>
  <c r="J50" i="13"/>
  <c r="K50" i="13"/>
  <c r="P50" i="13"/>
  <c r="V50" i="13"/>
  <c r="W50" i="13"/>
  <c r="AB50" i="13"/>
  <c r="K51" i="13"/>
  <c r="W51" i="13"/>
  <c r="J52" i="13"/>
  <c r="K52" i="13"/>
  <c r="P52" i="13"/>
  <c r="V52" i="13"/>
  <c r="W52" i="13"/>
  <c r="AB52" i="13"/>
  <c r="K53" i="13"/>
  <c r="W53" i="13"/>
  <c r="J54" i="13"/>
  <c r="K54" i="13"/>
  <c r="P54" i="13"/>
  <c r="AB54" i="13"/>
  <c r="K55" i="13"/>
  <c r="J56" i="13"/>
  <c r="K56" i="13"/>
  <c r="P56" i="13"/>
  <c r="AB56" i="13"/>
  <c r="K57" i="13"/>
  <c r="J58" i="13"/>
  <c r="K58" i="13"/>
  <c r="P58" i="13"/>
  <c r="K59" i="13"/>
  <c r="J60" i="13"/>
  <c r="K60" i="13"/>
  <c r="P60" i="13"/>
  <c r="K61" i="13"/>
  <c r="J62" i="13"/>
  <c r="K62" i="13"/>
  <c r="P62" i="13"/>
  <c r="K63" i="13"/>
  <c r="J64" i="13"/>
  <c r="K64" i="13"/>
  <c r="P64" i="13"/>
  <c r="Z64" i="13"/>
  <c r="AB64" i="13"/>
  <c r="K65" i="13"/>
  <c r="Z65" i="13"/>
  <c r="J66" i="13"/>
  <c r="K66" i="13"/>
  <c r="Z66" i="13"/>
  <c r="AB66" i="13"/>
  <c r="K67" i="13"/>
  <c r="Z67" i="13"/>
  <c r="J68" i="13"/>
  <c r="K68" i="13"/>
  <c r="K69" i="13"/>
  <c r="P69" i="13"/>
  <c r="J70" i="13"/>
  <c r="K70" i="13"/>
  <c r="AB70" i="13"/>
  <c r="K71" i="13"/>
  <c r="P71" i="13"/>
  <c r="J72" i="13"/>
  <c r="K72" i="13"/>
  <c r="AB72" i="13"/>
  <c r="K73" i="13"/>
  <c r="P73" i="13"/>
  <c r="P75" i="13"/>
  <c r="P77" i="13"/>
  <c r="J79" i="13"/>
  <c r="P79" i="13"/>
  <c r="J81" i="13"/>
  <c r="P81" i="13"/>
  <c r="Z81" i="13"/>
  <c r="AB81" i="13"/>
  <c r="Z82" i="13"/>
  <c r="J83" i="13"/>
  <c r="P83" i="13"/>
  <c r="J85" i="13"/>
  <c r="P85" i="13"/>
  <c r="AB86" i="13"/>
  <c r="J87" i="13"/>
  <c r="P87" i="13"/>
  <c r="AB88" i="13"/>
  <c r="J89" i="13"/>
  <c r="P89" i="13"/>
  <c r="J91" i="13"/>
  <c r="P91" i="13"/>
  <c r="J93" i="13"/>
  <c r="O2" i="7"/>
  <c r="P2" i="7"/>
  <c r="Q2" i="7"/>
  <c r="T2" i="7"/>
  <c r="R2" i="7"/>
  <c r="V2" i="7"/>
  <c r="W2" i="7"/>
  <c r="X2" i="7"/>
  <c r="Y2" i="7"/>
  <c r="Z2" i="7"/>
  <c r="AA2" i="7"/>
  <c r="O3" i="7"/>
  <c r="P3" i="7"/>
  <c r="Q3" i="7"/>
  <c r="R3" i="7"/>
  <c r="T3" i="7"/>
  <c r="V3" i="7"/>
  <c r="W3" i="7"/>
  <c r="X3" i="7"/>
  <c r="Y3" i="7"/>
  <c r="Z3" i="7"/>
  <c r="AA3" i="7"/>
  <c r="O4" i="7"/>
  <c r="P4" i="7"/>
  <c r="T4" i="7"/>
  <c r="Q4" i="7"/>
  <c r="R4" i="7"/>
  <c r="V4" i="7"/>
  <c r="U4" i="7"/>
  <c r="W4" i="7"/>
  <c r="X4" i="7"/>
  <c r="Y4" i="7"/>
  <c r="Z4" i="7"/>
  <c r="AA4" i="7"/>
  <c r="O5" i="7"/>
  <c r="P5" i="7"/>
  <c r="Q5" i="7"/>
  <c r="T5" i="7"/>
  <c r="R5" i="7"/>
  <c r="V5" i="7"/>
  <c r="U5" i="7"/>
  <c r="S5" i="7"/>
  <c r="W5" i="7"/>
  <c r="X5" i="7"/>
  <c r="Y5" i="7"/>
  <c r="Z5" i="7"/>
  <c r="AA5" i="7"/>
  <c r="O6" i="7"/>
  <c r="P6" i="7"/>
  <c r="Q6" i="7"/>
  <c r="T6" i="7"/>
  <c r="R6" i="7"/>
  <c r="V6" i="7"/>
  <c r="W6" i="7"/>
  <c r="U6" i="7"/>
  <c r="S6" i="7"/>
  <c r="X6" i="7"/>
  <c r="Y6" i="7"/>
  <c r="Z6" i="7"/>
  <c r="AA6" i="7"/>
  <c r="O7" i="7"/>
  <c r="P7" i="7"/>
  <c r="Q7" i="7"/>
  <c r="R7" i="7"/>
  <c r="T7" i="7"/>
  <c r="V7" i="7"/>
  <c r="W7" i="7"/>
  <c r="U7" i="7"/>
  <c r="S7" i="7"/>
  <c r="C7" i="3"/>
  <c r="X7" i="7"/>
  <c r="Y7" i="7"/>
  <c r="Z7" i="7"/>
  <c r="AA7" i="7"/>
  <c r="O8" i="7"/>
  <c r="P8" i="7"/>
  <c r="Q8" i="7"/>
  <c r="R8" i="7"/>
  <c r="V8" i="7"/>
  <c r="W8" i="7"/>
  <c r="X8" i="7"/>
  <c r="Y8" i="7"/>
  <c r="Z8" i="7"/>
  <c r="AA8" i="7"/>
  <c r="O9" i="7"/>
  <c r="P9" i="7"/>
  <c r="Q9" i="7"/>
  <c r="R9" i="7"/>
  <c r="V9" i="7"/>
  <c r="W9" i="7"/>
  <c r="U9" i="7"/>
  <c r="X9" i="7"/>
  <c r="Y9" i="7"/>
  <c r="Z9" i="7"/>
  <c r="AA9" i="7"/>
  <c r="O10" i="7"/>
  <c r="P10" i="7"/>
  <c r="Q10" i="7"/>
  <c r="T10" i="7"/>
  <c r="R10" i="7"/>
  <c r="V10" i="7"/>
  <c r="W10" i="7"/>
  <c r="X10" i="7"/>
  <c r="U10" i="7"/>
  <c r="S10" i="7"/>
  <c r="C10" i="3"/>
  <c r="Y10" i="7"/>
  <c r="Z10" i="7"/>
  <c r="AA10" i="7"/>
  <c r="O11" i="7"/>
  <c r="T11" i="7"/>
  <c r="P11" i="7"/>
  <c r="Q11" i="7"/>
  <c r="R11" i="7"/>
  <c r="V11" i="7"/>
  <c r="W11" i="7"/>
  <c r="X11" i="7"/>
  <c r="Y11" i="7"/>
  <c r="Z11" i="7"/>
  <c r="AA11" i="7"/>
  <c r="O12" i="7"/>
  <c r="P12" i="7"/>
  <c r="Q12" i="7"/>
  <c r="R12" i="7"/>
  <c r="V12" i="7"/>
  <c r="U12" i="7"/>
  <c r="W12" i="7"/>
  <c r="X12" i="7"/>
  <c r="Y12" i="7"/>
  <c r="Z12" i="7"/>
  <c r="AA12" i="7"/>
  <c r="O13" i="7"/>
  <c r="P13" i="7"/>
  <c r="Q13" i="7"/>
  <c r="T13" i="7"/>
  <c r="R13" i="7"/>
  <c r="V13" i="7"/>
  <c r="W13" i="7"/>
  <c r="U13" i="7"/>
  <c r="S13" i="7"/>
  <c r="X13" i="7"/>
  <c r="Y13" i="7"/>
  <c r="Z13" i="7"/>
  <c r="AA13" i="7"/>
  <c r="O14" i="7"/>
  <c r="P14" i="7"/>
  <c r="Q14" i="7"/>
  <c r="R14" i="7"/>
  <c r="V14" i="7"/>
  <c r="U14" i="7"/>
  <c r="W14" i="7"/>
  <c r="X14" i="7"/>
  <c r="Y14" i="7"/>
  <c r="Z14" i="7"/>
  <c r="AA14" i="7"/>
  <c r="O15" i="7"/>
  <c r="P15" i="7"/>
  <c r="Q15" i="7"/>
  <c r="T15" i="7"/>
  <c r="R15" i="7"/>
  <c r="V15" i="7"/>
  <c r="W15" i="7"/>
  <c r="U15" i="7"/>
  <c r="S15" i="7"/>
  <c r="X15" i="7"/>
  <c r="Y15" i="7"/>
  <c r="Z15" i="7"/>
  <c r="AA15" i="7"/>
  <c r="O16" i="7"/>
  <c r="P16" i="7"/>
  <c r="Q16" i="7"/>
  <c r="R16" i="7"/>
  <c r="T16" i="7"/>
  <c r="V16" i="7"/>
  <c r="W16" i="7"/>
  <c r="X16" i="7"/>
  <c r="Y16" i="7"/>
  <c r="Z16" i="7"/>
  <c r="AA16" i="7"/>
  <c r="O17" i="7"/>
  <c r="P17" i="7"/>
  <c r="Q17" i="7"/>
  <c r="R17" i="7"/>
  <c r="V17" i="7"/>
  <c r="U17" i="7"/>
  <c r="W17" i="7"/>
  <c r="X17" i="7"/>
  <c r="Y17" i="7"/>
  <c r="Z17" i="7"/>
  <c r="AA17" i="7"/>
  <c r="O18" i="7"/>
  <c r="P18" i="7"/>
  <c r="Q18" i="7"/>
  <c r="R18" i="7"/>
  <c r="V18" i="7"/>
  <c r="W18" i="7"/>
  <c r="X18" i="7"/>
  <c r="U18" i="7"/>
  <c r="S18" i="7"/>
  <c r="C18" i="3"/>
  <c r="Y18" i="7"/>
  <c r="Z18" i="7"/>
  <c r="AA18" i="7"/>
  <c r="O19" i="7"/>
  <c r="P19" i="7"/>
  <c r="Q19" i="7"/>
  <c r="T19" i="7"/>
  <c r="R19" i="7"/>
  <c r="V19" i="7"/>
  <c r="W19" i="7"/>
  <c r="X19" i="7"/>
  <c r="U19" i="7"/>
  <c r="S19" i="7"/>
  <c r="Y19" i="7"/>
  <c r="Z19" i="7"/>
  <c r="AA19" i="7"/>
  <c r="O20" i="7"/>
  <c r="P20" i="7"/>
  <c r="Q20" i="7"/>
  <c r="R20" i="7"/>
  <c r="V20" i="7"/>
  <c r="U20" i="7"/>
  <c r="W20" i="7"/>
  <c r="X20" i="7"/>
  <c r="Y20" i="7"/>
  <c r="Z20" i="7"/>
  <c r="AA20" i="7"/>
  <c r="O21" i="7"/>
  <c r="P21" i="7"/>
  <c r="Q21" i="7"/>
  <c r="R21" i="7"/>
  <c r="V21" i="7"/>
  <c r="U21" i="7"/>
  <c r="W21" i="7"/>
  <c r="X21" i="7"/>
  <c r="Y21" i="7"/>
  <c r="Z21" i="7"/>
  <c r="AA21" i="7"/>
  <c r="O22" i="7"/>
  <c r="P22" i="5"/>
  <c r="P22" i="7"/>
  <c r="Q22" i="7"/>
  <c r="R22" i="7"/>
  <c r="T22" i="7"/>
  <c r="V22" i="7"/>
  <c r="U22" i="7"/>
  <c r="W22" i="7"/>
  <c r="X22" i="7"/>
  <c r="Y22" i="7"/>
  <c r="Z22" i="7"/>
  <c r="AA22" i="7"/>
  <c r="O23" i="7"/>
  <c r="P23" i="7"/>
  <c r="Q23" i="7"/>
  <c r="R23" i="7"/>
  <c r="V23" i="7"/>
  <c r="W23" i="7"/>
  <c r="X23" i="7"/>
  <c r="Y23" i="7"/>
  <c r="Z23" i="7"/>
  <c r="AA23" i="7"/>
  <c r="O24" i="7"/>
  <c r="P24" i="7"/>
  <c r="Q24" i="7"/>
  <c r="R24" i="7"/>
  <c r="V24" i="7"/>
  <c r="W24" i="7"/>
  <c r="X24" i="7"/>
  <c r="U24" i="7"/>
  <c r="Y24" i="7"/>
  <c r="Z24" i="7"/>
  <c r="AA24" i="7"/>
  <c r="O25" i="7"/>
  <c r="P25" i="7"/>
  <c r="Q25" i="7"/>
  <c r="R25" i="7"/>
  <c r="V25" i="7"/>
  <c r="W25" i="7"/>
  <c r="X25" i="7"/>
  <c r="Y25" i="7"/>
  <c r="Z25" i="7"/>
  <c r="AA25" i="7"/>
  <c r="O26" i="7"/>
  <c r="P26" i="7"/>
  <c r="Q26" i="7"/>
  <c r="T26" i="7"/>
  <c r="R26" i="7"/>
  <c r="V26" i="7"/>
  <c r="W26" i="7"/>
  <c r="X26" i="7"/>
  <c r="U26" i="7"/>
  <c r="S26" i="7"/>
  <c r="Y26" i="7"/>
  <c r="Z26" i="7"/>
  <c r="AA26" i="7"/>
  <c r="O27" i="7"/>
  <c r="P27" i="7"/>
  <c r="Q27" i="7"/>
  <c r="R27" i="7"/>
  <c r="V27" i="7"/>
  <c r="W27" i="7"/>
  <c r="X27" i="7"/>
  <c r="Y27" i="7"/>
  <c r="Z27" i="7"/>
  <c r="AA27" i="7"/>
  <c r="O28" i="7"/>
  <c r="P28" i="7"/>
  <c r="T28" i="7"/>
  <c r="Q28" i="7"/>
  <c r="R28" i="7"/>
  <c r="V28" i="7"/>
  <c r="U28" i="7"/>
  <c r="S28" i="7"/>
  <c r="W28" i="7"/>
  <c r="X28" i="7"/>
  <c r="Y28" i="7"/>
  <c r="Z28" i="7"/>
  <c r="AA28" i="7"/>
  <c r="O29" i="7"/>
  <c r="P29" i="7"/>
  <c r="Q29" i="7"/>
  <c r="R29" i="7"/>
  <c r="V29" i="7"/>
  <c r="W29" i="7"/>
  <c r="X29" i="7"/>
  <c r="Y29" i="7"/>
  <c r="Z29" i="7"/>
  <c r="AA29" i="7"/>
  <c r="O30" i="7"/>
  <c r="P30" i="7"/>
  <c r="T30" i="7"/>
  <c r="Q30" i="7"/>
  <c r="R30" i="7"/>
  <c r="V30" i="7"/>
  <c r="U30" i="7"/>
  <c r="S30" i="7"/>
  <c r="W30" i="7"/>
  <c r="X30" i="7"/>
  <c r="Y30" i="7"/>
  <c r="Z30" i="7"/>
  <c r="AA30" i="7"/>
  <c r="O31" i="7"/>
  <c r="P31" i="7"/>
  <c r="Q31" i="7"/>
  <c r="R31" i="7"/>
  <c r="V31" i="7"/>
  <c r="W31" i="7"/>
  <c r="X31" i="7"/>
  <c r="Y31" i="7"/>
  <c r="Z31" i="7"/>
  <c r="AA31" i="7"/>
  <c r="O32" i="7"/>
  <c r="P32" i="7"/>
  <c r="Q32" i="7"/>
  <c r="R32" i="7"/>
  <c r="V32" i="7"/>
  <c r="W32" i="7"/>
  <c r="X32" i="7"/>
  <c r="Y32" i="7"/>
  <c r="Z32" i="7"/>
  <c r="AA32" i="7"/>
  <c r="O33" i="7"/>
  <c r="T33" i="7"/>
  <c r="P33" i="7"/>
  <c r="Q33" i="7"/>
  <c r="R33" i="7"/>
  <c r="V33" i="7"/>
  <c r="U33" i="7"/>
  <c r="W33" i="7"/>
  <c r="X33" i="7"/>
  <c r="Y33" i="7"/>
  <c r="Z33" i="7"/>
  <c r="AA33" i="7"/>
  <c r="O34" i="7"/>
  <c r="P34" i="7"/>
  <c r="Q34" i="7"/>
  <c r="R34" i="7"/>
  <c r="T34" i="7"/>
  <c r="V34" i="7"/>
  <c r="W34" i="7"/>
  <c r="X34" i="7"/>
  <c r="Y34" i="7"/>
  <c r="Z34" i="7"/>
  <c r="AA34" i="7"/>
  <c r="O35" i="7"/>
  <c r="P35" i="7"/>
  <c r="Q35" i="7"/>
  <c r="R35" i="7"/>
  <c r="V35" i="7"/>
  <c r="W35" i="7"/>
  <c r="U35" i="7"/>
  <c r="X35" i="7"/>
  <c r="Y35" i="7"/>
  <c r="Z35" i="7"/>
  <c r="AA35" i="7"/>
  <c r="O36" i="7"/>
  <c r="P36" i="7"/>
  <c r="Q36" i="7"/>
  <c r="R36" i="7"/>
  <c r="T36" i="7"/>
  <c r="V36" i="7"/>
  <c r="W36" i="7"/>
  <c r="X36" i="7"/>
  <c r="Y36" i="7"/>
  <c r="Z36" i="7"/>
  <c r="AA36" i="7"/>
  <c r="O37" i="7"/>
  <c r="P37" i="7"/>
  <c r="Q37" i="7"/>
  <c r="R37" i="7"/>
  <c r="V37" i="7"/>
  <c r="W37" i="7"/>
  <c r="X37" i="7"/>
  <c r="Y37" i="7"/>
  <c r="Z37" i="7"/>
  <c r="AA37" i="7"/>
  <c r="O38" i="7"/>
  <c r="P38" i="7"/>
  <c r="Q38" i="7"/>
  <c r="R38" i="7"/>
  <c r="T38" i="7"/>
  <c r="V38" i="7"/>
  <c r="W38" i="7"/>
  <c r="X38" i="7"/>
  <c r="U38" i="7"/>
  <c r="S38" i="7"/>
  <c r="C38" i="3"/>
  <c r="Y38" i="7"/>
  <c r="Z38" i="7"/>
  <c r="AA38" i="7"/>
  <c r="O39" i="7"/>
  <c r="P39" i="7"/>
  <c r="Q39" i="7"/>
  <c r="R39" i="7"/>
  <c r="V39" i="7"/>
  <c r="W39" i="7"/>
  <c r="X39" i="7"/>
  <c r="Y39" i="7"/>
  <c r="Z39" i="7"/>
  <c r="AA39" i="7"/>
  <c r="O40" i="7"/>
  <c r="P40" i="7"/>
  <c r="Q40" i="7"/>
  <c r="R40" i="7"/>
  <c r="V40" i="7"/>
  <c r="W40" i="7"/>
  <c r="X40" i="7"/>
  <c r="Y40" i="7"/>
  <c r="Z40" i="7"/>
  <c r="AA40" i="7"/>
  <c r="O41" i="7"/>
  <c r="P41" i="7"/>
  <c r="Q41" i="7"/>
  <c r="T41" i="7"/>
  <c r="R41" i="7"/>
  <c r="V41" i="7"/>
  <c r="U41" i="7"/>
  <c r="S41" i="7"/>
  <c r="C41" i="23"/>
  <c r="W41" i="7"/>
  <c r="X41" i="7"/>
  <c r="Y41" i="7"/>
  <c r="Z41" i="7"/>
  <c r="AA41" i="7"/>
  <c r="O42" i="7"/>
  <c r="P42" i="7"/>
  <c r="Q42" i="7"/>
  <c r="R42" i="7"/>
  <c r="V42" i="7"/>
  <c r="W42" i="7"/>
  <c r="X42" i="7"/>
  <c r="Y42" i="7"/>
  <c r="Z42" i="7"/>
  <c r="AA42" i="7"/>
  <c r="O43" i="7"/>
  <c r="P43" i="7"/>
  <c r="Q43" i="7"/>
  <c r="T43" i="7"/>
  <c r="R43" i="7"/>
  <c r="V43" i="7"/>
  <c r="W43" i="7"/>
  <c r="X43" i="7"/>
  <c r="Y43" i="7"/>
  <c r="Z43" i="7"/>
  <c r="AA43" i="7"/>
  <c r="O44" i="7"/>
  <c r="P44" i="7"/>
  <c r="T44" i="7"/>
  <c r="Q44" i="7"/>
  <c r="R44" i="7"/>
  <c r="V44" i="7"/>
  <c r="U44" i="7"/>
  <c r="W44" i="7"/>
  <c r="X44" i="7"/>
  <c r="Y44" i="7"/>
  <c r="Z44" i="7"/>
  <c r="AA44" i="7"/>
  <c r="O45" i="7"/>
  <c r="P45" i="7"/>
  <c r="Q45" i="7"/>
  <c r="T45" i="7"/>
  <c r="R45" i="7"/>
  <c r="V45" i="7"/>
  <c r="W45" i="7"/>
  <c r="U45" i="7"/>
  <c r="X45" i="7"/>
  <c r="Y45" i="7"/>
  <c r="Z45" i="7"/>
  <c r="AA45" i="7"/>
  <c r="O46" i="7"/>
  <c r="P46" i="7"/>
  <c r="Q46" i="7"/>
  <c r="R46" i="7"/>
  <c r="V46" i="7"/>
  <c r="W46" i="7"/>
  <c r="U46" i="7"/>
  <c r="S46" i="7"/>
  <c r="X46" i="7"/>
  <c r="Y46" i="7"/>
  <c r="Z46" i="7"/>
  <c r="AA46" i="7"/>
  <c r="O47" i="7"/>
  <c r="P47" i="7"/>
  <c r="Q47" i="7"/>
  <c r="T47" i="7"/>
  <c r="R47" i="7"/>
  <c r="V47" i="7"/>
  <c r="W47" i="7"/>
  <c r="X47" i="7"/>
  <c r="U47" i="7"/>
  <c r="Y47" i="7"/>
  <c r="Z47" i="7"/>
  <c r="AA47" i="7"/>
  <c r="F1" i="44"/>
  <c r="A2" i="44"/>
  <c r="Q2" i="44"/>
  <c r="A3" i="44"/>
  <c r="Q3" i="44"/>
  <c r="A4" i="44"/>
  <c r="Q4" i="44"/>
  <c r="A5" i="44"/>
  <c r="Q5" i="44"/>
  <c r="A6" i="44"/>
  <c r="Q6" i="44"/>
  <c r="A7" i="44"/>
  <c r="Q7" i="44"/>
  <c r="A8" i="44"/>
  <c r="Q8" i="44"/>
  <c r="A9" i="44"/>
  <c r="Q9" i="44"/>
  <c r="A10" i="44"/>
  <c r="Q10" i="44"/>
  <c r="A11" i="44"/>
  <c r="Q11" i="44"/>
  <c r="A12" i="44"/>
  <c r="Q12" i="44"/>
  <c r="A13" i="44"/>
  <c r="Q13" i="44"/>
  <c r="A14" i="44"/>
  <c r="Q14" i="44"/>
  <c r="A15" i="44"/>
  <c r="Q15" i="44"/>
  <c r="A16" i="44"/>
  <c r="Q16" i="44"/>
  <c r="A17" i="44"/>
  <c r="Q17" i="44"/>
  <c r="A18" i="44"/>
  <c r="Q18" i="44"/>
  <c r="A19" i="44"/>
  <c r="Q19" i="44"/>
  <c r="A20" i="44"/>
  <c r="Q20" i="44"/>
  <c r="A21" i="44"/>
  <c r="Q21" i="44"/>
  <c r="A22" i="44"/>
  <c r="Q22" i="44"/>
  <c r="A23" i="44"/>
  <c r="Q23" i="44"/>
  <c r="A24" i="44"/>
  <c r="Q24" i="44"/>
  <c r="A25" i="44"/>
  <c r="Q25" i="44"/>
  <c r="A26" i="44"/>
  <c r="Q26" i="44"/>
  <c r="A27" i="44"/>
  <c r="Q27" i="44"/>
  <c r="A28" i="44"/>
  <c r="Q28" i="44"/>
  <c r="A29" i="44"/>
  <c r="Q29" i="44"/>
  <c r="A30" i="44"/>
  <c r="Q30" i="44"/>
  <c r="A31" i="44"/>
  <c r="Q31" i="44"/>
  <c r="A32" i="44"/>
  <c r="Q32" i="44"/>
  <c r="A33" i="44"/>
  <c r="Q33" i="44"/>
  <c r="A34" i="44"/>
  <c r="Q34" i="44"/>
  <c r="A35" i="44"/>
  <c r="Q35" i="44"/>
  <c r="A36" i="44"/>
  <c r="Q36" i="44"/>
  <c r="A37" i="44"/>
  <c r="Q37" i="44"/>
  <c r="A38" i="44"/>
  <c r="Q38" i="44"/>
  <c r="A39" i="44"/>
  <c r="Q39" i="44"/>
  <c r="A40" i="44"/>
  <c r="Q40" i="44"/>
  <c r="A41" i="44"/>
  <c r="Q41" i="44"/>
  <c r="A42" i="44"/>
  <c r="Q42" i="44"/>
  <c r="A43" i="44"/>
  <c r="Q43" i="44"/>
  <c r="A44" i="44"/>
  <c r="Q44" i="44"/>
  <c r="A45" i="44"/>
  <c r="Q45" i="44"/>
  <c r="A46" i="44"/>
  <c r="Q46" i="44"/>
  <c r="A47" i="44"/>
  <c r="Q47" i="44"/>
  <c r="A48" i="44"/>
  <c r="Q48" i="44"/>
  <c r="A49" i="44"/>
  <c r="Q49" i="44"/>
  <c r="A50" i="44"/>
  <c r="Q50" i="44"/>
  <c r="A51" i="44"/>
  <c r="Q51" i="44"/>
  <c r="A52" i="44"/>
  <c r="Q52" i="44"/>
  <c r="A53" i="44"/>
  <c r="Q53" i="44"/>
  <c r="A54" i="44"/>
  <c r="Q54" i="44"/>
  <c r="A55" i="44"/>
  <c r="Q55" i="44"/>
  <c r="A56" i="44"/>
  <c r="Q56" i="44"/>
  <c r="A57" i="44"/>
  <c r="Q57" i="44"/>
  <c r="A58" i="44"/>
  <c r="Q58" i="44"/>
  <c r="A59" i="44"/>
  <c r="Q59" i="44"/>
  <c r="A60" i="44"/>
  <c r="Q60" i="44"/>
  <c r="A61" i="44"/>
  <c r="Q61" i="44"/>
  <c r="A62" i="44"/>
  <c r="Q62" i="44"/>
  <c r="A63" i="44"/>
  <c r="Q63" i="44"/>
  <c r="A64" i="44"/>
  <c r="Q64" i="44"/>
  <c r="A65" i="44"/>
  <c r="Q65" i="44"/>
  <c r="A66" i="44"/>
  <c r="A67" i="44"/>
  <c r="Q67" i="44"/>
  <c r="A68" i="44"/>
  <c r="Q68" i="44"/>
  <c r="A69" i="44"/>
  <c r="Q69" i="44"/>
  <c r="A70" i="44"/>
  <c r="Q70" i="44"/>
  <c r="A71" i="44"/>
  <c r="A72" i="44"/>
  <c r="A73" i="44"/>
  <c r="A74" i="44"/>
  <c r="A75" i="44"/>
  <c r="A76" i="44"/>
  <c r="A77" i="44"/>
  <c r="A78" i="44"/>
  <c r="A79" i="44"/>
  <c r="Q79" i="44"/>
  <c r="A80" i="44"/>
  <c r="Q80" i="44"/>
  <c r="A81" i="44"/>
  <c r="Q81" i="44"/>
  <c r="A82" i="44"/>
  <c r="Q82" i="44"/>
  <c r="A83" i="44"/>
  <c r="Q83" i="44"/>
  <c r="A84" i="44"/>
  <c r="Q84" i="44"/>
  <c r="A85" i="44"/>
  <c r="Q85" i="44"/>
  <c r="A86" i="44"/>
  <c r="Q86" i="44"/>
  <c r="A87" i="44"/>
  <c r="Q87" i="44"/>
  <c r="A88" i="44"/>
  <c r="Q88" i="44"/>
  <c r="A89" i="44"/>
  <c r="Q89" i="44"/>
  <c r="A90" i="44"/>
  <c r="Q90" i="44"/>
  <c r="A91" i="44"/>
  <c r="Q91" i="44"/>
  <c r="A92" i="44"/>
  <c r="Q92" i="44"/>
  <c r="A93" i="44"/>
  <c r="Q93" i="44"/>
  <c r="A94" i="44"/>
  <c r="Q94" i="44"/>
  <c r="A95" i="44"/>
  <c r="Q95" i="44"/>
  <c r="A96" i="44"/>
  <c r="Q96" i="44"/>
  <c r="A97" i="44"/>
  <c r="Q97" i="44"/>
  <c r="A98" i="44"/>
  <c r="Q98" i="44"/>
  <c r="A99" i="44"/>
  <c r="Q99" i="44"/>
  <c r="A100" i="44"/>
  <c r="Q100" i="44"/>
  <c r="A101" i="44"/>
  <c r="Q101" i="44"/>
  <c r="H5" i="9"/>
  <c r="I5" i="9"/>
  <c r="J5" i="9"/>
  <c r="H6" i="9"/>
  <c r="I6" i="9"/>
  <c r="J6" i="9"/>
  <c r="H7" i="9"/>
  <c r="I7" i="9"/>
  <c r="J7" i="9"/>
  <c r="H8" i="9"/>
  <c r="I8" i="9"/>
  <c r="J8" i="9"/>
  <c r="H9" i="9"/>
  <c r="I9" i="9"/>
  <c r="J9" i="9"/>
  <c r="H10" i="9"/>
  <c r="I10" i="9"/>
  <c r="J10" i="9"/>
  <c r="H11" i="9"/>
  <c r="I11" i="9"/>
  <c r="J11" i="9"/>
  <c r="H12" i="9"/>
  <c r="I12" i="9"/>
  <c r="J12" i="9"/>
  <c r="H13" i="9"/>
  <c r="I13" i="9"/>
  <c r="J13" i="9"/>
  <c r="H14" i="9"/>
  <c r="I14" i="9"/>
  <c r="J14" i="9"/>
  <c r="H15" i="9"/>
  <c r="I15" i="9"/>
  <c r="J15" i="9"/>
  <c r="H16" i="9"/>
  <c r="I16" i="9"/>
  <c r="J16" i="9"/>
  <c r="H17" i="9"/>
  <c r="I17" i="9"/>
  <c r="J17" i="9"/>
  <c r="H18" i="9"/>
  <c r="I18" i="9"/>
  <c r="J18" i="9"/>
  <c r="H19" i="9"/>
  <c r="I19" i="9"/>
  <c r="J19" i="9"/>
  <c r="H20" i="9"/>
  <c r="I20" i="9"/>
  <c r="J20" i="9"/>
  <c r="H21" i="9"/>
  <c r="I21" i="9"/>
  <c r="J21" i="9"/>
  <c r="H22" i="9"/>
  <c r="I22" i="9"/>
  <c r="J22" i="9"/>
  <c r="H23" i="9"/>
  <c r="I23" i="9"/>
  <c r="J23" i="9"/>
  <c r="H24" i="9"/>
  <c r="I24" i="9"/>
  <c r="J24" i="9"/>
  <c r="H28" i="9"/>
  <c r="I28" i="9"/>
  <c r="J28" i="9"/>
  <c r="H29" i="9"/>
  <c r="I29" i="9"/>
  <c r="J29" i="9"/>
  <c r="H30" i="9"/>
  <c r="I30" i="9"/>
  <c r="J30" i="9"/>
  <c r="H31" i="9"/>
  <c r="I31" i="9"/>
  <c r="J31" i="9"/>
  <c r="H32" i="9"/>
  <c r="I32" i="9"/>
  <c r="J32" i="9"/>
  <c r="H33" i="9"/>
  <c r="I33" i="9"/>
  <c r="J33" i="9"/>
  <c r="H34" i="9"/>
  <c r="I34" i="9"/>
  <c r="J34" i="9"/>
  <c r="H35" i="9"/>
  <c r="I35" i="9"/>
  <c r="J35" i="9"/>
  <c r="H36" i="9"/>
  <c r="I36" i="9"/>
  <c r="J36" i="9"/>
  <c r="H37" i="9"/>
  <c r="I37" i="9"/>
  <c r="J37" i="9"/>
  <c r="H38" i="9"/>
  <c r="I38" i="9"/>
  <c r="J38" i="9"/>
  <c r="H39" i="9"/>
  <c r="I39" i="9"/>
  <c r="J39" i="9"/>
  <c r="H40" i="9"/>
  <c r="I40" i="9"/>
  <c r="J40" i="9"/>
  <c r="H41" i="9"/>
  <c r="I41" i="9"/>
  <c r="J41" i="9"/>
  <c r="H42" i="9"/>
  <c r="I42" i="9"/>
  <c r="J42" i="9"/>
  <c r="H43" i="9"/>
  <c r="I43" i="9"/>
  <c r="J43" i="9"/>
  <c r="H44" i="9"/>
  <c r="I44" i="9"/>
  <c r="J44" i="9"/>
  <c r="H45" i="9"/>
  <c r="I45" i="9"/>
  <c r="J45" i="9"/>
  <c r="H46" i="9"/>
  <c r="I46" i="9"/>
  <c r="J46" i="9"/>
  <c r="H47" i="9"/>
  <c r="I47" i="9"/>
  <c r="J47" i="9"/>
  <c r="A1" i="24"/>
  <c r="B1" i="24"/>
  <c r="C1" i="24"/>
  <c r="D1" i="24"/>
  <c r="E1" i="24"/>
  <c r="F1" i="24"/>
  <c r="G1" i="24"/>
  <c r="F3" i="24"/>
  <c r="G3" i="24"/>
  <c r="F4" i="24"/>
  <c r="G4" i="24"/>
  <c r="A5" i="24"/>
  <c r="F6" i="24"/>
  <c r="G6" i="24"/>
  <c r="F7" i="24"/>
  <c r="G7" i="24"/>
  <c r="F9" i="24"/>
  <c r="G9" i="24"/>
  <c r="F10" i="24"/>
  <c r="G10" i="24"/>
  <c r="F12" i="24"/>
  <c r="G12" i="24"/>
  <c r="F13" i="24"/>
  <c r="G13" i="24"/>
  <c r="F15" i="24"/>
  <c r="G15" i="24"/>
  <c r="F16" i="24"/>
  <c r="G16" i="24"/>
  <c r="F18" i="24"/>
  <c r="G18" i="24"/>
  <c r="F19" i="24"/>
  <c r="G19" i="24"/>
  <c r="F21" i="24"/>
  <c r="G21" i="24"/>
  <c r="F22" i="24"/>
  <c r="G22" i="24"/>
  <c r="A23" i="24"/>
  <c r="F24" i="24"/>
  <c r="G24" i="24"/>
  <c r="F25" i="24"/>
  <c r="G25" i="24"/>
  <c r="F27" i="24"/>
  <c r="G27" i="24"/>
  <c r="F28" i="24"/>
  <c r="G28" i="24"/>
  <c r="A29" i="24"/>
  <c r="F30" i="24"/>
  <c r="G30" i="24"/>
  <c r="F31" i="24"/>
  <c r="G31" i="24"/>
  <c r="F33" i="24"/>
  <c r="G33" i="24"/>
  <c r="F34" i="24"/>
  <c r="G34" i="24"/>
  <c r="F36" i="24"/>
  <c r="G36" i="24"/>
  <c r="F37" i="24"/>
  <c r="G37" i="24"/>
  <c r="F39" i="24"/>
  <c r="G39" i="24"/>
  <c r="F40" i="24"/>
  <c r="G40" i="24"/>
  <c r="F42" i="24"/>
  <c r="G42" i="24"/>
  <c r="F43" i="24"/>
  <c r="G43" i="24"/>
  <c r="F45" i="24"/>
  <c r="G45" i="24"/>
  <c r="F46" i="24"/>
  <c r="G46" i="24"/>
  <c r="F48" i="24"/>
  <c r="G48" i="24"/>
  <c r="F49" i="24"/>
  <c r="G49" i="24"/>
  <c r="F51" i="24"/>
  <c r="G51" i="24"/>
  <c r="F52" i="24"/>
  <c r="G52" i="24"/>
  <c r="F54" i="24"/>
  <c r="G54" i="24"/>
  <c r="F55" i="24"/>
  <c r="G55" i="24"/>
  <c r="F57" i="24"/>
  <c r="G57" i="24"/>
  <c r="F58" i="24"/>
  <c r="G58" i="24"/>
  <c r="F60" i="24"/>
  <c r="G60" i="24"/>
  <c r="F61" i="24"/>
  <c r="G61" i="24"/>
  <c r="F63" i="24"/>
  <c r="G63" i="24"/>
  <c r="F64" i="24"/>
  <c r="G64" i="24"/>
  <c r="F66" i="24"/>
  <c r="G66" i="24"/>
  <c r="F67" i="24"/>
  <c r="G67" i="24"/>
  <c r="F69" i="24"/>
  <c r="G69" i="24"/>
  <c r="F70" i="24"/>
  <c r="G70" i="24"/>
  <c r="F72" i="24"/>
  <c r="G72" i="24"/>
  <c r="F73" i="24"/>
  <c r="G73" i="24"/>
  <c r="F75" i="24"/>
  <c r="G75" i="24"/>
  <c r="F76" i="24"/>
  <c r="G76" i="24"/>
  <c r="F78" i="24"/>
  <c r="G78" i="24"/>
  <c r="F79" i="24"/>
  <c r="G79" i="24"/>
  <c r="F81" i="24"/>
  <c r="G81" i="24"/>
  <c r="F82" i="24"/>
  <c r="G82" i="24"/>
  <c r="F84" i="24"/>
  <c r="G84" i="24"/>
  <c r="F85" i="24"/>
  <c r="G85" i="24"/>
  <c r="F87" i="24"/>
  <c r="G87" i="24"/>
  <c r="F88" i="24"/>
  <c r="G88" i="24"/>
  <c r="F90" i="24"/>
  <c r="G90" i="24"/>
  <c r="F91" i="24"/>
  <c r="G91" i="24"/>
  <c r="F93" i="24"/>
  <c r="G93" i="24"/>
  <c r="F94" i="24"/>
  <c r="G94" i="24"/>
  <c r="F96" i="24"/>
  <c r="G96" i="24"/>
  <c r="F97" i="24"/>
  <c r="G97" i="24"/>
  <c r="F99" i="24"/>
  <c r="G99" i="24"/>
  <c r="F100" i="24"/>
  <c r="G100" i="24"/>
  <c r="F102" i="24"/>
  <c r="G102" i="24"/>
  <c r="F103" i="24"/>
  <c r="G103" i="24"/>
  <c r="F105" i="24"/>
  <c r="G105" i="24"/>
  <c r="F106" i="24"/>
  <c r="G106" i="24"/>
  <c r="F108" i="24"/>
  <c r="G108" i="24"/>
  <c r="F109" i="24"/>
  <c r="G109" i="24"/>
  <c r="A110" i="24"/>
  <c r="F111" i="24"/>
  <c r="G111" i="24"/>
  <c r="F112" i="24"/>
  <c r="G112" i="24"/>
  <c r="F114" i="24"/>
  <c r="G114" i="24"/>
  <c r="F115" i="24"/>
  <c r="G115" i="24"/>
  <c r="A116" i="24"/>
  <c r="F117" i="24"/>
  <c r="G117" i="24"/>
  <c r="F118" i="24"/>
  <c r="G118" i="24"/>
  <c r="F120" i="24"/>
  <c r="G120" i="24"/>
  <c r="F121" i="24"/>
  <c r="G121" i="24"/>
  <c r="F123" i="24"/>
  <c r="G123" i="24"/>
  <c r="F124" i="24"/>
  <c r="G124" i="24"/>
  <c r="F126" i="24"/>
  <c r="G126" i="24"/>
  <c r="F127" i="24"/>
  <c r="G127" i="24"/>
  <c r="A128" i="24"/>
  <c r="F129" i="24"/>
  <c r="G129" i="24"/>
  <c r="F130" i="24"/>
  <c r="G130" i="24"/>
  <c r="F132" i="24"/>
  <c r="G132" i="24"/>
  <c r="F133" i="24"/>
  <c r="G133" i="24"/>
  <c r="A134" i="24"/>
  <c r="F135" i="24"/>
  <c r="G135" i="24"/>
  <c r="F136" i="24"/>
  <c r="G136" i="24"/>
  <c r="F138" i="24"/>
  <c r="G138" i="24"/>
  <c r="F139" i="24"/>
  <c r="G139" i="24"/>
  <c r="F141" i="24"/>
  <c r="G141" i="24"/>
  <c r="F142" i="24"/>
  <c r="G142" i="24"/>
  <c r="F144" i="24"/>
  <c r="G144" i="24"/>
  <c r="F145" i="24"/>
  <c r="G145" i="24"/>
  <c r="F147" i="24"/>
  <c r="G147" i="24"/>
  <c r="F148" i="24"/>
  <c r="G148" i="24"/>
  <c r="F150" i="24"/>
  <c r="G150" i="24"/>
  <c r="F151" i="24"/>
  <c r="G151" i="24"/>
  <c r="F153" i="24"/>
  <c r="G153" i="24"/>
  <c r="F154" i="24"/>
  <c r="G154" i="24"/>
  <c r="F156" i="24"/>
  <c r="G156" i="24"/>
  <c r="F157" i="24"/>
  <c r="G157" i="24"/>
  <c r="F159" i="24"/>
  <c r="G159" i="24"/>
  <c r="F160" i="24"/>
  <c r="G160" i="24"/>
  <c r="A161" i="24"/>
  <c r="F162" i="24"/>
  <c r="G162" i="24"/>
  <c r="F163" i="24"/>
  <c r="G163" i="24"/>
  <c r="F165" i="24"/>
  <c r="G165" i="24"/>
  <c r="F166" i="24"/>
  <c r="G166" i="24"/>
  <c r="F168" i="24"/>
  <c r="G168" i="24"/>
  <c r="F169" i="24"/>
  <c r="G169" i="24"/>
  <c r="A170" i="24"/>
  <c r="F171" i="24"/>
  <c r="G171" i="24"/>
  <c r="F172" i="24"/>
  <c r="G172" i="24"/>
  <c r="F174" i="24"/>
  <c r="G174" i="24"/>
  <c r="F175" i="24"/>
  <c r="G175" i="24"/>
  <c r="F177" i="24"/>
  <c r="G177" i="24"/>
  <c r="F178" i="24"/>
  <c r="G178" i="24"/>
  <c r="F180" i="24"/>
  <c r="G180" i="24"/>
  <c r="F181" i="24"/>
  <c r="G181" i="24"/>
  <c r="F183" i="24"/>
  <c r="G183" i="24"/>
  <c r="F184" i="24"/>
  <c r="G184" i="24"/>
  <c r="A185" i="24"/>
  <c r="F186" i="24"/>
  <c r="G186" i="24"/>
  <c r="F187" i="24"/>
  <c r="G187" i="24"/>
  <c r="F189" i="24"/>
  <c r="G189" i="24"/>
  <c r="F190" i="24"/>
  <c r="G190" i="24"/>
  <c r="A191" i="24"/>
  <c r="F192" i="24"/>
  <c r="G192" i="24"/>
  <c r="F193" i="24"/>
  <c r="G193" i="24"/>
  <c r="F195" i="24"/>
  <c r="G195" i="24"/>
  <c r="F196" i="24"/>
  <c r="G196" i="24"/>
  <c r="A2" i="23"/>
  <c r="B2" i="23"/>
  <c r="A3" i="23"/>
  <c r="B3" i="23"/>
  <c r="A4" i="23"/>
  <c r="B4" i="23"/>
  <c r="A5" i="23"/>
  <c r="B5" i="23"/>
  <c r="A6" i="23"/>
  <c r="B6" i="23"/>
  <c r="A7" i="23"/>
  <c r="B7" i="23"/>
  <c r="A8" i="23"/>
  <c r="B8" i="23"/>
  <c r="A9" i="23"/>
  <c r="B9" i="23"/>
  <c r="A10" i="23"/>
  <c r="B10" i="23"/>
  <c r="A11" i="23"/>
  <c r="B11" i="23"/>
  <c r="A12" i="23"/>
  <c r="B12" i="23"/>
  <c r="A13" i="23"/>
  <c r="B13" i="23"/>
  <c r="A14" i="23"/>
  <c r="B14" i="23"/>
  <c r="A15" i="23"/>
  <c r="B15" i="23"/>
  <c r="A16" i="23"/>
  <c r="B16" i="23"/>
  <c r="A17" i="23"/>
  <c r="B17" i="23"/>
  <c r="A18" i="23"/>
  <c r="B18" i="23"/>
  <c r="A19" i="23"/>
  <c r="B19" i="23"/>
  <c r="A20" i="23"/>
  <c r="B20" i="23"/>
  <c r="A21" i="23"/>
  <c r="B21" i="23"/>
  <c r="A22" i="23"/>
  <c r="B22" i="23"/>
  <c r="A23" i="23"/>
  <c r="B23" i="23"/>
  <c r="A24" i="23"/>
  <c r="B24" i="23"/>
  <c r="A25" i="23"/>
  <c r="B25" i="23"/>
  <c r="A26" i="23"/>
  <c r="B26" i="23"/>
  <c r="A27" i="23"/>
  <c r="B27" i="23"/>
  <c r="A28" i="23"/>
  <c r="B28" i="23"/>
  <c r="A29" i="23"/>
  <c r="B29" i="23"/>
  <c r="A30" i="23"/>
  <c r="B30" i="23"/>
  <c r="A31" i="23"/>
  <c r="B31" i="23"/>
  <c r="A32" i="23"/>
  <c r="B32" i="23"/>
  <c r="A33" i="23"/>
  <c r="B33" i="23"/>
  <c r="A34" i="23"/>
  <c r="B34" i="23"/>
  <c r="A35" i="23"/>
  <c r="B35" i="23"/>
  <c r="A36" i="23"/>
  <c r="B36" i="23"/>
  <c r="A37" i="23"/>
  <c r="B37" i="23"/>
  <c r="A38" i="23"/>
  <c r="B38" i="23"/>
  <c r="A39" i="23"/>
  <c r="B39" i="23"/>
  <c r="A40" i="23"/>
  <c r="B40" i="23"/>
  <c r="A41" i="23"/>
  <c r="B41" i="23"/>
  <c r="A42" i="23"/>
  <c r="B42" i="23"/>
  <c r="A43" i="23"/>
  <c r="B43" i="23"/>
  <c r="A44" i="23"/>
  <c r="B44" i="23"/>
  <c r="A45" i="23"/>
  <c r="B45" i="23"/>
  <c r="A46" i="23"/>
  <c r="B46" i="23"/>
  <c r="A47" i="23"/>
  <c r="B47" i="23"/>
  <c r="C2" i="25"/>
  <c r="H2" i="25"/>
  <c r="I2" i="25"/>
  <c r="N2" i="25"/>
  <c r="O2" i="25"/>
  <c r="T2" i="25"/>
  <c r="U2" i="25"/>
  <c r="B3" i="25"/>
  <c r="C3" i="25"/>
  <c r="D3" i="25"/>
  <c r="E3" i="25"/>
  <c r="H3" i="25"/>
  <c r="I3" i="25"/>
  <c r="J3" i="25"/>
  <c r="K3" i="25"/>
  <c r="N3" i="25"/>
  <c r="O3" i="25"/>
  <c r="P3" i="25"/>
  <c r="Q3" i="25"/>
  <c r="T3" i="25"/>
  <c r="U3" i="25"/>
  <c r="V3" i="25"/>
  <c r="W3" i="25"/>
  <c r="C4" i="25"/>
  <c r="D4" i="25"/>
  <c r="E4" i="25"/>
  <c r="H4" i="25"/>
  <c r="I4" i="25"/>
  <c r="J4" i="25"/>
  <c r="K4" i="25"/>
  <c r="O4" i="25"/>
  <c r="P4" i="25"/>
  <c r="Q4" i="25"/>
  <c r="U4" i="25"/>
  <c r="V4" i="25"/>
  <c r="B5" i="25"/>
  <c r="C5" i="25"/>
  <c r="D5" i="25"/>
  <c r="E5" i="25"/>
  <c r="H5" i="25"/>
  <c r="I5" i="25"/>
  <c r="J5" i="25"/>
  <c r="K5" i="25"/>
  <c r="N5" i="25"/>
  <c r="O5" i="25"/>
  <c r="P5" i="25"/>
  <c r="Q5" i="25"/>
  <c r="T5" i="25"/>
  <c r="U5" i="25"/>
  <c r="V5" i="25"/>
  <c r="W5" i="25"/>
  <c r="C6" i="25"/>
  <c r="D6" i="25"/>
  <c r="E6" i="25"/>
  <c r="I6" i="25"/>
  <c r="J6" i="25"/>
  <c r="K6" i="25"/>
  <c r="O6" i="25"/>
  <c r="P6" i="25"/>
  <c r="Q6" i="25"/>
  <c r="U6" i="25"/>
  <c r="V6" i="25"/>
  <c r="B7" i="25"/>
  <c r="C7" i="25"/>
  <c r="D7" i="25"/>
  <c r="E7" i="25"/>
  <c r="H7" i="25"/>
  <c r="I7" i="25"/>
  <c r="J7" i="25"/>
  <c r="K7" i="25"/>
  <c r="N7" i="25"/>
  <c r="O7" i="25"/>
  <c r="P7" i="25"/>
  <c r="Q7" i="25"/>
  <c r="T7" i="25"/>
  <c r="U7" i="25"/>
  <c r="V7" i="25"/>
  <c r="W7" i="25"/>
  <c r="C8" i="25"/>
  <c r="D8" i="25"/>
  <c r="E8" i="25"/>
  <c r="I8" i="25"/>
  <c r="J8" i="25"/>
  <c r="K8" i="25"/>
  <c r="O8" i="25"/>
  <c r="P8" i="25"/>
  <c r="Q8" i="25"/>
  <c r="U8" i="25"/>
  <c r="V8" i="25"/>
  <c r="B9" i="25"/>
  <c r="C9" i="25"/>
  <c r="D9" i="25"/>
  <c r="E9" i="25"/>
  <c r="H9" i="25"/>
  <c r="I9" i="25"/>
  <c r="J9" i="25"/>
  <c r="K9" i="25"/>
  <c r="N9" i="25"/>
  <c r="O9" i="25"/>
  <c r="P9" i="25"/>
  <c r="Q9" i="25"/>
  <c r="T9" i="25"/>
  <c r="U9" i="25"/>
  <c r="V9" i="25"/>
  <c r="W9" i="25"/>
  <c r="C10" i="25"/>
  <c r="D10" i="25"/>
  <c r="E10" i="25"/>
  <c r="I10" i="25"/>
  <c r="J10" i="25"/>
  <c r="K10" i="25"/>
  <c r="O10" i="25"/>
  <c r="P10" i="25"/>
  <c r="Q10" i="25"/>
  <c r="U10" i="25"/>
  <c r="V10" i="25"/>
  <c r="B11" i="25"/>
  <c r="C11" i="25"/>
  <c r="D11" i="25"/>
  <c r="E11" i="25"/>
  <c r="H11" i="25"/>
  <c r="I11" i="25"/>
  <c r="J11" i="25"/>
  <c r="K11" i="25"/>
  <c r="N11" i="25"/>
  <c r="O11" i="25"/>
  <c r="P11" i="25"/>
  <c r="Q11" i="25"/>
  <c r="T11" i="25"/>
  <c r="U11" i="25"/>
  <c r="V11" i="25"/>
  <c r="W11" i="25"/>
  <c r="C12" i="25"/>
  <c r="D12" i="25"/>
  <c r="E12" i="25"/>
  <c r="I12" i="25"/>
  <c r="J12" i="25"/>
  <c r="K12" i="25"/>
  <c r="O12" i="25"/>
  <c r="P12" i="25"/>
  <c r="Q12" i="25"/>
  <c r="U12" i="25"/>
  <c r="V12" i="25"/>
  <c r="B13" i="25"/>
  <c r="C13" i="25"/>
  <c r="D13" i="25"/>
  <c r="E13" i="25"/>
  <c r="H13" i="25"/>
  <c r="I13" i="25"/>
  <c r="J13" i="25"/>
  <c r="K13" i="25"/>
  <c r="N13" i="25"/>
  <c r="O13" i="25"/>
  <c r="P13" i="25"/>
  <c r="Q13" i="25"/>
  <c r="T13" i="25"/>
  <c r="U13" i="25"/>
  <c r="V13" i="25"/>
  <c r="W13" i="25"/>
  <c r="C14" i="25"/>
  <c r="D14" i="25"/>
  <c r="E14" i="25"/>
  <c r="I14" i="25"/>
  <c r="J14" i="25"/>
  <c r="K14" i="25"/>
  <c r="O14" i="25"/>
  <c r="P14" i="25"/>
  <c r="Q14" i="25"/>
  <c r="U14" i="25"/>
  <c r="V14" i="25"/>
  <c r="B15" i="25"/>
  <c r="C15" i="25"/>
  <c r="D15" i="25"/>
  <c r="E15" i="25"/>
  <c r="H15" i="25"/>
  <c r="I15" i="25"/>
  <c r="J15" i="25"/>
  <c r="K15" i="25"/>
  <c r="N15" i="25"/>
  <c r="O15" i="25"/>
  <c r="P15" i="25"/>
  <c r="Q15" i="25"/>
  <c r="T15" i="25"/>
  <c r="U15" i="25"/>
  <c r="V15" i="25"/>
  <c r="W15" i="25"/>
  <c r="C16" i="25"/>
  <c r="D16" i="25"/>
  <c r="E16" i="25"/>
  <c r="I16" i="25"/>
  <c r="J16" i="25"/>
  <c r="K16" i="25"/>
  <c r="O16" i="25"/>
  <c r="P16" i="25"/>
  <c r="Q16" i="25"/>
  <c r="U16" i="25"/>
  <c r="V16" i="25"/>
  <c r="B17" i="25"/>
  <c r="C17" i="25"/>
  <c r="D17" i="25"/>
  <c r="E17" i="25"/>
  <c r="H17" i="25"/>
  <c r="I17" i="25"/>
  <c r="J17" i="25"/>
  <c r="K17" i="25"/>
  <c r="N17" i="25"/>
  <c r="O17" i="25"/>
  <c r="P17" i="25"/>
  <c r="Q17" i="25"/>
  <c r="T17" i="25"/>
  <c r="U17" i="25"/>
  <c r="V17" i="25"/>
  <c r="W17" i="25"/>
  <c r="C18" i="25"/>
  <c r="D18" i="25"/>
  <c r="E18" i="25"/>
  <c r="I18" i="25"/>
  <c r="J18" i="25"/>
  <c r="K18" i="25"/>
  <c r="O18" i="25"/>
  <c r="P18" i="25"/>
  <c r="Q18" i="25"/>
  <c r="U18" i="25"/>
  <c r="V18" i="25"/>
  <c r="B19" i="25"/>
  <c r="C19" i="25"/>
  <c r="D19" i="25"/>
  <c r="E19" i="25"/>
  <c r="H19" i="25"/>
  <c r="I19" i="25"/>
  <c r="J19" i="25"/>
  <c r="K19" i="25"/>
  <c r="N19" i="25"/>
  <c r="O19" i="25"/>
  <c r="P19" i="25"/>
  <c r="Q19" i="25"/>
  <c r="C20" i="25"/>
  <c r="D20" i="25"/>
  <c r="E20" i="25"/>
  <c r="I20" i="25"/>
  <c r="J20" i="25"/>
  <c r="K20" i="25"/>
  <c r="O20" i="25"/>
  <c r="P20" i="25"/>
  <c r="Q20" i="25"/>
  <c r="B21" i="25"/>
  <c r="C21" i="25"/>
  <c r="D21" i="25"/>
  <c r="E21" i="25"/>
  <c r="H21" i="25"/>
  <c r="I21" i="25"/>
  <c r="J21" i="25"/>
  <c r="K21" i="25"/>
  <c r="N21" i="25"/>
  <c r="O21" i="25"/>
  <c r="P21" i="25"/>
  <c r="Q21" i="25"/>
  <c r="C22" i="25"/>
  <c r="D22" i="25"/>
  <c r="E22" i="25"/>
  <c r="I22" i="25"/>
  <c r="J22" i="25"/>
  <c r="K22" i="25"/>
  <c r="O22" i="25"/>
  <c r="P22" i="25"/>
  <c r="Q22" i="25"/>
  <c r="T22" i="25"/>
  <c r="B23" i="25"/>
  <c r="C23" i="25"/>
  <c r="D23" i="25"/>
  <c r="E23" i="25"/>
  <c r="H23" i="25"/>
  <c r="I23" i="25"/>
  <c r="J23" i="25"/>
  <c r="K23" i="25"/>
  <c r="N23" i="25"/>
  <c r="O23" i="25"/>
  <c r="P23" i="25"/>
  <c r="Q23" i="25"/>
  <c r="C24" i="25"/>
  <c r="D24" i="25"/>
  <c r="E24" i="25"/>
  <c r="I24" i="25"/>
  <c r="J24" i="25"/>
  <c r="K24" i="25"/>
  <c r="O24" i="25"/>
  <c r="P24" i="25"/>
  <c r="Q24" i="25"/>
  <c r="B25" i="25"/>
  <c r="C25" i="25"/>
  <c r="D25" i="25"/>
  <c r="E25" i="25"/>
  <c r="H25" i="25"/>
  <c r="I25" i="25"/>
  <c r="J25" i="25"/>
  <c r="K25" i="25"/>
  <c r="N25" i="25"/>
  <c r="O25" i="25"/>
  <c r="P25" i="25"/>
  <c r="Q25" i="25"/>
  <c r="U25" i="25"/>
  <c r="V25" i="25"/>
  <c r="C26" i="25"/>
  <c r="D26" i="25"/>
  <c r="E26" i="25"/>
  <c r="I26" i="25"/>
  <c r="J26" i="25"/>
  <c r="K26" i="25"/>
  <c r="O26" i="25"/>
  <c r="P26" i="25"/>
  <c r="Q26" i="25"/>
  <c r="U26" i="25"/>
  <c r="V26" i="25"/>
  <c r="B27" i="25"/>
  <c r="C27" i="25"/>
  <c r="D27" i="25"/>
  <c r="E27" i="25"/>
  <c r="H27" i="25"/>
  <c r="I27" i="25"/>
  <c r="J27" i="25"/>
  <c r="K27" i="25"/>
  <c r="N27" i="25"/>
  <c r="O27" i="25"/>
  <c r="P27" i="25"/>
  <c r="Q27" i="25"/>
  <c r="U27" i="25"/>
  <c r="V27" i="25"/>
  <c r="W27" i="25"/>
  <c r="C28" i="25"/>
  <c r="D28" i="25"/>
  <c r="E28" i="25"/>
  <c r="I28" i="25"/>
  <c r="J28" i="25"/>
  <c r="K28" i="25"/>
  <c r="O28" i="25"/>
  <c r="P28" i="25"/>
  <c r="Q28" i="25"/>
  <c r="U28" i="25"/>
  <c r="V28" i="25"/>
  <c r="B29" i="25"/>
  <c r="C29" i="25"/>
  <c r="D29" i="25"/>
  <c r="E29" i="25"/>
  <c r="H29" i="25"/>
  <c r="I29" i="25"/>
  <c r="J29" i="25"/>
  <c r="K29" i="25"/>
  <c r="N29" i="25"/>
  <c r="O29" i="25"/>
  <c r="P29" i="25"/>
  <c r="Q29" i="25"/>
  <c r="U29" i="25"/>
  <c r="V29" i="25"/>
  <c r="W29" i="25"/>
  <c r="C30" i="25"/>
  <c r="D30" i="25"/>
  <c r="E30" i="25"/>
  <c r="I30" i="25"/>
  <c r="J30" i="25"/>
  <c r="K30" i="25"/>
  <c r="O30" i="25"/>
  <c r="P30" i="25"/>
  <c r="Q30" i="25"/>
  <c r="U30" i="25"/>
  <c r="V30" i="25"/>
  <c r="B31" i="25"/>
  <c r="C31" i="25"/>
  <c r="D31" i="25"/>
  <c r="E31" i="25"/>
  <c r="H31" i="25"/>
  <c r="I31" i="25"/>
  <c r="J31" i="25"/>
  <c r="K31" i="25"/>
  <c r="N31" i="25"/>
  <c r="O31" i="25"/>
  <c r="P31" i="25"/>
  <c r="Q31" i="25"/>
  <c r="C32" i="25"/>
  <c r="D32" i="25"/>
  <c r="E32" i="25"/>
  <c r="I32" i="25"/>
  <c r="J32" i="25"/>
  <c r="K32" i="25"/>
  <c r="O32" i="25"/>
  <c r="P32" i="25"/>
  <c r="Q32" i="25"/>
  <c r="B33" i="25"/>
  <c r="C33" i="25"/>
  <c r="D33" i="25"/>
  <c r="E33" i="25"/>
  <c r="H33" i="25"/>
  <c r="I33" i="25"/>
  <c r="J33" i="25"/>
  <c r="K33" i="25"/>
  <c r="N33" i="25"/>
  <c r="O33" i="25"/>
  <c r="P33" i="25"/>
  <c r="Q33" i="25"/>
  <c r="C34" i="25"/>
  <c r="D34" i="25"/>
  <c r="E34" i="25"/>
  <c r="I34" i="25"/>
  <c r="J34" i="25"/>
  <c r="K34" i="25"/>
  <c r="O34" i="25"/>
  <c r="P34" i="25"/>
  <c r="Q34" i="25"/>
  <c r="B35" i="25"/>
  <c r="C35" i="25"/>
  <c r="D35" i="25"/>
  <c r="E35" i="25"/>
  <c r="H35" i="25"/>
  <c r="I35" i="25"/>
  <c r="J35" i="25"/>
  <c r="K35" i="25"/>
  <c r="Q35" i="25"/>
  <c r="C36" i="25"/>
  <c r="D36" i="25"/>
  <c r="E36" i="25"/>
  <c r="I36" i="25"/>
  <c r="J36" i="25"/>
  <c r="K36" i="25"/>
  <c r="Q36" i="25"/>
  <c r="B37" i="25"/>
  <c r="C37" i="25"/>
  <c r="D37" i="25"/>
  <c r="E37" i="25"/>
  <c r="H37" i="25"/>
  <c r="I37" i="25"/>
  <c r="J37" i="25"/>
  <c r="K37" i="25"/>
  <c r="Q37" i="25"/>
  <c r="C38" i="25"/>
  <c r="D38" i="25"/>
  <c r="E38" i="25"/>
  <c r="I38" i="25"/>
  <c r="J38" i="25"/>
  <c r="K38" i="25"/>
  <c r="N38" i="25"/>
  <c r="Q38" i="25"/>
  <c r="B39" i="25"/>
  <c r="C39" i="25"/>
  <c r="D39" i="25"/>
  <c r="E39" i="25"/>
  <c r="H39" i="25"/>
  <c r="I39" i="25"/>
  <c r="J39" i="25"/>
  <c r="K39" i="25"/>
  <c r="O39" i="25"/>
  <c r="P39" i="25"/>
  <c r="Q39" i="25"/>
  <c r="T39" i="25"/>
  <c r="U39" i="25"/>
  <c r="C40" i="25"/>
  <c r="D40" i="25"/>
  <c r="E40" i="25"/>
  <c r="I40" i="25"/>
  <c r="J40" i="25"/>
  <c r="K40" i="25"/>
  <c r="O40" i="25"/>
  <c r="P40" i="25"/>
  <c r="Q40" i="25"/>
  <c r="T40" i="25"/>
  <c r="U40" i="25"/>
  <c r="V40" i="25"/>
  <c r="W40" i="25"/>
  <c r="B41" i="25"/>
  <c r="C41" i="25"/>
  <c r="D41" i="25"/>
  <c r="E41" i="25"/>
  <c r="H41" i="25"/>
  <c r="I41" i="25"/>
  <c r="J41" i="25"/>
  <c r="K41" i="25"/>
  <c r="O41" i="25"/>
  <c r="P41" i="25"/>
  <c r="Q41" i="25"/>
  <c r="U41" i="25"/>
  <c r="V41" i="25"/>
  <c r="W41" i="25"/>
  <c r="C42" i="25"/>
  <c r="D42" i="25"/>
  <c r="E42" i="25"/>
  <c r="I42" i="25"/>
  <c r="J42" i="25"/>
  <c r="K42" i="25"/>
  <c r="O42" i="25"/>
  <c r="P42" i="25"/>
  <c r="Q42" i="25"/>
  <c r="T42" i="25"/>
  <c r="U42" i="25"/>
  <c r="V42" i="25"/>
  <c r="W42" i="25"/>
  <c r="B43" i="25"/>
  <c r="C43" i="25"/>
  <c r="D43" i="25"/>
  <c r="E43" i="25"/>
  <c r="H43" i="25"/>
  <c r="I43" i="25"/>
  <c r="J43" i="25"/>
  <c r="K43" i="25"/>
  <c r="O43" i="25"/>
  <c r="P43" i="25"/>
  <c r="Q43" i="25"/>
  <c r="U43" i="25"/>
  <c r="V43" i="25"/>
  <c r="W43" i="25"/>
  <c r="C44" i="25"/>
  <c r="D44" i="25"/>
  <c r="E44" i="25"/>
  <c r="I44" i="25"/>
  <c r="J44" i="25"/>
  <c r="K44" i="25"/>
  <c r="O44" i="25"/>
  <c r="P44" i="25"/>
  <c r="Q44" i="25"/>
  <c r="T44" i="25"/>
  <c r="U44" i="25"/>
  <c r="V44" i="25"/>
  <c r="W44" i="25"/>
  <c r="B45" i="25"/>
  <c r="C45" i="25"/>
  <c r="D45" i="25"/>
  <c r="E45" i="25"/>
  <c r="H45" i="25"/>
  <c r="I45" i="25"/>
  <c r="J45" i="25"/>
  <c r="K45" i="25"/>
  <c r="O45" i="25"/>
  <c r="P45" i="25"/>
  <c r="Q45" i="25"/>
  <c r="U45" i="25"/>
  <c r="V45" i="25"/>
  <c r="W45" i="25"/>
  <c r="C46" i="25"/>
  <c r="D46" i="25"/>
  <c r="E46" i="25"/>
  <c r="I46" i="25"/>
  <c r="J46" i="25"/>
  <c r="K46" i="25"/>
  <c r="O46" i="25"/>
  <c r="P46" i="25"/>
  <c r="Q46" i="25"/>
  <c r="T46" i="25"/>
  <c r="U46" i="25"/>
  <c r="V46" i="25"/>
  <c r="W46" i="25"/>
  <c r="B47" i="25"/>
  <c r="C47" i="25"/>
  <c r="D47" i="25"/>
  <c r="E47" i="25"/>
  <c r="H47" i="25"/>
  <c r="I47" i="25"/>
  <c r="J47" i="25"/>
  <c r="K47" i="25"/>
  <c r="O47" i="25"/>
  <c r="P47" i="25"/>
  <c r="Q47" i="25"/>
  <c r="U47" i="25"/>
  <c r="V47" i="25"/>
  <c r="W47" i="25"/>
  <c r="C48" i="25"/>
  <c r="D48" i="25"/>
  <c r="E48" i="25"/>
  <c r="I48" i="25"/>
  <c r="J48" i="25"/>
  <c r="K48" i="25"/>
  <c r="O48" i="25"/>
  <c r="P48" i="25"/>
  <c r="Q48" i="25"/>
  <c r="B49" i="25"/>
  <c r="C49" i="25"/>
  <c r="D49" i="25"/>
  <c r="E49" i="25"/>
  <c r="H49" i="25"/>
  <c r="I49" i="25"/>
  <c r="J49" i="25"/>
  <c r="K49" i="25"/>
  <c r="C50" i="25"/>
  <c r="D50" i="25"/>
  <c r="E50" i="25"/>
  <c r="I50" i="25"/>
  <c r="J50" i="25"/>
  <c r="K50" i="25"/>
  <c r="T50" i="25"/>
  <c r="B51" i="25"/>
  <c r="C51" i="25"/>
  <c r="D51" i="25"/>
  <c r="E51" i="25"/>
  <c r="H51" i="25"/>
  <c r="I51" i="25"/>
  <c r="J51" i="25"/>
  <c r="K51" i="25"/>
  <c r="U51" i="25"/>
  <c r="V51" i="25"/>
  <c r="W51" i="25"/>
  <c r="C52" i="25"/>
  <c r="D52" i="25"/>
  <c r="E52" i="25"/>
  <c r="I52" i="25"/>
  <c r="J52" i="25"/>
  <c r="K52" i="25"/>
  <c r="U52" i="25"/>
  <c r="V52" i="25"/>
  <c r="W52" i="25"/>
  <c r="B53" i="25"/>
  <c r="C53" i="25"/>
  <c r="D53" i="25"/>
  <c r="E53" i="25"/>
  <c r="H53" i="25"/>
  <c r="I53" i="25"/>
  <c r="J53" i="25"/>
  <c r="K53" i="25"/>
  <c r="U53" i="25"/>
  <c r="V53" i="25"/>
  <c r="W53" i="25"/>
  <c r="C54" i="25"/>
  <c r="D54" i="25"/>
  <c r="E54" i="25"/>
  <c r="I54" i="25"/>
  <c r="J54" i="25"/>
  <c r="K54" i="25"/>
  <c r="U54" i="25"/>
  <c r="V54" i="25"/>
  <c r="W54" i="25"/>
  <c r="B55" i="25"/>
  <c r="C55" i="25"/>
  <c r="D55" i="25"/>
  <c r="E55" i="25"/>
  <c r="H55" i="25"/>
  <c r="I55" i="25"/>
  <c r="J55" i="25"/>
  <c r="K55" i="25"/>
  <c r="U55" i="25"/>
  <c r="V55" i="25"/>
  <c r="W55" i="25"/>
  <c r="C56" i="25"/>
  <c r="D56" i="25"/>
  <c r="E56" i="25"/>
  <c r="I56" i="25"/>
  <c r="J56" i="25"/>
  <c r="K56" i="25"/>
  <c r="U56" i="25"/>
  <c r="V56" i="25"/>
  <c r="W56" i="25"/>
  <c r="B57" i="25"/>
  <c r="C57" i="25"/>
  <c r="D57" i="25"/>
  <c r="E57" i="25"/>
  <c r="H57" i="25"/>
  <c r="I57" i="25"/>
  <c r="J57" i="25"/>
  <c r="K57" i="25"/>
  <c r="U57" i="25"/>
  <c r="V57" i="25"/>
  <c r="W57" i="25"/>
  <c r="C58" i="25"/>
  <c r="D58" i="25"/>
  <c r="E58" i="25"/>
  <c r="I58" i="25"/>
  <c r="J58" i="25"/>
  <c r="K58" i="25"/>
  <c r="U58" i="25"/>
  <c r="V58" i="25"/>
  <c r="W58" i="25"/>
  <c r="B59" i="25"/>
  <c r="C59" i="25"/>
  <c r="D59" i="25"/>
  <c r="E59" i="25"/>
  <c r="H59" i="25"/>
  <c r="I59" i="25"/>
  <c r="J59" i="25"/>
  <c r="K59" i="25"/>
  <c r="C60" i="25"/>
  <c r="D60" i="25"/>
  <c r="E60" i="25"/>
  <c r="I60" i="25"/>
  <c r="J60" i="25"/>
  <c r="K60" i="25"/>
  <c r="B61" i="25"/>
  <c r="C61" i="25"/>
  <c r="D61" i="25"/>
  <c r="E61" i="25"/>
  <c r="H61" i="25"/>
  <c r="I61" i="25"/>
  <c r="J61" i="25"/>
  <c r="K61" i="25"/>
  <c r="C62" i="25"/>
  <c r="D62" i="25"/>
  <c r="E62" i="25"/>
  <c r="I62" i="25"/>
  <c r="J62" i="25"/>
  <c r="K62" i="25"/>
  <c r="B63" i="25"/>
  <c r="C63" i="25"/>
  <c r="D63" i="25"/>
  <c r="E63" i="25"/>
  <c r="H63" i="25"/>
  <c r="I63" i="25"/>
  <c r="J63" i="25"/>
  <c r="K63" i="25"/>
  <c r="C64" i="25"/>
  <c r="D64" i="25"/>
  <c r="E64" i="25"/>
  <c r="I64" i="25"/>
  <c r="J64" i="25"/>
  <c r="K64" i="25"/>
  <c r="T64" i="25"/>
  <c r="U64" i="25"/>
  <c r="B65" i="25"/>
  <c r="C65" i="25"/>
  <c r="D65" i="25"/>
  <c r="E65" i="25"/>
  <c r="H65" i="25"/>
  <c r="I65" i="25"/>
  <c r="J65" i="25"/>
  <c r="K65" i="25"/>
  <c r="T65" i="25"/>
  <c r="U65" i="25"/>
  <c r="V65" i="25"/>
  <c r="W65" i="25"/>
  <c r="C66" i="25"/>
  <c r="D66" i="25"/>
  <c r="E66" i="25"/>
  <c r="I66" i="25"/>
  <c r="J66" i="25"/>
  <c r="K66" i="25"/>
  <c r="U66" i="25"/>
  <c r="V66" i="25"/>
  <c r="B67" i="25"/>
  <c r="C67" i="25"/>
  <c r="D67" i="25"/>
  <c r="E67" i="25"/>
  <c r="T67" i="25"/>
  <c r="U67" i="25"/>
  <c r="V67" i="25"/>
  <c r="W67" i="25"/>
  <c r="C68" i="25"/>
  <c r="D68" i="25"/>
  <c r="E68" i="25"/>
  <c r="U68" i="25"/>
  <c r="V68" i="25"/>
  <c r="B69" i="25"/>
  <c r="C69" i="25"/>
  <c r="D69" i="25"/>
  <c r="E69" i="25"/>
  <c r="H69" i="25"/>
  <c r="C70" i="25"/>
  <c r="D70" i="25"/>
  <c r="E70" i="25"/>
  <c r="H70" i="25"/>
  <c r="I70" i="25"/>
  <c r="J70" i="25"/>
  <c r="K70" i="25"/>
  <c r="T70" i="25"/>
  <c r="B71" i="25"/>
  <c r="C71" i="25"/>
  <c r="D71" i="25"/>
  <c r="E71" i="25"/>
  <c r="H71" i="25"/>
  <c r="I71" i="25"/>
  <c r="J71" i="25"/>
  <c r="K71" i="25"/>
  <c r="U71" i="25"/>
  <c r="V71" i="25"/>
  <c r="W71" i="25"/>
  <c r="C72" i="25"/>
  <c r="D72" i="25"/>
  <c r="E72" i="25"/>
  <c r="H72" i="25"/>
  <c r="I72" i="25"/>
  <c r="J72" i="25"/>
  <c r="K72" i="25"/>
  <c r="U72" i="25"/>
  <c r="V72" i="25"/>
  <c r="B73" i="25"/>
  <c r="C73" i="25"/>
  <c r="D73" i="25"/>
  <c r="E73" i="25"/>
  <c r="H73" i="25"/>
  <c r="I73" i="25"/>
  <c r="J73" i="25"/>
  <c r="K73" i="25"/>
  <c r="U73" i="25"/>
  <c r="V73" i="25"/>
  <c r="W73" i="25"/>
  <c r="C74" i="25"/>
  <c r="D74" i="25"/>
  <c r="E74" i="25"/>
  <c r="H74" i="25"/>
  <c r="I74" i="25"/>
  <c r="J74" i="25"/>
  <c r="K74" i="25"/>
  <c r="U74" i="25"/>
  <c r="V74" i="25"/>
  <c r="H75" i="25"/>
  <c r="I75" i="25"/>
  <c r="J75" i="25"/>
  <c r="K75" i="25"/>
  <c r="H76" i="25"/>
  <c r="I76" i="25"/>
  <c r="J76" i="25"/>
  <c r="K76" i="25"/>
  <c r="H77" i="25"/>
  <c r="I77" i="25"/>
  <c r="J77" i="25"/>
  <c r="K77" i="25"/>
  <c r="C78" i="25"/>
  <c r="D78" i="25"/>
  <c r="E78" i="25"/>
  <c r="H78" i="25"/>
  <c r="I78" i="25"/>
  <c r="J78" i="25"/>
  <c r="K78" i="25"/>
  <c r="C79" i="25"/>
  <c r="D79" i="25"/>
  <c r="H79" i="25"/>
  <c r="I79" i="25"/>
  <c r="J79" i="25"/>
  <c r="K79" i="25"/>
  <c r="C80" i="25"/>
  <c r="D80" i="25"/>
  <c r="E80" i="25"/>
  <c r="H80" i="25"/>
  <c r="I80" i="25"/>
  <c r="J80" i="25"/>
  <c r="K80" i="25"/>
  <c r="C81" i="25"/>
  <c r="D81" i="25"/>
  <c r="H81" i="25"/>
  <c r="I81" i="25"/>
  <c r="J81" i="25"/>
  <c r="K81" i="25"/>
  <c r="T81" i="25"/>
  <c r="U81" i="25"/>
  <c r="C82" i="25"/>
  <c r="D82" i="25"/>
  <c r="E82" i="25"/>
  <c r="H82" i="25"/>
  <c r="I82" i="25"/>
  <c r="J82" i="25"/>
  <c r="K82" i="25"/>
  <c r="T82" i="25"/>
  <c r="U82" i="25"/>
  <c r="V82" i="25"/>
  <c r="W82" i="25"/>
  <c r="C83" i="25"/>
  <c r="D83" i="25"/>
  <c r="E83" i="25"/>
  <c r="H83" i="25"/>
  <c r="I83" i="25"/>
  <c r="J83" i="25"/>
  <c r="K83" i="25"/>
  <c r="U83" i="25"/>
  <c r="V83" i="25"/>
  <c r="C84" i="25"/>
  <c r="D84" i="25"/>
  <c r="E84" i="25"/>
  <c r="H84" i="25"/>
  <c r="I84" i="25"/>
  <c r="J84" i="25"/>
  <c r="K84" i="25"/>
  <c r="C85" i="25"/>
  <c r="D85" i="25"/>
  <c r="E85" i="25"/>
  <c r="H85" i="25"/>
  <c r="I85" i="25"/>
  <c r="J85" i="25"/>
  <c r="K85" i="25"/>
  <c r="C86" i="25"/>
  <c r="D86" i="25"/>
  <c r="E86" i="25"/>
  <c r="H86" i="25"/>
  <c r="I86" i="25"/>
  <c r="J86" i="25"/>
  <c r="K86" i="25"/>
  <c r="T86" i="25"/>
  <c r="C87" i="25"/>
  <c r="D87" i="25"/>
  <c r="E87" i="25"/>
  <c r="H87" i="25"/>
  <c r="I87" i="25"/>
  <c r="J87" i="25"/>
  <c r="K87" i="25"/>
  <c r="U87" i="25"/>
  <c r="V87" i="25"/>
  <c r="W87" i="25"/>
  <c r="C88" i="25"/>
  <c r="D88" i="25"/>
  <c r="E88" i="25"/>
  <c r="H88" i="25"/>
  <c r="I88" i="25"/>
  <c r="J88" i="25"/>
  <c r="K88" i="25"/>
  <c r="U88" i="25"/>
  <c r="V88" i="25"/>
  <c r="W88" i="25"/>
  <c r="C89" i="25"/>
  <c r="D89" i="25"/>
  <c r="E89" i="25"/>
  <c r="H89" i="25"/>
  <c r="I89" i="25"/>
  <c r="J89" i="25"/>
  <c r="K89" i="25"/>
  <c r="U89" i="25"/>
  <c r="V89" i="25"/>
  <c r="W89" i="25"/>
  <c r="C90" i="25"/>
  <c r="D90" i="25"/>
  <c r="E90" i="25"/>
  <c r="H90" i="25"/>
  <c r="I90" i="25"/>
  <c r="J90" i="25"/>
  <c r="K90" i="25"/>
  <c r="U90" i="25"/>
  <c r="V90" i="25"/>
  <c r="W90" i="25"/>
  <c r="C91" i="25"/>
  <c r="D91" i="25"/>
  <c r="E91" i="25"/>
  <c r="H91" i="25"/>
  <c r="I91" i="25"/>
  <c r="J91" i="25"/>
  <c r="K91" i="25"/>
  <c r="C92" i="25"/>
  <c r="D92" i="25"/>
  <c r="E92" i="25"/>
  <c r="H92" i="25"/>
  <c r="I92" i="25"/>
  <c r="J92" i="25"/>
  <c r="K92" i="25"/>
  <c r="C93" i="25"/>
  <c r="D93" i="25"/>
  <c r="E93" i="25"/>
  <c r="H93" i="25"/>
  <c r="I93" i="25"/>
  <c r="J93" i="25"/>
  <c r="K93" i="25"/>
  <c r="C94" i="25"/>
  <c r="B2" i="2"/>
  <c r="D2" i="2"/>
  <c r="F2" i="2"/>
  <c r="G49" i="22"/>
  <c r="G2" i="2"/>
  <c r="H49" i="22"/>
  <c r="J2" i="2"/>
  <c r="K49" i="22"/>
  <c r="K2" i="2"/>
  <c r="M49" i="22"/>
  <c r="BX2" i="2"/>
  <c r="BY2" i="2"/>
  <c r="BZ2" i="2"/>
  <c r="B3" i="2"/>
  <c r="D3" i="2"/>
  <c r="F3" i="2"/>
  <c r="G17" i="22"/>
  <c r="G3" i="2"/>
  <c r="H17" i="22"/>
  <c r="J3" i="2"/>
  <c r="K17" i="22"/>
  <c r="K3" i="2"/>
  <c r="M17" i="22"/>
  <c r="BX3" i="2"/>
  <c r="BY3" i="2"/>
  <c r="BZ3" i="2"/>
  <c r="B4" i="2"/>
  <c r="D4" i="2"/>
  <c r="F4" i="2"/>
  <c r="G4" i="2"/>
  <c r="H38" i="22"/>
  <c r="J4" i="2"/>
  <c r="K4" i="2"/>
  <c r="M38" i="22"/>
  <c r="BX4" i="2"/>
  <c r="BY4" i="2"/>
  <c r="BZ4" i="2"/>
  <c r="B5" i="2"/>
  <c r="D5" i="2"/>
  <c r="F5" i="2"/>
  <c r="G3" i="22"/>
  <c r="D5" i="34"/>
  <c r="G5" i="2"/>
  <c r="H3" i="22"/>
  <c r="E5" i="34"/>
  <c r="J5" i="2"/>
  <c r="K3" i="22"/>
  <c r="K5" i="2"/>
  <c r="M3" i="22"/>
  <c r="BX5" i="2"/>
  <c r="BY5" i="2"/>
  <c r="BZ5" i="2"/>
  <c r="B6" i="2"/>
  <c r="D6" i="2"/>
  <c r="F6" i="2"/>
  <c r="G20" i="22"/>
  <c r="G6" i="2"/>
  <c r="H20" i="22"/>
  <c r="C2" i="54"/>
  <c r="J6" i="2"/>
  <c r="K6" i="2"/>
  <c r="M20" i="22"/>
  <c r="BX6" i="2"/>
  <c r="BY6" i="2"/>
  <c r="BZ6" i="2"/>
  <c r="B7" i="2"/>
  <c r="D7" i="2"/>
  <c r="F7" i="2"/>
  <c r="G16" i="22"/>
  <c r="G7" i="2"/>
  <c r="H16" i="22"/>
  <c r="J7" i="2"/>
  <c r="K16" i="22"/>
  <c r="K7" i="2"/>
  <c r="M16" i="22"/>
  <c r="BX7" i="2"/>
  <c r="BY7" i="2"/>
  <c r="BZ7" i="2"/>
  <c r="B8" i="2"/>
  <c r="D8" i="2"/>
  <c r="F8" i="2"/>
  <c r="G51" i="22"/>
  <c r="D23" i="34"/>
  <c r="G8" i="2"/>
  <c r="H51" i="22"/>
  <c r="J8" i="2"/>
  <c r="K51" i="22"/>
  <c r="K8" i="2"/>
  <c r="M51" i="22"/>
  <c r="BX8" i="2"/>
  <c r="BY8" i="2"/>
  <c r="BZ8" i="2"/>
  <c r="B9" i="2"/>
  <c r="D9" i="2"/>
  <c r="F9" i="2"/>
  <c r="G9" i="2"/>
  <c r="H60" i="22"/>
  <c r="J9" i="2"/>
  <c r="K60" i="22"/>
  <c r="K9" i="2"/>
  <c r="M60" i="22"/>
  <c r="BX9" i="2"/>
  <c r="BY9" i="2"/>
  <c r="BZ9" i="2"/>
  <c r="B10" i="2"/>
  <c r="D10" i="2"/>
  <c r="F10" i="2"/>
  <c r="G8" i="22"/>
  <c r="G10" i="2"/>
  <c r="H8" i="22"/>
  <c r="J10" i="2"/>
  <c r="K8" i="22"/>
  <c r="K10" i="2"/>
  <c r="BX10" i="2"/>
  <c r="BY10" i="2"/>
  <c r="BZ10" i="2"/>
  <c r="B11" i="2"/>
  <c r="D11" i="2"/>
  <c r="F11" i="2"/>
  <c r="G57" i="22"/>
  <c r="G11" i="2"/>
  <c r="H57" i="22"/>
  <c r="J11" i="2"/>
  <c r="K57" i="22"/>
  <c r="K11" i="2"/>
  <c r="M57" i="22"/>
  <c r="BX11" i="2"/>
  <c r="BY11" i="2"/>
  <c r="BZ11" i="2"/>
  <c r="B12" i="2"/>
  <c r="D12" i="2"/>
  <c r="F12" i="2"/>
  <c r="G31" i="22"/>
  <c r="G12" i="2"/>
  <c r="H31" i="22"/>
  <c r="J12" i="2"/>
  <c r="K31" i="22"/>
  <c r="K12" i="2"/>
  <c r="BX12" i="2"/>
  <c r="BY12" i="2"/>
  <c r="BZ12" i="2"/>
  <c r="B13" i="2"/>
  <c r="D13" i="2"/>
  <c r="F13" i="2"/>
  <c r="G63" i="22"/>
  <c r="G13" i="2"/>
  <c r="H63" i="22"/>
  <c r="J13" i="2"/>
  <c r="K63" i="22"/>
  <c r="K13" i="2"/>
  <c r="BX13" i="2"/>
  <c r="BY13" i="2"/>
  <c r="BZ13" i="2"/>
  <c r="B14" i="2"/>
  <c r="D14" i="2"/>
  <c r="F14" i="2"/>
  <c r="G37" i="22"/>
  <c r="G14" i="2"/>
  <c r="H37" i="22"/>
  <c r="J14" i="2"/>
  <c r="K14" i="2"/>
  <c r="M37" i="22"/>
  <c r="BX14" i="2"/>
  <c r="BY14" i="2"/>
  <c r="BZ14" i="2"/>
  <c r="B15" i="2"/>
  <c r="D15" i="2"/>
  <c r="F15" i="2"/>
  <c r="G4" i="22"/>
  <c r="G15" i="2"/>
  <c r="H4" i="22"/>
  <c r="J15" i="2"/>
  <c r="K4" i="22"/>
  <c r="K15" i="2"/>
  <c r="M4" i="22"/>
  <c r="BX15" i="2"/>
  <c r="BY15" i="2"/>
  <c r="BZ15" i="2"/>
  <c r="B16" i="2"/>
  <c r="D16" i="2"/>
  <c r="F16" i="2"/>
  <c r="G16" i="2"/>
  <c r="H42" i="22"/>
  <c r="J16" i="2"/>
  <c r="K42" i="22"/>
  <c r="K16" i="2"/>
  <c r="M42" i="22"/>
  <c r="BX16" i="2"/>
  <c r="BY16" i="2"/>
  <c r="BZ16" i="2"/>
  <c r="B17" i="2"/>
  <c r="D17" i="2"/>
  <c r="F17" i="2"/>
  <c r="G59" i="22"/>
  <c r="G17" i="2"/>
  <c r="H59" i="22"/>
  <c r="J17" i="2"/>
  <c r="K59" i="22"/>
  <c r="K17" i="2"/>
  <c r="BX17" i="2"/>
  <c r="BY17" i="2"/>
  <c r="BZ17" i="2"/>
  <c r="B18" i="2"/>
  <c r="D18" i="2"/>
  <c r="F18" i="2"/>
  <c r="G66" i="22"/>
  <c r="G18" i="2"/>
  <c r="H66" i="22"/>
  <c r="J18" i="2"/>
  <c r="K66" i="22"/>
  <c r="K18" i="2"/>
  <c r="BX18" i="2"/>
  <c r="BY18" i="2"/>
  <c r="BZ18" i="2"/>
  <c r="B19" i="2"/>
  <c r="D19" i="2"/>
  <c r="F19" i="2"/>
  <c r="G39" i="22"/>
  <c r="G19" i="2"/>
  <c r="H39" i="22"/>
  <c r="J19" i="2"/>
  <c r="K39" i="22"/>
  <c r="K19" i="2"/>
  <c r="M39" i="22"/>
  <c r="BX19" i="2"/>
  <c r="BY19" i="2"/>
  <c r="BZ19" i="2"/>
  <c r="B20" i="2"/>
  <c r="D20" i="2"/>
  <c r="F20" i="2"/>
  <c r="G41" i="22"/>
  <c r="AC11" i="34"/>
  <c r="G20" i="2"/>
  <c r="H41" i="22"/>
  <c r="J20" i="2"/>
  <c r="K41" i="22"/>
  <c r="K20" i="2"/>
  <c r="M41" i="22"/>
  <c r="BX20" i="2"/>
  <c r="BY20" i="2"/>
  <c r="BZ20" i="2"/>
  <c r="B21" i="2"/>
  <c r="D21" i="2"/>
  <c r="F21" i="2"/>
  <c r="G56" i="22"/>
  <c r="G21" i="2"/>
  <c r="H56" i="22"/>
  <c r="J21" i="2"/>
  <c r="K56" i="22"/>
  <c r="K21" i="2"/>
  <c r="M56" i="22"/>
  <c r="BX21" i="2"/>
  <c r="BY21" i="2"/>
  <c r="BZ21" i="2"/>
  <c r="B22" i="2"/>
  <c r="D22" i="2"/>
  <c r="F22" i="2"/>
  <c r="G18" i="22"/>
  <c r="G22" i="2"/>
  <c r="H18" i="22"/>
  <c r="J22" i="2"/>
  <c r="K18" i="22"/>
  <c r="K22" i="2"/>
  <c r="M18" i="22"/>
  <c r="BX22" i="2"/>
  <c r="BY22" i="2"/>
  <c r="BZ22" i="2"/>
  <c r="B23" i="2"/>
  <c r="D23" i="2"/>
  <c r="F23" i="2"/>
  <c r="G50" i="22"/>
  <c r="G23" i="2"/>
  <c r="H50" i="22"/>
  <c r="J23" i="2"/>
  <c r="K23" i="2"/>
  <c r="M50" i="22"/>
  <c r="BX23" i="2"/>
  <c r="BY23" i="2"/>
  <c r="BZ23" i="2"/>
  <c r="B24" i="2"/>
  <c r="D24" i="2"/>
  <c r="F24" i="2"/>
  <c r="G52" i="22"/>
  <c r="G24" i="2"/>
  <c r="H52" i="22"/>
  <c r="J24" i="2"/>
  <c r="K52" i="22"/>
  <c r="K24" i="2"/>
  <c r="BX24" i="2"/>
  <c r="BY24" i="2"/>
  <c r="BZ24" i="2"/>
  <c r="B25" i="2"/>
  <c r="D25" i="2"/>
  <c r="F25" i="2"/>
  <c r="G14" i="22"/>
  <c r="W16" i="34"/>
  <c r="G25" i="2"/>
  <c r="H14" i="22"/>
  <c r="J25" i="2"/>
  <c r="K14" i="22"/>
  <c r="K25" i="2"/>
  <c r="M14" i="22"/>
  <c r="BX25" i="2"/>
  <c r="BY25" i="2"/>
  <c r="BZ25" i="2"/>
  <c r="B26" i="2"/>
  <c r="D26" i="2"/>
  <c r="F26" i="2"/>
  <c r="G53" i="22"/>
  <c r="D25" i="34"/>
  <c r="G26" i="2"/>
  <c r="H53" i="22"/>
  <c r="E25" i="34"/>
  <c r="J26" i="2"/>
  <c r="K53" i="22"/>
  <c r="K26" i="2"/>
  <c r="BX26" i="2"/>
  <c r="BY26" i="2"/>
  <c r="BZ26" i="2"/>
  <c r="B27" i="2"/>
  <c r="D27" i="2"/>
  <c r="F27" i="2"/>
  <c r="G27" i="2"/>
  <c r="H58" i="22"/>
  <c r="J27" i="2"/>
  <c r="K58" i="22"/>
  <c r="K27" i="2"/>
  <c r="M58" i="22"/>
  <c r="BX27" i="2"/>
  <c r="BY27" i="2"/>
  <c r="BZ27" i="2"/>
  <c r="B28" i="2"/>
  <c r="D28" i="2"/>
  <c r="F28" i="2"/>
  <c r="G43" i="22"/>
  <c r="G28" i="2"/>
  <c r="H43" i="22"/>
  <c r="J28" i="2"/>
  <c r="K43" i="22"/>
  <c r="K28" i="2"/>
  <c r="BX28" i="2"/>
  <c r="BY28" i="2"/>
  <c r="BZ28" i="2"/>
  <c r="B29" i="2"/>
  <c r="D29" i="2"/>
  <c r="F29" i="2"/>
  <c r="G64" i="22"/>
  <c r="G29" i="2"/>
  <c r="H64" i="22"/>
  <c r="J29" i="2"/>
  <c r="K64" i="22"/>
  <c r="K29" i="2"/>
  <c r="M64" i="22"/>
  <c r="BX29" i="2"/>
  <c r="BY29" i="2"/>
  <c r="BZ29" i="2"/>
  <c r="B30" i="2"/>
  <c r="D30" i="2"/>
  <c r="F30" i="2"/>
  <c r="G27" i="22"/>
  <c r="G30" i="2"/>
  <c r="H27" i="22"/>
  <c r="J30" i="2"/>
  <c r="K27" i="22"/>
  <c r="K30" i="2"/>
  <c r="M27" i="22"/>
  <c r="BX30" i="2"/>
  <c r="BY30" i="2"/>
  <c r="BZ30" i="2"/>
  <c r="B31" i="2"/>
  <c r="D31" i="2"/>
  <c r="F31" i="2"/>
  <c r="G36" i="22"/>
  <c r="G31" i="2"/>
  <c r="H36" i="22"/>
  <c r="C3" i="54"/>
  <c r="J31" i="2"/>
  <c r="K36" i="22"/>
  <c r="K31" i="2"/>
  <c r="M36" i="22"/>
  <c r="BX31" i="2"/>
  <c r="BY31" i="2"/>
  <c r="BZ31" i="2"/>
  <c r="B32" i="2"/>
  <c r="D32" i="2"/>
  <c r="F32" i="2"/>
  <c r="G32" i="22"/>
  <c r="G32" i="2"/>
  <c r="H32" i="22"/>
  <c r="J32" i="2"/>
  <c r="K32" i="22"/>
  <c r="K32" i="2"/>
  <c r="M32" i="22"/>
  <c r="BX32" i="2"/>
  <c r="BY32" i="2"/>
  <c r="BZ32" i="2"/>
  <c r="B33" i="2"/>
  <c r="D33" i="2"/>
  <c r="F33" i="2"/>
  <c r="G65" i="22"/>
  <c r="G33" i="2"/>
  <c r="H65" i="22"/>
  <c r="J33" i="2"/>
  <c r="K65" i="22"/>
  <c r="K33" i="2"/>
  <c r="M65" i="22"/>
  <c r="BX33" i="2"/>
  <c r="BY33" i="2"/>
  <c r="BZ33" i="2"/>
  <c r="B34" i="2"/>
  <c r="D34" i="2"/>
  <c r="F34" i="2"/>
  <c r="G28" i="22"/>
  <c r="G34" i="2"/>
  <c r="H28" i="22"/>
  <c r="J34" i="2"/>
  <c r="K28" i="22"/>
  <c r="K34" i="2"/>
  <c r="M28" i="22"/>
  <c r="BX34" i="2"/>
  <c r="BY34" i="2"/>
  <c r="BZ34" i="2"/>
  <c r="B35" i="2"/>
  <c r="D35" i="2"/>
  <c r="F35" i="2"/>
  <c r="G19" i="22"/>
  <c r="G35" i="2"/>
  <c r="H19" i="22"/>
  <c r="J35" i="2"/>
  <c r="K19" i="22"/>
  <c r="K35" i="2"/>
  <c r="BX35" i="2"/>
  <c r="BY35" i="2"/>
  <c r="BZ35" i="2"/>
  <c r="B36" i="2"/>
  <c r="D36" i="2"/>
  <c r="F36" i="2"/>
  <c r="G12" i="22"/>
  <c r="G36" i="2"/>
  <c r="J36" i="2"/>
  <c r="K12" i="22"/>
  <c r="K36" i="2"/>
  <c r="N36" i="2"/>
  <c r="BX36" i="2"/>
  <c r="BY36" i="2"/>
  <c r="BZ36" i="2"/>
  <c r="B37" i="2"/>
  <c r="D37" i="2"/>
  <c r="F37" i="2"/>
  <c r="G61" i="22"/>
  <c r="G37" i="2"/>
  <c r="H61" i="22"/>
  <c r="J37" i="2"/>
  <c r="K61" i="22"/>
  <c r="K37" i="2"/>
  <c r="M61" i="22"/>
  <c r="BX37" i="2"/>
  <c r="BY37" i="2"/>
  <c r="BZ37" i="2"/>
  <c r="B38" i="2"/>
  <c r="D38" i="2"/>
  <c r="F38" i="2"/>
  <c r="G25" i="22"/>
  <c r="G38" i="2"/>
  <c r="H25" i="22"/>
  <c r="J38" i="2"/>
  <c r="K25" i="22"/>
  <c r="K38" i="2"/>
  <c r="M25" i="22"/>
  <c r="BX38" i="2"/>
  <c r="BY38" i="2"/>
  <c r="BZ38" i="2"/>
  <c r="B39" i="2"/>
  <c r="D39" i="2"/>
  <c r="F39" i="2"/>
  <c r="G29" i="22"/>
  <c r="G39" i="2"/>
  <c r="H29" i="22"/>
  <c r="J39" i="2"/>
  <c r="K29" i="22"/>
  <c r="K39" i="2"/>
  <c r="M29" i="22"/>
  <c r="BX39" i="2"/>
  <c r="BY39" i="2"/>
  <c r="BZ39" i="2"/>
  <c r="B40" i="2"/>
  <c r="D40" i="2"/>
  <c r="F40" i="2"/>
  <c r="G15" i="22"/>
  <c r="G40" i="2"/>
  <c r="H15" i="22"/>
  <c r="J40" i="2"/>
  <c r="K15" i="22"/>
  <c r="K40" i="2"/>
  <c r="M15" i="22"/>
  <c r="BX40" i="2"/>
  <c r="BY40" i="2"/>
  <c r="BZ40" i="2"/>
  <c r="B41" i="2"/>
  <c r="D41" i="2"/>
  <c r="F41" i="2"/>
  <c r="G30" i="22"/>
  <c r="G41" i="2"/>
  <c r="H30" i="22"/>
  <c r="J41" i="2"/>
  <c r="K30" i="22"/>
  <c r="K41" i="2"/>
  <c r="BX41" i="2"/>
  <c r="BY41" i="2"/>
  <c r="BZ41" i="2"/>
  <c r="B42" i="2"/>
  <c r="D42" i="2"/>
  <c r="F42" i="2"/>
  <c r="G62" i="22"/>
  <c r="G42" i="2"/>
  <c r="H62" i="22"/>
  <c r="J42" i="2"/>
  <c r="K62" i="22"/>
  <c r="K42" i="2"/>
  <c r="M62" i="22"/>
  <c r="BX42" i="2"/>
  <c r="BY42" i="2"/>
  <c r="BZ42" i="2"/>
  <c r="B43" i="2"/>
  <c r="D43" i="2"/>
  <c r="F43" i="2"/>
  <c r="G7" i="22"/>
  <c r="G43" i="2"/>
  <c r="H7" i="22"/>
  <c r="J43" i="2"/>
  <c r="K7" i="22"/>
  <c r="K43" i="2"/>
  <c r="M7" i="22"/>
  <c r="BX43" i="2"/>
  <c r="BY43" i="2"/>
  <c r="BZ43" i="2"/>
  <c r="B44" i="2"/>
  <c r="D44" i="2"/>
  <c r="F44" i="2"/>
  <c r="G10" i="22"/>
  <c r="G44" i="2"/>
  <c r="H10" i="22"/>
  <c r="C5" i="54"/>
  <c r="J44" i="2"/>
  <c r="K10" i="22"/>
  <c r="K44" i="2"/>
  <c r="M10" i="22"/>
  <c r="BX44" i="2"/>
  <c r="BY44" i="2"/>
  <c r="BZ44" i="2"/>
  <c r="B45" i="2"/>
  <c r="D45" i="2"/>
  <c r="F45" i="2"/>
  <c r="G54" i="22"/>
  <c r="G45" i="2"/>
  <c r="H54" i="22"/>
  <c r="J45" i="2"/>
  <c r="K54" i="22"/>
  <c r="K45" i="2"/>
  <c r="BX45" i="2"/>
  <c r="BY45" i="2"/>
  <c r="BZ45" i="2"/>
  <c r="B46" i="2"/>
  <c r="D46" i="2"/>
  <c r="F46" i="2"/>
  <c r="G22" i="22"/>
  <c r="D14" i="34"/>
  <c r="G46" i="2"/>
  <c r="H22" i="22"/>
  <c r="J46" i="2"/>
  <c r="K22" i="22"/>
  <c r="K46" i="2"/>
  <c r="M22" i="22"/>
  <c r="BX46" i="2"/>
  <c r="BY46" i="2"/>
  <c r="BZ46" i="2"/>
  <c r="B47" i="2"/>
  <c r="D47" i="2"/>
  <c r="F47" i="2"/>
  <c r="G33" i="22"/>
  <c r="G47" i="2"/>
  <c r="H33" i="22"/>
  <c r="J47" i="2"/>
  <c r="K33" i="22"/>
  <c r="K47" i="2"/>
  <c r="M33" i="22"/>
  <c r="BX47" i="2"/>
  <c r="BY47" i="2"/>
  <c r="BZ47" i="2"/>
  <c r="B48" i="2"/>
  <c r="D48" i="2"/>
  <c r="F48" i="2"/>
  <c r="G46" i="22"/>
  <c r="G48" i="2"/>
  <c r="H46" i="22"/>
  <c r="J48" i="2"/>
  <c r="K46" i="22"/>
  <c r="K48" i="2"/>
  <c r="M46" i="22"/>
  <c r="BX48" i="2"/>
  <c r="BY48" i="2"/>
  <c r="BZ48" i="2"/>
  <c r="B49" i="2"/>
  <c r="D49" i="2"/>
  <c r="F49" i="2"/>
  <c r="G34" i="22"/>
  <c r="G49" i="2"/>
  <c r="H34" i="22"/>
  <c r="J49" i="2"/>
  <c r="K34" i="22"/>
  <c r="K49" i="2"/>
  <c r="M34" i="22"/>
  <c r="BX49" i="2"/>
  <c r="BY49" i="2"/>
  <c r="BZ49" i="2"/>
  <c r="B50" i="2"/>
  <c r="D50" i="2"/>
  <c r="F50" i="2"/>
  <c r="G48" i="22"/>
  <c r="G50" i="2"/>
  <c r="H48" i="22"/>
  <c r="J50" i="2"/>
  <c r="K48" i="22"/>
  <c r="K50" i="2"/>
  <c r="M48" i="22"/>
  <c r="BX50" i="2"/>
  <c r="BY50" i="2"/>
  <c r="BZ50" i="2"/>
  <c r="B51" i="2"/>
  <c r="D51" i="2"/>
  <c r="F51" i="2"/>
  <c r="G2" i="22"/>
  <c r="G51" i="2"/>
  <c r="H2" i="22"/>
  <c r="J51" i="2"/>
  <c r="K2" i="22"/>
  <c r="K51" i="2"/>
  <c r="M2" i="22"/>
  <c r="BX51" i="2"/>
  <c r="BY51" i="2"/>
  <c r="BZ51" i="2"/>
  <c r="B52" i="2"/>
  <c r="D52" i="2"/>
  <c r="F52" i="2"/>
  <c r="G11" i="22"/>
  <c r="G52" i="2"/>
  <c r="J52" i="2"/>
  <c r="K11" i="22"/>
  <c r="K52" i="2"/>
  <c r="M11" i="22"/>
  <c r="BX52" i="2"/>
  <c r="BY52" i="2"/>
  <c r="BZ52" i="2"/>
  <c r="B53" i="2"/>
  <c r="D53" i="2"/>
  <c r="F53" i="2"/>
  <c r="G55" i="22"/>
  <c r="G53" i="2"/>
  <c r="H55" i="22"/>
  <c r="J53" i="2"/>
  <c r="K55" i="22"/>
  <c r="K53" i="2"/>
  <c r="M55" i="22"/>
  <c r="BX53" i="2"/>
  <c r="BY53" i="2"/>
  <c r="BZ53" i="2"/>
  <c r="B54" i="2"/>
  <c r="D54" i="2"/>
  <c r="F54" i="2"/>
  <c r="G24" i="22"/>
  <c r="G54" i="2"/>
  <c r="H24" i="22"/>
  <c r="J54" i="2"/>
  <c r="K24" i="22"/>
  <c r="K54" i="2"/>
  <c r="M24" i="22"/>
  <c r="BX54" i="2"/>
  <c r="BY54" i="2"/>
  <c r="BZ54" i="2"/>
  <c r="B55" i="2"/>
  <c r="D55" i="2"/>
  <c r="F55" i="2"/>
  <c r="G40" i="22"/>
  <c r="G55" i="2"/>
  <c r="H40" i="22"/>
  <c r="J55" i="2"/>
  <c r="K40" i="22"/>
  <c r="K55" i="2"/>
  <c r="M40" i="22"/>
  <c r="BX55" i="2"/>
  <c r="BY55" i="2"/>
  <c r="BZ55" i="2"/>
  <c r="B56" i="2"/>
  <c r="D56" i="2"/>
  <c r="F56" i="2"/>
  <c r="G6" i="22"/>
  <c r="G56" i="2"/>
  <c r="H6" i="22"/>
  <c r="J56" i="2"/>
  <c r="K6" i="22"/>
  <c r="K56" i="2"/>
  <c r="BX56" i="2"/>
  <c r="BY56" i="2"/>
  <c r="BZ56" i="2"/>
  <c r="B57" i="2"/>
  <c r="D57" i="2"/>
  <c r="F57" i="2"/>
  <c r="G35" i="22"/>
  <c r="D17" i="34"/>
  <c r="G57" i="2"/>
  <c r="H35" i="22"/>
  <c r="J57" i="2"/>
  <c r="K35" i="22"/>
  <c r="K57" i="2"/>
  <c r="BX57" i="2"/>
  <c r="BY57" i="2"/>
  <c r="BZ57" i="2"/>
  <c r="B58" i="2"/>
  <c r="D58" i="2"/>
  <c r="F58" i="2"/>
  <c r="G47" i="22"/>
  <c r="G58" i="2"/>
  <c r="H47" i="22"/>
  <c r="J58" i="2"/>
  <c r="K47" i="22"/>
  <c r="K58" i="2"/>
  <c r="M47" i="22"/>
  <c r="BX58" i="2"/>
  <c r="BY58" i="2"/>
  <c r="BZ58" i="2"/>
  <c r="B59" i="2"/>
  <c r="D59" i="2"/>
  <c r="F59" i="2"/>
  <c r="G44" i="22"/>
  <c r="G59" i="2"/>
  <c r="H44" i="22"/>
  <c r="J59" i="2"/>
  <c r="K44" i="22"/>
  <c r="K59" i="2"/>
  <c r="M44" i="22"/>
  <c r="BX59" i="2"/>
  <c r="BY59" i="2"/>
  <c r="BZ59" i="2"/>
  <c r="B60" i="2"/>
  <c r="D60" i="2"/>
  <c r="F60" i="2"/>
  <c r="G21" i="22"/>
  <c r="G60" i="2"/>
  <c r="H21" i="22"/>
  <c r="J60" i="2"/>
  <c r="K21" i="22"/>
  <c r="K60" i="2"/>
  <c r="M21" i="22"/>
  <c r="BX60" i="2"/>
  <c r="BY60" i="2"/>
  <c r="BZ60" i="2"/>
  <c r="B61" i="2"/>
  <c r="D61" i="2"/>
  <c r="F61" i="2"/>
  <c r="G9" i="22"/>
  <c r="G61" i="2"/>
  <c r="H9" i="22"/>
  <c r="J61" i="2"/>
  <c r="K9" i="22"/>
  <c r="K61" i="2"/>
  <c r="M9" i="22"/>
  <c r="BX61" i="2"/>
  <c r="BY61" i="2"/>
  <c r="BZ61" i="2"/>
  <c r="B62" i="2"/>
  <c r="D62" i="2"/>
  <c r="F62" i="2"/>
  <c r="G5" i="22"/>
  <c r="D7" i="34"/>
  <c r="G62" i="2"/>
  <c r="H5" i="22"/>
  <c r="J62" i="2"/>
  <c r="K5" i="22"/>
  <c r="K62" i="2"/>
  <c r="M5" i="22"/>
  <c r="BX62" i="2"/>
  <c r="BY62" i="2"/>
  <c r="BZ62" i="2"/>
  <c r="B63" i="2"/>
  <c r="D63" i="2"/>
  <c r="F63" i="2"/>
  <c r="G23" i="22"/>
  <c r="G63" i="2"/>
  <c r="H23" i="22"/>
  <c r="J63" i="2"/>
  <c r="K63" i="2"/>
  <c r="M23" i="22"/>
  <c r="BX63" i="2"/>
  <c r="BY63" i="2"/>
  <c r="BZ63" i="2"/>
  <c r="B64" i="2"/>
  <c r="D64" i="2"/>
  <c r="F64" i="2"/>
  <c r="G13" i="22"/>
  <c r="G64" i="2"/>
  <c r="H13" i="22"/>
  <c r="J64" i="2"/>
  <c r="K13" i="22"/>
  <c r="K64" i="2"/>
  <c r="M13" i="22"/>
  <c r="BX64" i="2"/>
  <c r="BY64" i="2"/>
  <c r="BZ64" i="2"/>
  <c r="B65" i="2"/>
  <c r="D65" i="2"/>
  <c r="F65" i="2"/>
  <c r="G26" i="22"/>
  <c r="G65" i="2"/>
  <c r="H26" i="22"/>
  <c r="J65" i="2"/>
  <c r="K26" i="22"/>
  <c r="K65" i="2"/>
  <c r="M26" i="22"/>
  <c r="BX65" i="2"/>
  <c r="BY65" i="2"/>
  <c r="BZ65" i="2"/>
  <c r="B66" i="2"/>
  <c r="D66" i="2"/>
  <c r="F66" i="2"/>
  <c r="G45" i="22"/>
  <c r="AC15" i="34"/>
  <c r="G66" i="2"/>
  <c r="H45" i="22"/>
  <c r="J66" i="2"/>
  <c r="K45" i="22"/>
  <c r="K66" i="2"/>
  <c r="M45" i="22"/>
  <c r="BX66" i="2"/>
  <c r="BY66" i="2"/>
  <c r="BZ66" i="2"/>
  <c r="L68" i="2"/>
  <c r="R68" i="2"/>
  <c r="U68" i="2"/>
  <c r="X68" i="2"/>
  <c r="AA68" i="2"/>
  <c r="AD68" i="2"/>
  <c r="AG68" i="2"/>
  <c r="AJ68" i="2"/>
  <c r="AM68" i="2"/>
  <c r="AP68" i="2"/>
  <c r="AS68" i="2"/>
  <c r="AV68" i="2"/>
  <c r="AY68" i="2"/>
  <c r="BB68" i="2"/>
  <c r="BE68" i="2"/>
  <c r="BH68" i="2"/>
  <c r="BK68" i="2"/>
  <c r="BN68" i="2"/>
  <c r="BQ68" i="2"/>
  <c r="BT68" i="2"/>
  <c r="BW68" i="2"/>
  <c r="B2" i="22"/>
  <c r="V4" i="34"/>
  <c r="I4" i="22"/>
  <c r="J4" i="22"/>
  <c r="N4" i="22"/>
  <c r="B3" i="22"/>
  <c r="I3" i="22"/>
  <c r="G5" i="34"/>
  <c r="J3" i="22"/>
  <c r="H5" i="34"/>
  <c r="N3" i="22"/>
  <c r="B4" i="22"/>
  <c r="Y7" i="34"/>
  <c r="I7" i="22"/>
  <c r="J7" i="22"/>
  <c r="N7" i="22"/>
  <c r="B5" i="22"/>
  <c r="I5" i="22"/>
  <c r="J5" i="22"/>
  <c r="N5" i="22"/>
  <c r="B6" i="22"/>
  <c r="H11" i="22"/>
  <c r="C6" i="54"/>
  <c r="I11" i="22"/>
  <c r="J11" i="22"/>
  <c r="N11" i="22"/>
  <c r="B7" i="22"/>
  <c r="I10" i="22"/>
  <c r="J10" i="22"/>
  <c r="F6" i="54"/>
  <c r="N10" i="22"/>
  <c r="B8" i="22"/>
  <c r="L8" i="22"/>
  <c r="M10" i="2"/>
  <c r="N10" i="2"/>
  <c r="O10" i="2"/>
  <c r="I8" i="22"/>
  <c r="J8" i="22"/>
  <c r="N8" i="22"/>
  <c r="B9" i="22"/>
  <c r="L9" i="22"/>
  <c r="M61" i="2"/>
  <c r="I9" i="22"/>
  <c r="J9" i="22"/>
  <c r="N9" i="22"/>
  <c r="B10" i="22"/>
  <c r="I6" i="22"/>
  <c r="J6" i="22"/>
  <c r="L6" i="22"/>
  <c r="M56" i="2"/>
  <c r="N6" i="22"/>
  <c r="B11" i="22"/>
  <c r="H12" i="22"/>
  <c r="I12" i="22"/>
  <c r="J12" i="22"/>
  <c r="L12" i="22"/>
  <c r="M36" i="2"/>
  <c r="N12" i="22"/>
  <c r="B12" i="22"/>
  <c r="I13" i="22"/>
  <c r="J13" i="22"/>
  <c r="N13" i="22"/>
  <c r="B13" i="22"/>
  <c r="L13" i="22"/>
  <c r="M64" i="2"/>
  <c r="N64" i="2"/>
  <c r="I14" i="22"/>
  <c r="J14" i="22"/>
  <c r="N14" i="22"/>
  <c r="B14" i="22"/>
  <c r="L14" i="22"/>
  <c r="M25" i="2"/>
  <c r="I16" i="22"/>
  <c r="J16" i="22"/>
  <c r="N16" i="22"/>
  <c r="B15" i="22"/>
  <c r="L15" i="22"/>
  <c r="M40" i="2"/>
  <c r="I15" i="22"/>
  <c r="J15" i="22"/>
  <c r="N15" i="22"/>
  <c r="B16" i="22"/>
  <c r="L16" i="22"/>
  <c r="M7" i="2"/>
  <c r="N7" i="2"/>
  <c r="I2" i="22"/>
  <c r="J2" i="22"/>
  <c r="L2" i="22"/>
  <c r="M51" i="2"/>
  <c r="N51" i="2"/>
  <c r="O2" i="22"/>
  <c r="P2" i="22"/>
  <c r="N2" i="22"/>
  <c r="B17" i="22"/>
  <c r="L17" i="22"/>
  <c r="M3" i="2"/>
  <c r="I17" i="22"/>
  <c r="J17" i="22"/>
  <c r="N17" i="22"/>
  <c r="B18" i="22"/>
  <c r="I18" i="22"/>
  <c r="J18" i="22"/>
  <c r="N18" i="22"/>
  <c r="B19" i="22"/>
  <c r="L19" i="22"/>
  <c r="I20" i="22"/>
  <c r="E2" i="54"/>
  <c r="J20" i="22"/>
  <c r="F2" i="54"/>
  <c r="K20" i="22"/>
  <c r="N20" i="22"/>
  <c r="B20" i="22"/>
  <c r="I21" i="22"/>
  <c r="J21" i="22"/>
  <c r="N21" i="22"/>
  <c r="B21" i="22"/>
  <c r="L21" i="22"/>
  <c r="M60" i="2"/>
  <c r="I23" i="22"/>
  <c r="J23" i="22"/>
  <c r="K23" i="22"/>
  <c r="N23" i="22"/>
  <c r="B22" i="22"/>
  <c r="I24" i="22"/>
  <c r="J24" i="22"/>
  <c r="N24" i="22"/>
  <c r="B23" i="22"/>
  <c r="L23" i="22"/>
  <c r="M63" i="2"/>
  <c r="N63" i="2"/>
  <c r="L24" i="22"/>
  <c r="M54" i="2"/>
  <c r="I22" i="22"/>
  <c r="J22" i="22"/>
  <c r="N22" i="22"/>
  <c r="B24" i="22"/>
  <c r="L25" i="22"/>
  <c r="M38" i="2"/>
  <c r="I19" i="22"/>
  <c r="G11" i="34"/>
  <c r="J19" i="22"/>
  <c r="M35" i="2"/>
  <c r="N19" i="22"/>
  <c r="B25" i="22"/>
  <c r="I26" i="22"/>
  <c r="J26" i="22"/>
  <c r="N26" i="22"/>
  <c r="B26" i="22"/>
  <c r="L28" i="22"/>
  <c r="M34" i="2"/>
  <c r="N34" i="2"/>
  <c r="O28" i="22"/>
  <c r="I25" i="22"/>
  <c r="J25" i="22"/>
  <c r="N25" i="22"/>
  <c r="B27" i="22"/>
  <c r="L26" i="22"/>
  <c r="M65" i="2"/>
  <c r="I27" i="22"/>
  <c r="J27" i="22"/>
  <c r="L27" i="22"/>
  <c r="M30" i="2"/>
  <c r="N27" i="22"/>
  <c r="B28" i="22"/>
  <c r="I32" i="22"/>
  <c r="J32" i="22"/>
  <c r="L32" i="22"/>
  <c r="M32" i="2"/>
  <c r="N32" i="22"/>
  <c r="B29" i="22"/>
  <c r="I31" i="22"/>
  <c r="J31" i="22"/>
  <c r="L31" i="22"/>
  <c r="M12" i="2"/>
  <c r="N31" i="22"/>
  <c r="B30" i="22"/>
  <c r="I28" i="22"/>
  <c r="J28" i="22"/>
  <c r="N28" i="22"/>
  <c r="B31" i="22"/>
  <c r="I33" i="22"/>
  <c r="J33" i="22"/>
  <c r="N33" i="22"/>
  <c r="B32" i="22"/>
  <c r="I30" i="22"/>
  <c r="J30" i="22"/>
  <c r="L30" i="22"/>
  <c r="M41" i="2"/>
  <c r="M30" i="22"/>
  <c r="N30" i="22"/>
  <c r="B33" i="22"/>
  <c r="L33" i="22"/>
  <c r="M47" i="2"/>
  <c r="I29" i="22"/>
  <c r="J29" i="22"/>
  <c r="L29" i="22"/>
  <c r="M39" i="2"/>
  <c r="N29" i="22"/>
  <c r="B34" i="22"/>
  <c r="I34" i="22"/>
  <c r="J34" i="22"/>
  <c r="N34" i="22"/>
  <c r="B35" i="22"/>
  <c r="I35" i="22"/>
  <c r="J35" i="22"/>
  <c r="M35" i="22"/>
  <c r="N35" i="22"/>
  <c r="B36" i="22"/>
  <c r="I38" i="22"/>
  <c r="J38" i="22"/>
  <c r="N38" i="22"/>
  <c r="B37" i="22"/>
  <c r="L37" i="22"/>
  <c r="I36" i="22"/>
  <c r="J36" i="22"/>
  <c r="N36" i="22"/>
  <c r="B38" i="22"/>
  <c r="L38" i="22"/>
  <c r="L36" i="22"/>
  <c r="M31" i="2"/>
  <c r="I37" i="22"/>
  <c r="J37" i="22"/>
  <c r="K37" i="22"/>
  <c r="N37" i="22"/>
  <c r="B39" i="22"/>
  <c r="L39" i="22"/>
  <c r="M19" i="2"/>
  <c r="I39" i="22"/>
  <c r="J39" i="22"/>
  <c r="H21" i="34"/>
  <c r="N39" i="22"/>
  <c r="B40" i="22"/>
  <c r="I40" i="22"/>
  <c r="J40" i="22"/>
  <c r="L40" i="22"/>
  <c r="M55" i="2"/>
  <c r="N40" i="22"/>
  <c r="B41" i="22"/>
  <c r="L41" i="22"/>
  <c r="M20" i="2"/>
  <c r="N20" i="2"/>
  <c r="I42" i="22"/>
  <c r="J42" i="22"/>
  <c r="N42" i="22"/>
  <c r="B42" i="22"/>
  <c r="L42" i="22"/>
  <c r="M16" i="2"/>
  <c r="N16" i="2"/>
  <c r="I41" i="22"/>
  <c r="J41" i="22"/>
  <c r="N41" i="22"/>
  <c r="B43" i="22"/>
  <c r="I44" i="22"/>
  <c r="J44" i="22"/>
  <c r="N44" i="22"/>
  <c r="B44" i="22"/>
  <c r="L44" i="22"/>
  <c r="M59" i="2"/>
  <c r="L43" i="22"/>
  <c r="I43" i="22"/>
  <c r="J43" i="22"/>
  <c r="M28" i="2"/>
  <c r="N43" i="22"/>
  <c r="B45" i="22"/>
  <c r="L45" i="22"/>
  <c r="M66" i="2"/>
  <c r="I45" i="22"/>
  <c r="J45" i="22"/>
  <c r="N45" i="22"/>
  <c r="B46" i="22"/>
  <c r="L46" i="22"/>
  <c r="M48" i="2"/>
  <c r="I46" i="22"/>
  <c r="J46" i="22"/>
  <c r="N46" i="22"/>
  <c r="B47" i="22"/>
  <c r="L47" i="22"/>
  <c r="M58" i="2"/>
  <c r="I47" i="22"/>
  <c r="J47" i="22"/>
  <c r="N47" i="22"/>
  <c r="B48" i="22"/>
  <c r="I49" i="22"/>
  <c r="J49" i="22"/>
  <c r="N49" i="22"/>
  <c r="B49" i="22"/>
  <c r="L49" i="22"/>
  <c r="M2" i="2"/>
  <c r="L48" i="22"/>
  <c r="M50" i="2"/>
  <c r="I48" i="22"/>
  <c r="J48" i="22"/>
  <c r="N48" i="22"/>
  <c r="B50" i="22"/>
  <c r="L50" i="22"/>
  <c r="M23" i="2"/>
  <c r="N23" i="2"/>
  <c r="I52" i="22"/>
  <c r="J52" i="22"/>
  <c r="N52" i="22"/>
  <c r="B51" i="22"/>
  <c r="L51" i="22"/>
  <c r="M8" i="2"/>
  <c r="N8" i="2"/>
  <c r="I55" i="22"/>
  <c r="J55" i="22"/>
  <c r="N55" i="22"/>
  <c r="B52" i="22"/>
  <c r="L52" i="22"/>
  <c r="M24" i="2"/>
  <c r="N24" i="2"/>
  <c r="I54" i="22"/>
  <c r="J54" i="22"/>
  <c r="M54" i="22"/>
  <c r="N54" i="22"/>
  <c r="B53" i="22"/>
  <c r="I53" i="22"/>
  <c r="J53" i="22"/>
  <c r="M53" i="22"/>
  <c r="N53" i="22"/>
  <c r="B54" i="22"/>
  <c r="L57" i="22"/>
  <c r="M11" i="2"/>
  <c r="N11" i="2"/>
  <c r="O57" i="22"/>
  <c r="P57" i="22"/>
  <c r="I59" i="22"/>
  <c r="J59" i="22"/>
  <c r="M59" i="22"/>
  <c r="N59" i="22"/>
  <c r="B55" i="22"/>
  <c r="L55" i="22"/>
  <c r="I51" i="22"/>
  <c r="J51" i="22"/>
  <c r="N51" i="22"/>
  <c r="B56" i="22"/>
  <c r="L56" i="22"/>
  <c r="M21" i="2"/>
  <c r="N21" i="2"/>
  <c r="I56" i="22"/>
  <c r="J56" i="22"/>
  <c r="N56" i="22"/>
  <c r="B57" i="22"/>
  <c r="M53" i="2"/>
  <c r="I57" i="22"/>
  <c r="J57" i="22"/>
  <c r="N57" i="22"/>
  <c r="B58" i="22"/>
  <c r="L54" i="22"/>
  <c r="M45" i="2"/>
  <c r="N45" i="2"/>
  <c r="G60" i="22"/>
  <c r="I60" i="22"/>
  <c r="J60" i="22"/>
  <c r="N60" i="22"/>
  <c r="B59" i="22"/>
  <c r="L59" i="22"/>
  <c r="M17" i="2"/>
  <c r="I62" i="22"/>
  <c r="J62" i="22"/>
  <c r="N62" i="22"/>
  <c r="B60" i="22"/>
  <c r="L60" i="22"/>
  <c r="M9" i="2"/>
  <c r="N9" i="2"/>
  <c r="L62" i="22"/>
  <c r="M42" i="2"/>
  <c r="N42" i="2"/>
  <c r="I61" i="22"/>
  <c r="J61" i="22"/>
  <c r="L61" i="22"/>
  <c r="M37" i="2"/>
  <c r="N37" i="2"/>
  <c r="N61" i="22"/>
  <c r="B61" i="22"/>
  <c r="I50" i="22"/>
  <c r="J50" i="22"/>
  <c r="K50" i="22"/>
  <c r="N50" i="22"/>
  <c r="B62" i="22"/>
  <c r="I64" i="22"/>
  <c r="J64" i="22"/>
  <c r="L64" i="22"/>
  <c r="M29" i="2"/>
  <c r="N64" i="22"/>
  <c r="B63" i="22"/>
  <c r="L58" i="22"/>
  <c r="G58" i="22"/>
  <c r="I58" i="22"/>
  <c r="J58" i="22"/>
  <c r="M27" i="2"/>
  <c r="N58" i="22"/>
  <c r="B64" i="22"/>
  <c r="I63" i="22"/>
  <c r="J63" i="22"/>
  <c r="L63" i="22"/>
  <c r="M13" i="2"/>
  <c r="N13" i="2"/>
  <c r="M63" i="22"/>
  <c r="N63" i="22"/>
  <c r="B65" i="22"/>
  <c r="I65" i="22"/>
  <c r="J65" i="22"/>
  <c r="L65" i="22"/>
  <c r="M33" i="2"/>
  <c r="N65" i="22"/>
  <c r="B66" i="22"/>
  <c r="L66" i="22"/>
  <c r="M18" i="2"/>
  <c r="N18" i="2"/>
  <c r="O66" i="22"/>
  <c r="I66" i="22"/>
  <c r="J66" i="22"/>
  <c r="M66" i="22"/>
  <c r="N66" i="22"/>
  <c r="A151" i="5"/>
  <c r="A60" i="47"/>
  <c r="A7" i="5"/>
  <c r="F51" i="48"/>
  <c r="F53" i="48"/>
  <c r="L53" i="22"/>
  <c r="M26" i="2"/>
  <c r="F55" i="48"/>
  <c r="B18" i="10"/>
  <c r="F52" i="48"/>
  <c r="F50" i="48"/>
  <c r="I2" i="48"/>
  <c r="I3" i="48"/>
  <c r="I4" i="48"/>
  <c r="C3" i="5"/>
  <c r="C3" i="24"/>
  <c r="C4" i="5"/>
  <c r="C4" i="24"/>
  <c r="F34" i="48"/>
  <c r="L34" i="22"/>
  <c r="M49" i="2"/>
  <c r="N49" i="2"/>
  <c r="F36" i="48"/>
  <c r="M4" i="2"/>
  <c r="N4" i="2"/>
  <c r="F38" i="48"/>
  <c r="M14" i="2"/>
  <c r="N14" i="2"/>
  <c r="O14" i="2"/>
  <c r="F39" i="48"/>
  <c r="F37" i="48"/>
  <c r="B17" i="10"/>
  <c r="F35" i="48"/>
  <c r="L35" i="22"/>
  <c r="M57" i="2"/>
  <c r="B16" i="10"/>
  <c r="F19" i="48"/>
  <c r="L20" i="22"/>
  <c r="M6" i="2"/>
  <c r="F21" i="48"/>
  <c r="F23" i="48"/>
  <c r="L22" i="22"/>
  <c r="M46" i="2"/>
  <c r="N46" i="2"/>
  <c r="O46" i="2"/>
  <c r="F22" i="48"/>
  <c r="F20" i="48"/>
  <c r="F18" i="48"/>
  <c r="L18" i="22"/>
  <c r="M22" i="2"/>
  <c r="N22" i="2"/>
  <c r="F6" i="48"/>
  <c r="L11" i="22"/>
  <c r="M52" i="2"/>
  <c r="F3" i="48"/>
  <c r="L3" i="22"/>
  <c r="M5" i="2"/>
  <c r="N5" i="2"/>
  <c r="F5" i="48"/>
  <c r="L5" i="22"/>
  <c r="M62" i="2"/>
  <c r="B15" i="10"/>
  <c r="B20" i="10"/>
  <c r="F7" i="48"/>
  <c r="L10" i="22"/>
  <c r="M44" i="2"/>
  <c r="F2" i="48"/>
  <c r="F4" i="48"/>
  <c r="L7" i="22"/>
  <c r="M43" i="2"/>
  <c r="C2" i="5"/>
  <c r="D94" i="5"/>
  <c r="D94" i="24"/>
  <c r="C119" i="5"/>
  <c r="C119" i="24"/>
  <c r="C121" i="5"/>
  <c r="C121" i="24"/>
  <c r="C93" i="5"/>
  <c r="C93" i="24"/>
  <c r="D119" i="5"/>
  <c r="D121" i="5"/>
  <c r="D121" i="24"/>
  <c r="D2" i="5"/>
  <c r="D2" i="24"/>
  <c r="D93" i="5"/>
  <c r="C120" i="5"/>
  <c r="C92" i="5"/>
  <c r="C92" i="24"/>
  <c r="C94" i="5"/>
  <c r="D94" i="1"/>
  <c r="D120" i="5"/>
  <c r="E120" i="1"/>
  <c r="X120" i="1"/>
  <c r="Z41" i="1"/>
  <c r="D3" i="5"/>
  <c r="D92" i="5"/>
  <c r="E92" i="1"/>
  <c r="X92" i="1"/>
  <c r="Y32" i="1"/>
  <c r="D4" i="5"/>
  <c r="E4" i="1"/>
  <c r="B24" i="10"/>
  <c r="B26" i="10"/>
  <c r="E121" i="5"/>
  <c r="E121" i="24"/>
  <c r="E93" i="5"/>
  <c r="E93" i="24"/>
  <c r="Y11" i="34"/>
  <c r="Y10" i="34"/>
  <c r="F4" i="34"/>
  <c r="Y9" i="34"/>
  <c r="F14" i="34"/>
  <c r="V5" i="34"/>
  <c r="E4" i="5"/>
  <c r="E4" i="24"/>
  <c r="G92" i="5"/>
  <c r="G92" i="24"/>
  <c r="G119" i="5"/>
  <c r="G119" i="24"/>
  <c r="E119" i="5"/>
  <c r="E119" i="24"/>
  <c r="E3" i="5"/>
  <c r="E3" i="24"/>
  <c r="M19" i="22"/>
  <c r="M52" i="22"/>
  <c r="G42" i="22"/>
  <c r="E94" i="5"/>
  <c r="E94" i="24"/>
  <c r="E2" i="5"/>
  <c r="E2" i="24"/>
  <c r="E92" i="5"/>
  <c r="E92" i="24"/>
  <c r="E120" i="5"/>
  <c r="E120" i="24"/>
  <c r="G2" i="5"/>
  <c r="F119" i="5"/>
  <c r="F119" i="24"/>
  <c r="F2" i="5"/>
  <c r="F2" i="24"/>
  <c r="F92" i="5"/>
  <c r="F92" i="24"/>
  <c r="A187" i="5"/>
  <c r="A187" i="47"/>
  <c r="A7" i="47"/>
  <c r="A26" i="24"/>
  <c r="A107" i="24"/>
  <c r="A108" i="5"/>
  <c r="A38" i="5"/>
  <c r="A38" i="24"/>
  <c r="A32" i="5"/>
  <c r="A101" i="24"/>
  <c r="A62" i="47"/>
  <c r="A63" i="47"/>
  <c r="A62" i="5"/>
  <c r="A62" i="24"/>
  <c r="A57" i="47"/>
  <c r="A137" i="24"/>
  <c r="A24" i="47"/>
  <c r="A25" i="47"/>
  <c r="A77" i="24"/>
  <c r="A78" i="5"/>
  <c r="A50" i="5"/>
  <c r="A50" i="24"/>
  <c r="A44" i="47"/>
  <c r="A46" i="47"/>
  <c r="A148" i="5"/>
  <c r="A147" i="5"/>
  <c r="U25" i="7"/>
  <c r="S47" i="7"/>
  <c r="S33" i="7"/>
  <c r="C33" i="23"/>
  <c r="U8" i="7"/>
  <c r="S8" i="7"/>
  <c r="B144" i="24"/>
  <c r="A10" i="5"/>
  <c r="A64" i="5"/>
  <c r="A63" i="5"/>
  <c r="A40" i="5"/>
  <c r="C47" i="23"/>
  <c r="C47" i="3"/>
  <c r="P47" i="5"/>
  <c r="D11" i="3"/>
  <c r="F24" i="34"/>
  <c r="AE4" i="34"/>
  <c r="AB15" i="34"/>
  <c r="F22" i="34"/>
  <c r="AB14" i="34"/>
  <c r="N28" i="2"/>
  <c r="O43" i="22"/>
  <c r="F5" i="34"/>
  <c r="AB8" i="34"/>
  <c r="F16" i="34"/>
  <c r="G16" i="34"/>
  <c r="AC13" i="34"/>
  <c r="G12" i="34"/>
  <c r="B156" i="24"/>
  <c r="C89" i="1"/>
  <c r="C37" i="1"/>
  <c r="C26" i="1"/>
  <c r="C165" i="1"/>
  <c r="A33" i="47"/>
  <c r="A34" i="47"/>
  <c r="A163" i="5"/>
  <c r="A14" i="5"/>
  <c r="A14" i="24"/>
  <c r="A11" i="24"/>
  <c r="A118" i="5"/>
  <c r="A30" i="5"/>
  <c r="A169" i="5"/>
  <c r="A46" i="5"/>
  <c r="A87" i="5"/>
  <c r="A86" i="24"/>
  <c r="A53" i="24"/>
  <c r="A54" i="5"/>
  <c r="A55" i="5"/>
  <c r="A71" i="24"/>
  <c r="A154" i="47"/>
  <c r="A182" i="24"/>
  <c r="A184" i="5"/>
  <c r="A150" i="5"/>
  <c r="A88" i="5"/>
  <c r="A54" i="47"/>
  <c r="A35" i="5"/>
  <c r="A36" i="5"/>
  <c r="A45" i="47"/>
  <c r="A8" i="24"/>
  <c r="A56" i="5"/>
  <c r="A57" i="5"/>
  <c r="A2" i="47"/>
  <c r="A20" i="5"/>
  <c r="A20" i="24"/>
  <c r="A171" i="5"/>
  <c r="A179" i="24"/>
  <c r="A192" i="5"/>
  <c r="A136" i="5"/>
  <c r="A192" i="47"/>
  <c r="A193" i="47"/>
  <c r="A28" i="5"/>
  <c r="A26" i="47"/>
  <c r="A27" i="47"/>
  <c r="A102" i="5"/>
  <c r="A8" i="47"/>
  <c r="A9" i="47"/>
  <c r="A168" i="5"/>
  <c r="A136" i="47"/>
  <c r="A135" i="47"/>
  <c r="A194" i="5"/>
  <c r="A196" i="5"/>
  <c r="A194" i="47"/>
  <c r="A196" i="47"/>
  <c r="A176" i="47"/>
  <c r="A176" i="5"/>
  <c r="A178" i="5"/>
  <c r="A173" i="47"/>
  <c r="A175" i="47"/>
  <c r="A173" i="5"/>
  <c r="A169" i="47"/>
  <c r="A168" i="47"/>
  <c r="A164" i="47"/>
  <c r="A166" i="47"/>
  <c r="A154" i="5"/>
  <c r="A153" i="5"/>
  <c r="A145" i="47"/>
  <c r="A144" i="47"/>
  <c r="A140" i="47"/>
  <c r="A141" i="47"/>
  <c r="A131" i="47"/>
  <c r="A133" i="47"/>
  <c r="A131" i="5"/>
  <c r="A118" i="47"/>
  <c r="A117" i="47"/>
  <c r="A113" i="47"/>
  <c r="A115" i="47"/>
  <c r="A113" i="5"/>
  <c r="A108" i="47"/>
  <c r="A109" i="47"/>
  <c r="A98" i="5"/>
  <c r="A99" i="5"/>
  <c r="A98" i="47"/>
  <c r="A96" i="47"/>
  <c r="A97" i="47"/>
  <c r="A92" i="47"/>
  <c r="A94" i="47"/>
  <c r="A74" i="5"/>
  <c r="A74" i="24"/>
  <c r="A74" i="47"/>
  <c r="A68" i="47"/>
  <c r="A68" i="5"/>
  <c r="A60" i="5"/>
  <c r="N60" i="2"/>
  <c r="H11" i="34"/>
  <c r="M43" i="22"/>
  <c r="N58" i="2"/>
  <c r="N53" i="2"/>
  <c r="O55" i="22"/>
  <c r="M8" i="22"/>
  <c r="F3" i="54"/>
  <c r="M31" i="22"/>
  <c r="G38" i="22"/>
  <c r="M6" i="22"/>
  <c r="F4" i="54"/>
  <c r="D4" i="34"/>
  <c r="W4" i="34"/>
  <c r="C129" i="1"/>
  <c r="C17" i="1"/>
  <c r="B103" i="24"/>
  <c r="C9" i="1"/>
  <c r="O47" i="47"/>
  <c r="A76" i="5"/>
  <c r="A93" i="47"/>
  <c r="A100" i="5"/>
  <c r="A98" i="24"/>
  <c r="A114" i="47"/>
  <c r="A142" i="47"/>
  <c r="A165" i="47"/>
  <c r="A174" i="47"/>
  <c r="A22" i="5"/>
  <c r="A37" i="47"/>
  <c r="A36" i="47"/>
  <c r="A69" i="5"/>
  <c r="A132" i="5"/>
  <c r="A195" i="47"/>
  <c r="A3" i="47"/>
  <c r="A4" i="47"/>
  <c r="A37" i="5"/>
  <c r="A35" i="24"/>
  <c r="A132" i="47"/>
  <c r="A28" i="47"/>
  <c r="A56" i="24"/>
  <c r="A76" i="47"/>
  <c r="A75" i="47"/>
  <c r="A92" i="24"/>
  <c r="A100" i="47"/>
  <c r="A99" i="47"/>
  <c r="A115" i="5"/>
  <c r="A114" i="5"/>
  <c r="A113" i="24"/>
  <c r="A141" i="5"/>
  <c r="A164" i="24"/>
  <c r="A173" i="24"/>
  <c r="A175" i="5"/>
  <c r="A174" i="5"/>
  <c r="A10" i="47"/>
  <c r="W12" i="34"/>
  <c r="W9" i="34"/>
  <c r="D26" i="23"/>
  <c r="T37" i="7"/>
  <c r="U42" i="7"/>
  <c r="S42" i="7"/>
  <c r="U36" i="7"/>
  <c r="D41" i="23"/>
  <c r="O28" i="47"/>
  <c r="P5" i="5"/>
  <c r="P7" i="5"/>
  <c r="C18" i="23"/>
  <c r="E93" i="3"/>
  <c r="E47" i="3"/>
  <c r="R47" i="5"/>
  <c r="R93" i="5"/>
  <c r="Q93" i="47"/>
  <c r="A112" i="47"/>
  <c r="A111" i="47"/>
  <c r="A103" i="47"/>
  <c r="A102" i="47"/>
  <c r="A80" i="24"/>
  <c r="A81" i="5"/>
  <c r="A82" i="5"/>
  <c r="A190" i="5"/>
  <c r="A189" i="5"/>
  <c r="A52" i="47"/>
  <c r="A51" i="47"/>
  <c r="A39" i="47"/>
  <c r="A40" i="47"/>
  <c r="A16" i="47"/>
  <c r="A15" i="47"/>
  <c r="A181" i="47"/>
  <c r="A180" i="47"/>
  <c r="A172" i="47"/>
  <c r="A171" i="47"/>
  <c r="A159" i="47"/>
  <c r="A160" i="47"/>
  <c r="A4" i="5"/>
  <c r="A2" i="24"/>
  <c r="A3" i="5"/>
  <c r="A147" i="47"/>
  <c r="A148" i="47"/>
  <c r="A129" i="47"/>
  <c r="A130" i="47"/>
  <c r="A127" i="47"/>
  <c r="A126" i="47"/>
  <c r="A124" i="47"/>
  <c r="A123" i="47"/>
  <c r="A49" i="47"/>
  <c r="A48" i="47"/>
  <c r="A43" i="47"/>
  <c r="A42" i="47"/>
  <c r="A18" i="47"/>
  <c r="A19" i="47"/>
  <c r="A58" i="5"/>
  <c r="A15" i="5"/>
  <c r="A52" i="5"/>
  <c r="A64" i="47"/>
  <c r="A51" i="5"/>
  <c r="A75" i="5"/>
  <c r="A122" i="5"/>
  <c r="A47" i="5"/>
  <c r="A13" i="5"/>
  <c r="A80" i="47"/>
  <c r="A158" i="5"/>
  <c r="A130" i="5"/>
  <c r="A41" i="5"/>
  <c r="A24" i="5"/>
  <c r="A188" i="47"/>
  <c r="A31" i="47"/>
  <c r="A16" i="5"/>
  <c r="A155" i="5"/>
  <c r="A125" i="5"/>
  <c r="A17" i="5"/>
  <c r="A133" i="5"/>
  <c r="A131" i="24"/>
  <c r="A156" i="47"/>
  <c r="A157" i="47"/>
  <c r="A120" i="47"/>
  <c r="A121" i="47"/>
  <c r="A194" i="24"/>
  <c r="A70" i="5"/>
  <c r="A68" i="24"/>
  <c r="A177" i="47"/>
  <c r="A178" i="47"/>
  <c r="A184" i="47"/>
  <c r="A183" i="47"/>
  <c r="A150" i="47"/>
  <c r="A151" i="47"/>
  <c r="A72" i="5"/>
  <c r="A73" i="5"/>
  <c r="A66" i="47"/>
  <c r="A67" i="47"/>
  <c r="A195" i="5"/>
  <c r="A177" i="5"/>
  <c r="A69" i="47"/>
  <c r="A70" i="47"/>
  <c r="A142" i="5"/>
  <c r="A140" i="24"/>
  <c r="A138" i="5"/>
  <c r="A139" i="5"/>
  <c r="A106" i="47"/>
  <c r="A105" i="47"/>
  <c r="A45" i="5"/>
  <c r="A44" i="24"/>
  <c r="A176" i="24"/>
  <c r="A32" i="24"/>
  <c r="A33" i="5"/>
  <c r="A34" i="5"/>
  <c r="A166" i="5"/>
  <c r="A165" i="5"/>
  <c r="A163" i="47"/>
  <c r="A162" i="47"/>
  <c r="A94" i="5"/>
  <c r="A93" i="5"/>
  <c r="A91" i="47"/>
  <c r="A90" i="47"/>
  <c r="A87" i="47"/>
  <c r="A88" i="47"/>
  <c r="A84" i="47"/>
  <c r="A85" i="47"/>
  <c r="A137" i="47"/>
  <c r="A119" i="5"/>
  <c r="A89" i="5"/>
  <c r="A71" i="47"/>
  <c r="A21" i="5"/>
  <c r="A61" i="5"/>
  <c r="A39" i="5"/>
  <c r="A22" i="47"/>
  <c r="A180" i="5"/>
  <c r="A188" i="24"/>
  <c r="A95" i="5"/>
  <c r="A65" i="5"/>
  <c r="A143" i="5"/>
  <c r="A104" i="5"/>
  <c r="A83" i="5"/>
  <c r="A79" i="47"/>
  <c r="D47" i="3"/>
  <c r="D47" i="23"/>
  <c r="F93" i="3"/>
  <c r="F47" i="3"/>
  <c r="G139" i="3"/>
  <c r="E139" i="3"/>
  <c r="G93" i="3"/>
  <c r="G47" i="3"/>
  <c r="F139" i="3"/>
  <c r="B161" i="24"/>
  <c r="B112" i="24"/>
  <c r="A19" i="5"/>
  <c r="A18" i="5"/>
  <c r="A17" i="24"/>
  <c r="A124" i="5"/>
  <c r="A122" i="24"/>
  <c r="A123" i="5"/>
  <c r="A127" i="5"/>
  <c r="A126" i="5"/>
  <c r="A125" i="24"/>
  <c r="A42" i="5"/>
  <c r="A41" i="24"/>
  <c r="A43" i="5"/>
  <c r="A82" i="47"/>
  <c r="A81" i="47"/>
  <c r="A156" i="5"/>
  <c r="A155" i="24"/>
  <c r="A157" i="5"/>
  <c r="A190" i="47"/>
  <c r="A189" i="47"/>
  <c r="A159" i="5"/>
  <c r="A160" i="5"/>
  <c r="A158" i="24"/>
  <c r="A49" i="5"/>
  <c r="A47" i="24"/>
  <c r="A48" i="5"/>
  <c r="A66" i="5"/>
  <c r="A65" i="24"/>
  <c r="A67" i="5"/>
  <c r="A97" i="5"/>
  <c r="A96" i="5"/>
  <c r="A95" i="24"/>
  <c r="A90" i="5"/>
  <c r="A89" i="24"/>
  <c r="A91" i="5"/>
  <c r="A143" i="24"/>
  <c r="A144" i="5"/>
  <c r="A145" i="5"/>
  <c r="A72" i="47"/>
  <c r="A73" i="47"/>
  <c r="A84" i="5"/>
  <c r="A83" i="24"/>
  <c r="A85" i="5"/>
  <c r="A119" i="24"/>
  <c r="A121" i="5"/>
  <c r="A120" i="5"/>
  <c r="A106" i="5"/>
  <c r="A104" i="24"/>
  <c r="A105" i="5"/>
  <c r="A138" i="47"/>
  <c r="A139" i="47"/>
  <c r="R139" i="5"/>
  <c r="Q139" i="47"/>
  <c r="B195" i="24"/>
  <c r="B142" i="24"/>
  <c r="C50" i="1"/>
  <c r="B141" i="24"/>
  <c r="C14" i="1"/>
  <c r="B183" i="24"/>
  <c r="C149" i="1"/>
  <c r="B123" i="24"/>
  <c r="B157" i="24"/>
  <c r="C65" i="1"/>
  <c r="B108" i="24"/>
  <c r="C11" i="1"/>
  <c r="C131" i="1"/>
  <c r="C56" i="1"/>
  <c r="B15" i="24"/>
  <c r="B114" i="24"/>
  <c r="B81" i="24"/>
  <c r="B25" i="24"/>
  <c r="B40" i="24"/>
  <c r="B20" i="24"/>
  <c r="B72" i="24"/>
  <c r="D4" i="24"/>
  <c r="X4" i="1"/>
  <c r="AA2" i="1"/>
  <c r="B109" i="24"/>
  <c r="B93" i="24"/>
  <c r="C110" i="1"/>
  <c r="C96" i="1"/>
  <c r="B10" i="24"/>
  <c r="C10" i="1"/>
  <c r="B101" i="24"/>
  <c r="B160" i="24"/>
  <c r="C78" i="1"/>
  <c r="B78" i="24"/>
  <c r="C30" i="1"/>
  <c r="C12" i="1"/>
  <c r="C136" i="1"/>
  <c r="B136" i="24"/>
  <c r="B6" i="24"/>
  <c r="C6" i="1"/>
  <c r="C5" i="1"/>
  <c r="B5" i="24"/>
  <c r="C46" i="1"/>
  <c r="B82" i="24"/>
  <c r="B51" i="24"/>
  <c r="C51" i="1"/>
  <c r="C194" i="1"/>
  <c r="C111" i="1"/>
  <c r="B99" i="24"/>
  <c r="C99" i="1"/>
  <c r="C36" i="1"/>
  <c r="C19" i="1"/>
  <c r="C3" i="1"/>
  <c r="B3" i="24"/>
  <c r="B177" i="24"/>
  <c r="C177" i="1"/>
  <c r="C63" i="1"/>
  <c r="C4" i="1"/>
  <c r="B4" i="24"/>
  <c r="B154" i="24"/>
  <c r="B166" i="24"/>
  <c r="B43" i="24"/>
  <c r="B176" i="24"/>
  <c r="B162" i="24"/>
  <c r="C139" i="1"/>
  <c r="B69" i="24"/>
  <c r="B18" i="24"/>
  <c r="B148" i="24"/>
  <c r="C84" i="1"/>
  <c r="B77" i="24"/>
  <c r="B97" i="24"/>
  <c r="B53" i="24"/>
  <c r="B159" i="24"/>
  <c r="B168" i="24"/>
  <c r="C152" i="1"/>
  <c r="B57" i="24"/>
  <c r="C181" i="1"/>
  <c r="B86" i="24"/>
  <c r="B73" i="24"/>
  <c r="B167" i="24"/>
  <c r="C137" i="1"/>
  <c r="C171" i="1"/>
  <c r="B171" i="24"/>
  <c r="B191" i="24"/>
  <c r="B173" i="24"/>
  <c r="C173" i="1"/>
  <c r="B55" i="24"/>
  <c r="C55" i="1"/>
  <c r="E2" i="1"/>
  <c r="X2" i="1"/>
  <c r="Y2" i="1"/>
  <c r="AG2" i="1"/>
  <c r="C76" i="1"/>
  <c r="B47" i="24"/>
  <c r="B32" i="24"/>
  <c r="C113" i="1"/>
  <c r="B175" i="24"/>
  <c r="C124" i="1"/>
  <c r="B124" i="24"/>
  <c r="C116" i="1"/>
  <c r="B31" i="24"/>
  <c r="D4" i="23"/>
  <c r="O36" i="47"/>
  <c r="D45" i="3"/>
  <c r="P30" i="5"/>
  <c r="C33" i="3"/>
  <c r="O43" i="47"/>
  <c r="S36" i="7"/>
  <c r="T23" i="7"/>
  <c r="D23" i="23"/>
  <c r="P11" i="5"/>
  <c r="D10" i="23"/>
  <c r="S44" i="7"/>
  <c r="D38" i="23"/>
  <c r="S17" i="7"/>
  <c r="C7" i="23"/>
  <c r="U40" i="7"/>
  <c r="S22" i="7"/>
  <c r="U37" i="7"/>
  <c r="U32" i="7"/>
  <c r="U27" i="7"/>
  <c r="T17" i="7"/>
  <c r="U34" i="7"/>
  <c r="T25" i="7"/>
  <c r="D25" i="23"/>
  <c r="C19" i="3"/>
  <c r="C19" i="23"/>
  <c r="D25" i="3"/>
  <c r="C10" i="23"/>
  <c r="D23" i="3"/>
  <c r="O23" i="47"/>
  <c r="P23" i="5"/>
  <c r="C38" i="23"/>
  <c r="C26" i="3"/>
  <c r="C26" i="23"/>
  <c r="C44" i="23"/>
  <c r="C44" i="3"/>
  <c r="C41" i="3"/>
  <c r="D17" i="23"/>
  <c r="D17" i="3"/>
  <c r="P17" i="5"/>
  <c r="O17" i="47"/>
  <c r="C22" i="23"/>
  <c r="C22" i="3"/>
  <c r="D6" i="23"/>
  <c r="O6" i="47"/>
  <c r="D6" i="3"/>
  <c r="P6" i="5"/>
  <c r="D19" i="23"/>
  <c r="O19" i="47"/>
  <c r="D19" i="3"/>
  <c r="P19" i="5"/>
  <c r="P44" i="5"/>
  <c r="D44" i="23"/>
  <c r="D44" i="3"/>
  <c r="O44" i="47"/>
  <c r="C6" i="3"/>
  <c r="C6" i="23"/>
  <c r="C36" i="3"/>
  <c r="C36" i="23"/>
  <c r="O36" i="2"/>
  <c r="O12" i="22"/>
  <c r="O13" i="2"/>
  <c r="N12" i="2"/>
  <c r="O31" i="22"/>
  <c r="P31" i="22"/>
  <c r="M12" i="22"/>
  <c r="N27" i="2"/>
  <c r="O58" i="22"/>
  <c r="N39" i="2"/>
  <c r="O39" i="2"/>
  <c r="N32" i="2"/>
  <c r="O32" i="2"/>
  <c r="N56" i="2"/>
  <c r="L5" i="34"/>
  <c r="O58" i="2"/>
  <c r="A63" i="2"/>
  <c r="N44" i="2"/>
  <c r="O10" i="22"/>
  <c r="P10" i="22"/>
  <c r="N19" i="2"/>
  <c r="E3" i="54"/>
  <c r="N62" i="2"/>
  <c r="O62" i="2"/>
  <c r="O63" i="22"/>
  <c r="O61" i="22"/>
  <c r="O37" i="2"/>
  <c r="L6" i="54"/>
  <c r="D12" i="34"/>
  <c r="B2" i="54"/>
  <c r="P66" i="22"/>
  <c r="N26" i="2"/>
  <c r="O53" i="22"/>
  <c r="P53" i="22"/>
  <c r="N38" i="2"/>
  <c r="BZ68" i="2"/>
  <c r="A21" i="2"/>
  <c r="N55" i="2"/>
  <c r="O55" i="2"/>
  <c r="A43" i="2"/>
  <c r="M9" i="34"/>
  <c r="N40" i="2"/>
  <c r="N17" i="2"/>
  <c r="O59" i="22"/>
  <c r="P59" i="22"/>
  <c r="N2" i="2"/>
  <c r="E5" i="54"/>
  <c r="N57" i="2"/>
  <c r="O57" i="2"/>
  <c r="W7" i="34"/>
  <c r="K68" i="2"/>
  <c r="N35" i="2"/>
  <c r="O11" i="2"/>
  <c r="P58" i="22"/>
  <c r="P28" i="22"/>
  <c r="J68" i="2"/>
  <c r="O45" i="2"/>
  <c r="O54" i="22"/>
  <c r="P54" i="22"/>
  <c r="O56" i="2"/>
  <c r="O6" i="22"/>
  <c r="P6" i="22"/>
  <c r="M3" i="55"/>
  <c r="O3" i="55"/>
  <c r="B6" i="54"/>
  <c r="L4" i="54"/>
  <c r="O32" i="22"/>
  <c r="P32" i="22"/>
  <c r="O35" i="22"/>
  <c r="P35" i="22"/>
  <c r="O35" i="2"/>
  <c r="O19" i="22"/>
  <c r="P19" i="22"/>
  <c r="P12" i="22"/>
  <c r="O47" i="22"/>
  <c r="P47" i="22"/>
  <c r="A61" i="2"/>
  <c r="A40" i="2"/>
  <c r="P63" i="22"/>
  <c r="N43" i="2"/>
  <c r="N30" i="2"/>
  <c r="O30" i="2"/>
  <c r="N65" i="2"/>
  <c r="O26" i="22"/>
  <c r="P26" i="22"/>
  <c r="N54" i="2"/>
  <c r="O54" i="2"/>
  <c r="N41" i="2"/>
  <c r="O41" i="2"/>
  <c r="A46" i="2"/>
  <c r="A15" i="2"/>
  <c r="A13" i="2"/>
  <c r="A7" i="2"/>
  <c r="M12" i="34"/>
  <c r="N33" i="2"/>
  <c r="O44" i="2"/>
  <c r="O53" i="2"/>
  <c r="N52" i="2"/>
  <c r="N6" i="2"/>
  <c r="K38" i="22"/>
  <c r="N47" i="2"/>
  <c r="O47" i="2"/>
  <c r="A18" i="2"/>
  <c r="O28" i="2"/>
  <c r="O34" i="2"/>
  <c r="N3" i="2"/>
  <c r="E6" i="54"/>
  <c r="O22" i="22"/>
  <c r="P22" i="22"/>
  <c r="Z6" i="34"/>
  <c r="A44" i="2"/>
  <c r="A35" i="2"/>
  <c r="L12" i="34"/>
  <c r="O27" i="2"/>
  <c r="A8" i="2"/>
  <c r="O8" i="22"/>
  <c r="P8" i="22"/>
  <c r="N50" i="2"/>
  <c r="N29" i="2"/>
  <c r="N48" i="2"/>
  <c r="O48" i="2"/>
  <c r="N66" i="2"/>
  <c r="O66" i="2"/>
  <c r="N59" i="2"/>
  <c r="O44" i="22"/>
  <c r="P44" i="22"/>
  <c r="N31" i="2"/>
  <c r="O36" i="22"/>
  <c r="P36" i="22"/>
  <c r="E4" i="54"/>
  <c r="N25" i="2"/>
  <c r="N61" i="2"/>
  <c r="O61" i="2"/>
  <c r="F5" i="54"/>
  <c r="N69" i="22"/>
  <c r="M69" i="22"/>
  <c r="M15" i="34"/>
  <c r="B174" i="24"/>
  <c r="D93" i="1"/>
  <c r="B192" i="24"/>
  <c r="D4" i="1"/>
  <c r="C178" i="1"/>
  <c r="B196" i="24"/>
  <c r="H92" i="5"/>
  <c r="B180" i="24"/>
  <c r="D3" i="1"/>
  <c r="AB2" i="1"/>
  <c r="AI2" i="1"/>
  <c r="D120" i="24"/>
  <c r="C100" i="1"/>
  <c r="C16" i="1"/>
  <c r="C13" i="1"/>
  <c r="B74" i="24"/>
  <c r="B164" i="24"/>
  <c r="B145" i="24"/>
  <c r="B58" i="24"/>
  <c r="C41" i="1"/>
  <c r="C7" i="1"/>
  <c r="C27" i="1"/>
  <c r="B147" i="24"/>
  <c r="B45" i="24"/>
  <c r="B71" i="24"/>
  <c r="C29" i="1"/>
  <c r="C172" i="1"/>
  <c r="C140" i="1"/>
  <c r="B49" i="24"/>
  <c r="C134" i="1"/>
  <c r="D119" i="1"/>
  <c r="B187" i="24"/>
  <c r="B163" i="24"/>
  <c r="C42" i="1"/>
  <c r="B24" i="24"/>
  <c r="C70" i="1"/>
  <c r="B23" i="24"/>
  <c r="B21" i="24"/>
  <c r="B107" i="24"/>
  <c r="B91" i="24"/>
  <c r="C155" i="1"/>
  <c r="B132" i="24"/>
  <c r="B54" i="24"/>
  <c r="C151" i="1"/>
  <c r="B33" i="24"/>
  <c r="B68" i="24"/>
  <c r="B88" i="24"/>
  <c r="C44" i="1"/>
  <c r="B119" i="24"/>
  <c r="B135" i="24"/>
  <c r="B38" i="24"/>
  <c r="C121" i="1"/>
  <c r="B105" i="24"/>
  <c r="C102" i="1"/>
  <c r="C146" i="1"/>
  <c r="C138" i="1"/>
  <c r="B52" i="24"/>
  <c r="C34" i="1"/>
  <c r="B189" i="24"/>
  <c r="E94" i="1"/>
  <c r="O13" i="22"/>
  <c r="P13" i="22"/>
  <c r="O64" i="2"/>
  <c r="O4" i="2"/>
  <c r="O38" i="22"/>
  <c r="O56" i="22"/>
  <c r="P56" i="22"/>
  <c r="O21" i="2"/>
  <c r="O42" i="22"/>
  <c r="P42" i="22"/>
  <c r="O16" i="2"/>
  <c r="O41" i="22"/>
  <c r="P41" i="22"/>
  <c r="O20" i="2"/>
  <c r="O23" i="2"/>
  <c r="O50" i="22"/>
  <c r="P50" i="22"/>
  <c r="O18" i="22"/>
  <c r="P18" i="22"/>
  <c r="O22" i="2"/>
  <c r="O62" i="22"/>
  <c r="P62" i="22"/>
  <c r="O42" i="2"/>
  <c r="O46" i="22"/>
  <c r="P46" i="22"/>
  <c r="O9" i="22"/>
  <c r="P9" i="22"/>
  <c r="O34" i="22"/>
  <c r="P34" i="22"/>
  <c r="O49" i="2"/>
  <c r="O60" i="22"/>
  <c r="P60" i="22"/>
  <c r="O9" i="2"/>
  <c r="O52" i="22"/>
  <c r="P52" i="22"/>
  <c r="O24" i="2"/>
  <c r="O8" i="2"/>
  <c r="O51" i="22"/>
  <c r="P51" i="22"/>
  <c r="O33" i="22"/>
  <c r="P33" i="22"/>
  <c r="O23" i="22"/>
  <c r="P23" i="22"/>
  <c r="O63" i="2"/>
  <c r="O7" i="2"/>
  <c r="O16" i="22"/>
  <c r="P16" i="22"/>
  <c r="AF16" i="34"/>
  <c r="E10" i="34"/>
  <c r="AC9" i="34"/>
  <c r="Z11" i="34"/>
  <c r="D26" i="34"/>
  <c r="Z10" i="34"/>
  <c r="D18" i="34"/>
  <c r="AF5" i="34"/>
  <c r="D11" i="34"/>
  <c r="AC4" i="34"/>
  <c r="AC6" i="34"/>
  <c r="O27" i="22"/>
  <c r="P27" i="22"/>
  <c r="G20" i="34"/>
  <c r="AF15" i="34"/>
  <c r="G18" i="34"/>
  <c r="G8" i="34"/>
  <c r="E24" i="34"/>
  <c r="AE9" i="34"/>
  <c r="AE12" i="34"/>
  <c r="Y5" i="34"/>
  <c r="G25" i="34"/>
  <c r="H16" i="34"/>
  <c r="AE20" i="34"/>
  <c r="Y17" i="34"/>
  <c r="Y12" i="34"/>
  <c r="E16" i="34"/>
  <c r="AB16" i="34"/>
  <c r="AE19" i="34"/>
  <c r="V17" i="34"/>
  <c r="V10" i="34"/>
  <c r="V11" i="34"/>
  <c r="G23" i="34"/>
  <c r="V8" i="34"/>
  <c r="F17" i="34"/>
  <c r="Y14" i="34"/>
  <c r="F8" i="34"/>
  <c r="Y13" i="34"/>
  <c r="F7" i="34"/>
  <c r="F21" i="34"/>
  <c r="AB11" i="34"/>
  <c r="AE14" i="34"/>
  <c r="AB17" i="34"/>
  <c r="AE16" i="34"/>
  <c r="AE17" i="34"/>
  <c r="H6" i="34"/>
  <c r="E27" i="34"/>
  <c r="F6" i="34"/>
  <c r="AE18" i="34"/>
  <c r="F11" i="34"/>
  <c r="AB5" i="34"/>
  <c r="Y18" i="34"/>
  <c r="V12" i="34"/>
  <c r="AC10" i="34"/>
  <c r="H10" i="34"/>
  <c r="AE6" i="34"/>
  <c r="AB19" i="34"/>
  <c r="AE11" i="34"/>
  <c r="Y6" i="34"/>
  <c r="V19" i="34"/>
  <c r="AE13" i="34"/>
  <c r="AB10" i="34"/>
  <c r="Y19" i="34"/>
  <c r="AB13" i="34"/>
  <c r="V7" i="34"/>
  <c r="AB12" i="34"/>
  <c r="V6" i="34"/>
  <c r="F18" i="34"/>
  <c r="Y8" i="34"/>
  <c r="F25" i="34"/>
  <c r="F23" i="34"/>
  <c r="AF12" i="34"/>
  <c r="AC16" i="34"/>
  <c r="AC12" i="34"/>
  <c r="V9" i="34"/>
  <c r="F27" i="34"/>
  <c r="V14" i="34"/>
  <c r="AE8" i="34"/>
  <c r="F26" i="34"/>
  <c r="AE5" i="34"/>
  <c r="G17" i="34"/>
  <c r="H9" i="34"/>
  <c r="AF20" i="34"/>
  <c r="F10" i="34"/>
  <c r="E12" i="34"/>
  <c r="F15" i="34"/>
  <c r="AB9" i="34"/>
  <c r="Y15" i="34"/>
  <c r="F13" i="34"/>
  <c r="H12" i="34"/>
  <c r="G7" i="34"/>
  <c r="H20" i="34"/>
  <c r="G13" i="34"/>
  <c r="E8" i="34"/>
  <c r="AC17" i="34"/>
  <c r="Z15" i="34"/>
  <c r="AF19" i="34"/>
  <c r="Z16" i="34"/>
  <c r="D21" i="34"/>
  <c r="O51" i="2"/>
  <c r="E20" i="34"/>
  <c r="Z5" i="34"/>
  <c r="D16" i="34"/>
  <c r="E11" i="34"/>
  <c r="P55" i="22"/>
  <c r="E23" i="34"/>
  <c r="G10" i="34"/>
  <c r="H22" i="34"/>
  <c r="Y4" i="34"/>
  <c r="G9" i="34"/>
  <c r="Y16" i="34"/>
  <c r="E9" i="34"/>
  <c r="G24" i="34"/>
  <c r="V15" i="34"/>
  <c r="AE7" i="34"/>
  <c r="H27" i="34"/>
  <c r="H26" i="34"/>
  <c r="AE15" i="34"/>
  <c r="W17" i="34"/>
  <c r="E6" i="34"/>
  <c r="F19" i="34"/>
  <c r="F20" i="34"/>
  <c r="F9" i="34"/>
  <c r="G22" i="34"/>
  <c r="E18" i="34"/>
  <c r="H17" i="34"/>
  <c r="H7" i="34"/>
  <c r="E17" i="34"/>
  <c r="D9" i="34"/>
  <c r="O37" i="22"/>
  <c r="P37" i="22"/>
  <c r="AC18" i="34"/>
  <c r="Z8" i="34"/>
  <c r="AC5" i="34"/>
  <c r="O18" i="2"/>
  <c r="P61" i="22"/>
  <c r="AF7" i="34"/>
  <c r="H19" i="34"/>
  <c r="G14" i="34"/>
  <c r="Z14" i="34"/>
  <c r="H13" i="34"/>
  <c r="L4" i="22"/>
  <c r="V16" i="34"/>
  <c r="V18" i="34"/>
  <c r="V13" i="34"/>
  <c r="G6" i="34"/>
  <c r="G26" i="34"/>
  <c r="F12" i="34"/>
  <c r="AB4" i="34"/>
  <c r="AF10" i="34"/>
  <c r="H25" i="34"/>
  <c r="AE10" i="34"/>
  <c r="AB7" i="34"/>
  <c r="H18" i="34"/>
  <c r="AB18" i="34"/>
  <c r="AB6" i="34"/>
  <c r="H14" i="34"/>
  <c r="Z7" i="34"/>
  <c r="H8" i="34"/>
  <c r="Z13" i="34"/>
  <c r="W11" i="34"/>
  <c r="E7" i="34"/>
  <c r="E4" i="34"/>
  <c r="AC19" i="34"/>
  <c r="Z18" i="34"/>
  <c r="P43" i="22"/>
  <c r="E21" i="34"/>
  <c r="E26" i="34"/>
  <c r="W19" i="34"/>
  <c r="D24" i="34"/>
  <c r="AF9" i="34"/>
  <c r="AF14" i="34"/>
  <c r="G27" i="34"/>
  <c r="H23" i="34"/>
  <c r="H24" i="34"/>
  <c r="G21" i="34"/>
  <c r="H15" i="34"/>
  <c r="H4" i="34"/>
  <c r="W5" i="34"/>
  <c r="E14" i="34"/>
  <c r="Z19" i="34"/>
  <c r="Z12" i="34"/>
  <c r="AF17" i="34"/>
  <c r="E22" i="34"/>
  <c r="AF13" i="34"/>
  <c r="AF18" i="34"/>
  <c r="W15" i="34"/>
  <c r="G15" i="34"/>
  <c r="G4" i="34"/>
  <c r="W10" i="34"/>
  <c r="E13" i="34"/>
  <c r="E15" i="34"/>
  <c r="AF11" i="34"/>
  <c r="W14" i="34"/>
  <c r="Z17" i="34"/>
  <c r="AC14" i="34"/>
  <c r="W18" i="34"/>
  <c r="L7" i="34"/>
  <c r="L11" i="34"/>
  <c r="M5" i="34"/>
  <c r="M6" i="34"/>
  <c r="L6" i="34"/>
  <c r="L9" i="34"/>
  <c r="L15" i="34"/>
  <c r="L4" i="34"/>
  <c r="M10" i="34"/>
  <c r="M11" i="34"/>
  <c r="M7" i="34"/>
  <c r="G19" i="34"/>
  <c r="M4" i="34"/>
  <c r="M13" i="34"/>
  <c r="L13" i="34"/>
  <c r="L10" i="34"/>
  <c r="A55" i="2"/>
  <c r="A29" i="2"/>
  <c r="A22" i="2"/>
  <c r="A49" i="2"/>
  <c r="A42" i="2"/>
  <c r="A9" i="2"/>
  <c r="A59" i="2"/>
  <c r="A27" i="2"/>
  <c r="A24" i="2"/>
  <c r="A4" i="2"/>
  <c r="A11" i="2"/>
  <c r="A60" i="2"/>
  <c r="A56" i="2"/>
  <c r="A3" i="2"/>
  <c r="A41" i="2"/>
  <c r="A51" i="2"/>
  <c r="A30" i="2"/>
  <c r="A31" i="2"/>
  <c r="A47" i="2"/>
  <c r="A38" i="2"/>
  <c r="A5" i="2"/>
  <c r="A39" i="2"/>
  <c r="A58" i="2"/>
  <c r="A57" i="2"/>
  <c r="A66" i="2"/>
  <c r="A23" i="2"/>
  <c r="A10" i="2"/>
  <c r="A28" i="2"/>
  <c r="A2" i="2"/>
  <c r="A50" i="2"/>
  <c r="D27" i="34"/>
  <c r="A26" i="2"/>
  <c r="A6" i="2"/>
  <c r="A17" i="2"/>
  <c r="A54" i="2"/>
  <c r="A53" i="2"/>
  <c r="D13" i="34"/>
  <c r="A20" i="2"/>
  <c r="A12" i="2"/>
  <c r="A36" i="2"/>
  <c r="A16" i="2"/>
  <c r="A34" i="2"/>
  <c r="A14" i="2"/>
  <c r="A37" i="2"/>
  <c r="A33" i="2"/>
  <c r="A19" i="2"/>
  <c r="A65" i="2"/>
  <c r="A25" i="2"/>
  <c r="A64" i="2"/>
  <c r="A45" i="2"/>
  <c r="A32" i="2"/>
  <c r="A48" i="2"/>
  <c r="A52" i="2"/>
  <c r="A62" i="2"/>
  <c r="AF6" i="34"/>
  <c r="Z4" i="34"/>
  <c r="D10" i="34"/>
  <c r="W8" i="34"/>
  <c r="D8" i="34"/>
  <c r="L3" i="54"/>
  <c r="AC7" i="34"/>
  <c r="B4" i="54"/>
  <c r="D19" i="34"/>
  <c r="AC8" i="34"/>
  <c r="L2" i="54"/>
  <c r="D20" i="34"/>
  <c r="B3" i="54"/>
  <c r="D6" i="34"/>
  <c r="W6" i="34"/>
  <c r="W13" i="34"/>
  <c r="B5" i="54"/>
  <c r="L5" i="54"/>
  <c r="D22" i="34"/>
  <c r="AF4" i="34"/>
  <c r="C4" i="54"/>
  <c r="E19" i="34"/>
  <c r="AF8" i="34"/>
  <c r="O59" i="2"/>
  <c r="O25" i="22"/>
  <c r="P25" i="22"/>
  <c r="O38" i="2"/>
  <c r="O3" i="22"/>
  <c r="P3" i="22"/>
  <c r="O5" i="2"/>
  <c r="O60" i="2"/>
  <c r="O21" i="22"/>
  <c r="P21" i="22"/>
  <c r="O39" i="22"/>
  <c r="P39" i="22"/>
  <c r="O19" i="2"/>
  <c r="O31" i="2"/>
  <c r="Z9" i="34"/>
  <c r="D15" i="34"/>
  <c r="O30" i="22"/>
  <c r="P30" i="22"/>
  <c r="D92" i="24"/>
  <c r="C104" i="1"/>
  <c r="B153" i="24"/>
  <c r="B2" i="24"/>
  <c r="C158" i="1"/>
  <c r="C169" i="1"/>
  <c r="B150" i="24"/>
  <c r="C117" i="1"/>
  <c r="H119" i="5"/>
  <c r="B185" i="24"/>
  <c r="C133" i="1"/>
  <c r="E121" i="1"/>
  <c r="X121" i="1"/>
  <c r="AA41" i="1"/>
  <c r="B67" i="24"/>
  <c r="B126" i="24"/>
  <c r="B80" i="24"/>
  <c r="B39" i="24"/>
  <c r="C28" i="1"/>
  <c r="B170" i="24"/>
  <c r="C130" i="1"/>
  <c r="B66" i="24"/>
  <c r="AD65" i="5"/>
  <c r="B35" i="24"/>
  <c r="B8" i="24"/>
  <c r="C75" i="1"/>
  <c r="B143" i="24"/>
  <c r="B87" i="24"/>
  <c r="B64" i="24"/>
  <c r="B95" i="24"/>
  <c r="C193" i="1"/>
  <c r="D37" i="23"/>
  <c r="D37" i="3"/>
  <c r="P37" i="5"/>
  <c r="O37" i="47"/>
  <c r="C30" i="3"/>
  <c r="C30" i="23"/>
  <c r="D16" i="23"/>
  <c r="O16" i="47"/>
  <c r="D16" i="3"/>
  <c r="P16" i="5"/>
  <c r="C28" i="23"/>
  <c r="C28" i="3"/>
  <c r="C15" i="23"/>
  <c r="C15" i="3"/>
  <c r="P2" i="5"/>
  <c r="D2" i="3"/>
  <c r="D2" i="23"/>
  <c r="O2" i="47"/>
  <c r="U6" i="5"/>
  <c r="X6" i="5"/>
  <c r="V6" i="5"/>
  <c r="W6" i="5"/>
  <c r="S32" i="7"/>
  <c r="T32" i="7"/>
  <c r="S21" i="7"/>
  <c r="O13" i="47"/>
  <c r="P13" i="5"/>
  <c r="D13" i="23"/>
  <c r="D13" i="3"/>
  <c r="S12" i="7"/>
  <c r="T12" i="7"/>
  <c r="U6" i="47"/>
  <c r="T6" i="47"/>
  <c r="W6" i="47"/>
  <c r="V6" i="47"/>
  <c r="W7" i="5"/>
  <c r="V7" i="5"/>
  <c r="X7" i="5"/>
  <c r="T7" i="5"/>
  <c r="U7" i="5"/>
  <c r="E3" i="1"/>
  <c r="D3" i="24"/>
  <c r="C120" i="24"/>
  <c r="D120" i="1"/>
  <c r="E119" i="1"/>
  <c r="X119" i="1"/>
  <c r="Y41" i="1"/>
  <c r="D119" i="24"/>
  <c r="C46" i="3"/>
  <c r="C46" i="23"/>
  <c r="T39" i="7"/>
  <c r="C17" i="23"/>
  <c r="C17" i="3"/>
  <c r="X5" i="5"/>
  <c r="T51" i="5"/>
  <c r="W5" i="5"/>
  <c r="V5" i="5"/>
  <c r="U5" i="5"/>
  <c r="G2" i="24"/>
  <c r="AI4" i="5"/>
  <c r="AK4" i="5"/>
  <c r="H2" i="5"/>
  <c r="P45" i="5"/>
  <c r="O45" i="47"/>
  <c r="D45" i="23"/>
  <c r="D33" i="23"/>
  <c r="O33" i="47"/>
  <c r="D33" i="3"/>
  <c r="P33" i="5"/>
  <c r="S24" i="7"/>
  <c r="T24" i="7"/>
  <c r="C13" i="23"/>
  <c r="C13" i="3"/>
  <c r="C5" i="3"/>
  <c r="C5" i="23"/>
  <c r="D5" i="3"/>
  <c r="O5" i="47"/>
  <c r="D5" i="23"/>
  <c r="D4" i="3"/>
  <c r="P4" i="5"/>
  <c r="O4" i="47"/>
  <c r="O3" i="47"/>
  <c r="D3" i="23"/>
  <c r="P3" i="5"/>
  <c r="D3" i="3"/>
  <c r="U2" i="7"/>
  <c r="C42" i="3"/>
  <c r="C42" i="23"/>
  <c r="C8" i="23"/>
  <c r="C8" i="3"/>
  <c r="P43" i="5"/>
  <c r="D43" i="3"/>
  <c r="D43" i="23"/>
  <c r="P41" i="5"/>
  <c r="D41" i="3"/>
  <c r="O41" i="47"/>
  <c r="S40" i="7"/>
  <c r="T40" i="7"/>
  <c r="U31" i="7"/>
  <c r="S31" i="7"/>
  <c r="T27" i="7"/>
  <c r="S27" i="7"/>
  <c r="O26" i="47"/>
  <c r="P26" i="5"/>
  <c r="D26" i="3"/>
  <c r="S25" i="7"/>
  <c r="O22" i="47"/>
  <c r="D22" i="3"/>
  <c r="D22" i="23"/>
  <c r="U11" i="7"/>
  <c r="S11" i="7"/>
  <c r="D11" i="23"/>
  <c r="O11" i="47"/>
  <c r="O10" i="47"/>
  <c r="P10" i="5"/>
  <c r="D10" i="3"/>
  <c r="S9" i="7"/>
  <c r="P36" i="3"/>
  <c r="G128" i="3"/>
  <c r="O7" i="3"/>
  <c r="G53" i="3"/>
  <c r="O7" i="47"/>
  <c r="D7" i="3"/>
  <c r="D7" i="23"/>
  <c r="P25" i="5"/>
  <c r="O25" i="47"/>
  <c r="D38" i="3"/>
  <c r="P38" i="5"/>
  <c r="O38" i="47"/>
  <c r="S37" i="7"/>
  <c r="D36" i="3"/>
  <c r="D36" i="23"/>
  <c r="P36" i="5"/>
  <c r="T35" i="7"/>
  <c r="S35" i="7"/>
  <c r="P34" i="5"/>
  <c r="D34" i="3"/>
  <c r="D34" i="23"/>
  <c r="O34" i="47"/>
  <c r="S34" i="7"/>
  <c r="D30" i="23"/>
  <c r="O30" i="47"/>
  <c r="D30" i="3"/>
  <c r="P28" i="5"/>
  <c r="D28" i="23"/>
  <c r="D28" i="3"/>
  <c r="T21" i="7"/>
  <c r="T20" i="7"/>
  <c r="S20" i="7"/>
  <c r="U16" i="7"/>
  <c r="S16" i="7"/>
  <c r="D15" i="3"/>
  <c r="D15" i="23"/>
  <c r="O15" i="47"/>
  <c r="P15" i="5"/>
  <c r="T14" i="7"/>
  <c r="S14" i="7"/>
  <c r="Q47" i="47"/>
  <c r="AE41" i="1"/>
  <c r="AC41" i="1"/>
  <c r="D93" i="24"/>
  <c r="E93" i="1"/>
  <c r="U23" i="7"/>
  <c r="S23" i="7"/>
  <c r="T9" i="7"/>
  <c r="T8" i="7"/>
  <c r="S4" i="7"/>
  <c r="T46" i="7"/>
  <c r="S45" i="7"/>
  <c r="T42" i="7"/>
  <c r="T31" i="7"/>
  <c r="U29" i="7"/>
  <c r="S29" i="7"/>
  <c r="T29" i="7"/>
  <c r="T18" i="7"/>
  <c r="D2" i="1"/>
  <c r="C2" i="24"/>
  <c r="U43" i="7"/>
  <c r="S43" i="7"/>
  <c r="U39" i="7"/>
  <c r="S39" i="7"/>
  <c r="U3" i="7"/>
  <c r="S3" i="7"/>
  <c r="S2" i="7"/>
  <c r="L36" i="3"/>
  <c r="F82" i="3"/>
  <c r="C188" i="1"/>
  <c r="B188" i="24"/>
  <c r="B182" i="24"/>
  <c r="C182" i="1"/>
  <c r="B122" i="24"/>
  <c r="C122" i="1"/>
  <c r="C115" i="1"/>
  <c r="B115" i="24"/>
  <c r="B92" i="24"/>
  <c r="C92" i="1"/>
  <c r="B85" i="24"/>
  <c r="C85" i="1"/>
  <c r="B60" i="24"/>
  <c r="C60" i="1"/>
  <c r="C48" i="1"/>
  <c r="B48" i="24"/>
  <c r="C22" i="1"/>
  <c r="B22" i="24"/>
  <c r="H1" i="47"/>
  <c r="X94" i="1"/>
  <c r="AA32" i="1"/>
  <c r="AF2" i="1"/>
  <c r="AD2" i="1"/>
  <c r="AH2" i="1"/>
  <c r="AG32" i="1"/>
  <c r="AB32" i="1"/>
  <c r="AI32" i="1"/>
  <c r="T53" i="5"/>
  <c r="D92" i="1"/>
  <c r="AD64" i="5"/>
  <c r="AI2" i="5"/>
  <c r="AI3" i="5"/>
  <c r="AK3" i="5"/>
  <c r="AD66" i="5"/>
  <c r="X3" i="1"/>
  <c r="Z2" i="1"/>
  <c r="B190" i="24"/>
  <c r="C190" i="1"/>
  <c r="C184" i="1"/>
  <c r="B184" i="24"/>
  <c r="C125" i="1"/>
  <c r="B125" i="24"/>
  <c r="B106" i="24"/>
  <c r="C106" i="1"/>
  <c r="B94" i="24"/>
  <c r="C94" i="1"/>
  <c r="C79" i="1"/>
  <c r="B79" i="24"/>
  <c r="B61" i="24"/>
  <c r="C61" i="1"/>
  <c r="C179" i="1"/>
  <c r="B179" i="24"/>
  <c r="C127" i="1"/>
  <c r="B127" i="24"/>
  <c r="B118" i="24"/>
  <c r="C118" i="1"/>
  <c r="C62" i="1"/>
  <c r="B62" i="24"/>
  <c r="B186" i="24"/>
  <c r="C186" i="1"/>
  <c r="C128" i="1"/>
  <c r="B128" i="24"/>
  <c r="C120" i="1"/>
  <c r="B120" i="24"/>
  <c r="C98" i="1"/>
  <c r="B98" i="24"/>
  <c r="B90" i="24"/>
  <c r="C90" i="1"/>
  <c r="C83" i="1"/>
  <c r="B83" i="24"/>
  <c r="B59" i="24"/>
  <c r="C59" i="1"/>
  <c r="C94" i="24"/>
  <c r="D121" i="1"/>
  <c r="O5" i="22"/>
  <c r="P5" i="22"/>
  <c r="O17" i="2"/>
  <c r="O12" i="2"/>
  <c r="O29" i="22"/>
  <c r="P29" i="22"/>
  <c r="O26" i="2"/>
  <c r="O40" i="22"/>
  <c r="P40" i="22"/>
  <c r="P38" i="22"/>
  <c r="O65" i="2"/>
  <c r="O49" i="22"/>
  <c r="P49" i="22"/>
  <c r="O2" i="2"/>
  <c r="O15" i="22"/>
  <c r="P15" i="22"/>
  <c r="O40" i="2"/>
  <c r="O14" i="22"/>
  <c r="P14" i="22"/>
  <c r="O25" i="2"/>
  <c r="O6" i="2"/>
  <c r="O20" i="22"/>
  <c r="P20" i="22"/>
  <c r="O24" i="22"/>
  <c r="P24" i="22"/>
  <c r="O3" i="2"/>
  <c r="O17" i="22"/>
  <c r="P17" i="22"/>
  <c r="O52" i="2"/>
  <c r="O11" i="22"/>
  <c r="P11" i="22"/>
  <c r="O65" i="22"/>
  <c r="P65" i="22"/>
  <c r="O33" i="2"/>
  <c r="O45" i="22"/>
  <c r="P45" i="22"/>
  <c r="O29" i="2"/>
  <c r="O64" i="22"/>
  <c r="P64" i="22"/>
  <c r="O50" i="2"/>
  <c r="O48" i="22"/>
  <c r="P48" i="22"/>
  <c r="O7" i="22"/>
  <c r="P7" i="22"/>
  <c r="O43" i="2"/>
  <c r="M15" i="2"/>
  <c r="N15" i="2"/>
  <c r="L69" i="22"/>
  <c r="C39" i="3"/>
  <c r="C39" i="23"/>
  <c r="C31" i="23"/>
  <c r="C31" i="3"/>
  <c r="O18" i="47"/>
  <c r="D18" i="23"/>
  <c r="D18" i="3"/>
  <c r="P18" i="5"/>
  <c r="D8" i="3"/>
  <c r="P8" i="5"/>
  <c r="D8" i="23"/>
  <c r="O8" i="47"/>
  <c r="C14" i="3"/>
  <c r="C14" i="23"/>
  <c r="C34" i="3"/>
  <c r="C34" i="23"/>
  <c r="W25" i="5"/>
  <c r="X25" i="5"/>
  <c r="U25" i="5"/>
  <c r="V25" i="5"/>
  <c r="D24" i="23"/>
  <c r="P24" i="5"/>
  <c r="O24" i="47"/>
  <c r="D24" i="3"/>
  <c r="M36" i="3"/>
  <c r="F128" i="3"/>
  <c r="C12" i="23"/>
  <c r="C12" i="3"/>
  <c r="T52" i="5"/>
  <c r="T98" i="5"/>
  <c r="T6" i="5"/>
  <c r="V23" i="5"/>
  <c r="V22" i="5"/>
  <c r="U47" i="5"/>
  <c r="V47" i="5"/>
  <c r="T37" i="47"/>
  <c r="W37" i="47"/>
  <c r="U37" i="47"/>
  <c r="V37" i="47"/>
  <c r="C43" i="3"/>
  <c r="C43" i="23"/>
  <c r="D29" i="23"/>
  <c r="O29" i="47"/>
  <c r="P29" i="5"/>
  <c r="D29" i="3"/>
  <c r="C45" i="3"/>
  <c r="C45" i="23"/>
  <c r="D9" i="3"/>
  <c r="O9" i="47"/>
  <c r="P9" i="5"/>
  <c r="D9" i="23"/>
  <c r="D14" i="3"/>
  <c r="O14" i="47"/>
  <c r="D14" i="23"/>
  <c r="P14" i="5"/>
  <c r="P21" i="5"/>
  <c r="D21" i="23"/>
  <c r="D21" i="3"/>
  <c r="O21" i="47"/>
  <c r="U34" i="47"/>
  <c r="V34" i="47"/>
  <c r="T34" i="47"/>
  <c r="W34" i="47"/>
  <c r="C35" i="23"/>
  <c r="C35" i="3"/>
  <c r="L7" i="3"/>
  <c r="F53" i="3"/>
  <c r="T22" i="47"/>
  <c r="W22" i="47"/>
  <c r="U22" i="47"/>
  <c r="V22" i="47"/>
  <c r="W26" i="47"/>
  <c r="V26" i="47"/>
  <c r="U26" i="47"/>
  <c r="T26" i="47"/>
  <c r="D40" i="3"/>
  <c r="O40" i="47"/>
  <c r="P40" i="5"/>
  <c r="D40" i="23"/>
  <c r="U41" i="5"/>
  <c r="X41" i="5"/>
  <c r="W41" i="5"/>
  <c r="V41" i="5"/>
  <c r="L8" i="3"/>
  <c r="P8" i="3"/>
  <c r="N8" i="3"/>
  <c r="G8" i="3"/>
  <c r="M8" i="3"/>
  <c r="F54" i="3"/>
  <c r="G100" i="3"/>
  <c r="F100" i="3"/>
  <c r="K8" i="3"/>
  <c r="I8" i="3"/>
  <c r="E8" i="3"/>
  <c r="O8" i="3"/>
  <c r="G54" i="3"/>
  <c r="E100" i="3"/>
  <c r="J8" i="3"/>
  <c r="F8" i="3"/>
  <c r="T3" i="47"/>
  <c r="U3" i="47"/>
  <c r="W3" i="47"/>
  <c r="V3" i="47"/>
  <c r="K5" i="3"/>
  <c r="L5" i="3"/>
  <c r="F97" i="3"/>
  <c r="I5" i="3"/>
  <c r="E97" i="3"/>
  <c r="J5" i="3"/>
  <c r="O5" i="3"/>
  <c r="G51" i="3"/>
  <c r="E51" i="3"/>
  <c r="E5" i="3"/>
  <c r="G97" i="3"/>
  <c r="F5" i="3"/>
  <c r="M5" i="3"/>
  <c r="F51" i="3"/>
  <c r="N5" i="3"/>
  <c r="G5" i="3"/>
  <c r="P5" i="3"/>
  <c r="C24" i="3"/>
  <c r="C24" i="23"/>
  <c r="T33" i="47"/>
  <c r="U33" i="47"/>
  <c r="V33" i="47"/>
  <c r="W33" i="47"/>
  <c r="W45" i="5"/>
  <c r="V45" i="5"/>
  <c r="U45" i="5"/>
  <c r="X45" i="5"/>
  <c r="U36" i="47"/>
  <c r="V11" i="5"/>
  <c r="T19" i="47"/>
  <c r="F46" i="3"/>
  <c r="E138" i="3"/>
  <c r="E46" i="3"/>
  <c r="E92" i="3"/>
  <c r="O46" i="3"/>
  <c r="G92" i="3"/>
  <c r="K46" i="3"/>
  <c r="J46" i="3"/>
  <c r="N46" i="3"/>
  <c r="G46" i="3"/>
  <c r="L46" i="3"/>
  <c r="F92" i="3"/>
  <c r="I46" i="3"/>
  <c r="P46" i="3"/>
  <c r="G138" i="3"/>
  <c r="M46" i="3"/>
  <c r="F138" i="3"/>
  <c r="J36" i="3"/>
  <c r="F36" i="3"/>
  <c r="U19" i="47"/>
  <c r="S6" i="47"/>
  <c r="S52" i="47"/>
  <c r="S98" i="47"/>
  <c r="C21" i="3"/>
  <c r="C21" i="23"/>
  <c r="X23" i="5"/>
  <c r="V44" i="5"/>
  <c r="X19" i="5"/>
  <c r="T17" i="47"/>
  <c r="U11" i="5"/>
  <c r="W17" i="5"/>
  <c r="W23" i="5"/>
  <c r="V19" i="47"/>
  <c r="V17" i="47"/>
  <c r="X47" i="5"/>
  <c r="T47" i="5"/>
  <c r="V30" i="5"/>
  <c r="W28" i="47"/>
  <c r="U47" i="47"/>
  <c r="U22" i="5"/>
  <c r="V28" i="47"/>
  <c r="U2" i="5"/>
  <c r="X2" i="5"/>
  <c r="W2" i="5"/>
  <c r="V2" i="5"/>
  <c r="W37" i="5"/>
  <c r="V37" i="5"/>
  <c r="X37" i="5"/>
  <c r="U37" i="5"/>
  <c r="V28" i="5"/>
  <c r="W28" i="5"/>
  <c r="U28" i="5"/>
  <c r="X28" i="5"/>
  <c r="W11" i="47"/>
  <c r="U11" i="47"/>
  <c r="V11" i="47"/>
  <c r="T11" i="47"/>
  <c r="U26" i="5"/>
  <c r="X26" i="5"/>
  <c r="W26" i="5"/>
  <c r="V26" i="5"/>
  <c r="X43" i="5"/>
  <c r="V43" i="5"/>
  <c r="W43" i="5"/>
  <c r="U43" i="5"/>
  <c r="W45" i="47"/>
  <c r="T45" i="47"/>
  <c r="V45" i="47"/>
  <c r="U45" i="47"/>
  <c r="U17" i="47"/>
  <c r="T36" i="47"/>
  <c r="V19" i="5"/>
  <c r="W30" i="5"/>
  <c r="W47" i="47"/>
  <c r="T16" i="47"/>
  <c r="V16" i="47"/>
  <c r="W16" i="47"/>
  <c r="U16" i="47"/>
  <c r="T97" i="5"/>
  <c r="C2" i="3"/>
  <c r="C2" i="23"/>
  <c r="P7" i="3"/>
  <c r="G99" i="3"/>
  <c r="K7" i="3"/>
  <c r="E99" i="3"/>
  <c r="N7" i="3"/>
  <c r="G7" i="3"/>
  <c r="M7" i="3"/>
  <c r="F99" i="3"/>
  <c r="J7" i="3"/>
  <c r="F7" i="3"/>
  <c r="M33" i="3"/>
  <c r="F125" i="3"/>
  <c r="O33" i="3"/>
  <c r="G79" i="3"/>
  <c r="I33" i="3"/>
  <c r="M18" i="3"/>
  <c r="F110" i="3"/>
  <c r="K18" i="3"/>
  <c r="E110" i="3"/>
  <c r="K47" i="3"/>
  <c r="P47" i="3"/>
  <c r="O26" i="3"/>
  <c r="G72" i="3"/>
  <c r="N26" i="3"/>
  <c r="G26" i="3"/>
  <c r="P26" i="3"/>
  <c r="G118" i="3"/>
  <c r="L26" i="3"/>
  <c r="F72" i="3"/>
  <c r="K6" i="3"/>
  <c r="E98" i="3"/>
  <c r="P6" i="3"/>
  <c r="G98" i="3"/>
  <c r="J22" i="3"/>
  <c r="F22" i="3"/>
  <c r="O22" i="3"/>
  <c r="G68" i="3"/>
  <c r="L22" i="3"/>
  <c r="F68" i="3"/>
  <c r="I38" i="3"/>
  <c r="P33" i="3"/>
  <c r="G125" i="3"/>
  <c r="K33" i="3"/>
  <c r="E125" i="3"/>
  <c r="P18" i="3"/>
  <c r="G110" i="3"/>
  <c r="J18" i="3"/>
  <c r="F18" i="3"/>
  <c r="O47" i="3"/>
  <c r="N47" i="3"/>
  <c r="J6" i="3"/>
  <c r="F6" i="3"/>
  <c r="N6" i="3"/>
  <c r="G6" i="3"/>
  <c r="P22" i="3"/>
  <c r="G114" i="3"/>
  <c r="L38" i="3"/>
  <c r="F84" i="3"/>
  <c r="J33" i="3"/>
  <c r="F33" i="3"/>
  <c r="N33" i="3"/>
  <c r="G33" i="3"/>
  <c r="L18" i="3"/>
  <c r="F64" i="3"/>
  <c r="M47" i="3"/>
  <c r="M26" i="3"/>
  <c r="F118" i="3"/>
  <c r="L33" i="3"/>
  <c r="F79" i="3"/>
  <c r="O18" i="3"/>
  <c r="G64" i="3"/>
  <c r="M6" i="3"/>
  <c r="F98" i="3"/>
  <c r="I22" i="3"/>
  <c r="J38" i="3"/>
  <c r="F38" i="3"/>
  <c r="P38" i="3"/>
  <c r="G130" i="3"/>
  <c r="O38" i="3"/>
  <c r="G84" i="3"/>
  <c r="J19" i="3"/>
  <c r="F19" i="3"/>
  <c r="K41" i="3"/>
  <c r="E133" i="3"/>
  <c r="J41" i="3"/>
  <c r="F41" i="3"/>
  <c r="I44" i="3"/>
  <c r="J47" i="3"/>
  <c r="I26" i="3"/>
  <c r="K26" i="3"/>
  <c r="E118" i="3"/>
  <c r="I6" i="3"/>
  <c r="O6" i="3"/>
  <c r="G52" i="3"/>
  <c r="N22" i="3"/>
  <c r="G22" i="3"/>
  <c r="K38" i="3"/>
  <c r="E130" i="3"/>
  <c r="L19" i="3"/>
  <c r="F65" i="3"/>
  <c r="K19" i="3"/>
  <c r="E111" i="3"/>
  <c r="N18" i="3"/>
  <c r="G18" i="3"/>
  <c r="L47" i="3"/>
  <c r="M38" i="3"/>
  <c r="F130" i="3"/>
  <c r="N38" i="3"/>
  <c r="G38" i="3"/>
  <c r="P19" i="3"/>
  <c r="G111" i="3"/>
  <c r="N19" i="3"/>
  <c r="G19" i="3"/>
  <c r="O19" i="3"/>
  <c r="G65" i="3"/>
  <c r="L41" i="3"/>
  <c r="F87" i="3"/>
  <c r="O41" i="3"/>
  <c r="G87" i="3"/>
  <c r="I41" i="3"/>
  <c r="L10" i="3"/>
  <c r="F56" i="3"/>
  <c r="K10" i="3"/>
  <c r="E102" i="3"/>
  <c r="L6" i="3"/>
  <c r="F52" i="3"/>
  <c r="K22" i="3"/>
  <c r="E114" i="3"/>
  <c r="M41" i="3"/>
  <c r="F133" i="3"/>
  <c r="K44" i="3"/>
  <c r="E136" i="3"/>
  <c r="N41" i="3"/>
  <c r="G41" i="3"/>
  <c r="L44" i="3"/>
  <c r="F90" i="3"/>
  <c r="J10" i="3"/>
  <c r="F10" i="3"/>
  <c r="I10" i="3"/>
  <c r="I18" i="3"/>
  <c r="I47" i="3"/>
  <c r="J26" i="3"/>
  <c r="F26" i="3"/>
  <c r="M19" i="3"/>
  <c r="F111" i="3"/>
  <c r="O44" i="3"/>
  <c r="G90" i="3"/>
  <c r="M44" i="3"/>
  <c r="F136" i="3"/>
  <c r="J44" i="3"/>
  <c r="F44" i="3"/>
  <c r="O10" i="3"/>
  <c r="G56" i="3"/>
  <c r="M10" i="3"/>
  <c r="F102" i="3"/>
  <c r="I36" i="3"/>
  <c r="P41" i="3"/>
  <c r="G133" i="3"/>
  <c r="N44" i="3"/>
  <c r="G44" i="3"/>
  <c r="P10" i="3"/>
  <c r="G102" i="3"/>
  <c r="M22" i="3"/>
  <c r="F114" i="3"/>
  <c r="I19" i="3"/>
  <c r="P44" i="3"/>
  <c r="G136" i="3"/>
  <c r="N10" i="3"/>
  <c r="G10" i="3"/>
  <c r="C29" i="3"/>
  <c r="C29" i="23"/>
  <c r="O46" i="47"/>
  <c r="P46" i="5"/>
  <c r="D46" i="3"/>
  <c r="D46" i="23"/>
  <c r="C23" i="23"/>
  <c r="C23" i="3"/>
  <c r="X15" i="5"/>
  <c r="V15" i="5"/>
  <c r="W15" i="5"/>
  <c r="U15" i="5"/>
  <c r="C16" i="23"/>
  <c r="C16" i="3"/>
  <c r="W30" i="47"/>
  <c r="T30" i="47"/>
  <c r="U30" i="47"/>
  <c r="V30" i="47"/>
  <c r="D35" i="3"/>
  <c r="O35" i="47"/>
  <c r="P35" i="5"/>
  <c r="D35" i="23"/>
  <c r="C37" i="3"/>
  <c r="C37" i="23"/>
  <c r="T43" i="47"/>
  <c r="I7" i="3"/>
  <c r="W10" i="5"/>
  <c r="U10" i="5"/>
  <c r="V10" i="5"/>
  <c r="X10" i="5"/>
  <c r="C11" i="3"/>
  <c r="C11" i="23"/>
  <c r="C25" i="3"/>
  <c r="C25" i="23"/>
  <c r="C27" i="3"/>
  <c r="C27" i="23"/>
  <c r="C40" i="23"/>
  <c r="C40" i="3"/>
  <c r="T4" i="47"/>
  <c r="W4" i="47"/>
  <c r="U4" i="47"/>
  <c r="V4" i="47"/>
  <c r="V5" i="47"/>
  <c r="W5" i="47"/>
  <c r="T5" i="47"/>
  <c r="U5" i="47"/>
  <c r="N13" i="3"/>
  <c r="G13" i="3"/>
  <c r="F13" i="3"/>
  <c r="F105" i="3"/>
  <c r="P13" i="3"/>
  <c r="G105" i="3"/>
  <c r="O13" i="3"/>
  <c r="G59" i="3"/>
  <c r="L13" i="3"/>
  <c r="F59" i="3"/>
  <c r="I13" i="3"/>
  <c r="K13" i="3"/>
  <c r="J13" i="3"/>
  <c r="E59" i="3"/>
  <c r="E105" i="3"/>
  <c r="E13" i="3"/>
  <c r="M13" i="3"/>
  <c r="T5" i="5"/>
  <c r="W36" i="47"/>
  <c r="W11" i="5"/>
  <c r="T99" i="5"/>
  <c r="N36" i="3"/>
  <c r="G36" i="3"/>
  <c r="K36" i="3"/>
  <c r="E128" i="3"/>
  <c r="U44" i="47"/>
  <c r="D32" i="3"/>
  <c r="O32" i="47"/>
  <c r="D32" i="23"/>
  <c r="P32" i="5"/>
  <c r="V17" i="5"/>
  <c r="W19" i="47"/>
  <c r="U23" i="5"/>
  <c r="W23" i="47"/>
  <c r="W44" i="47"/>
  <c r="X17" i="5"/>
  <c r="U30" i="5"/>
  <c r="U44" i="5"/>
  <c r="W17" i="47"/>
  <c r="T47" i="47"/>
  <c r="U43" i="47"/>
  <c r="U28" i="47"/>
  <c r="V43" i="47"/>
  <c r="W43" i="47"/>
  <c r="O15" i="3"/>
  <c r="G61" i="3"/>
  <c r="E107" i="3"/>
  <c r="L15" i="3"/>
  <c r="F61" i="3"/>
  <c r="J15" i="3"/>
  <c r="F15" i="3"/>
  <c r="N15" i="3"/>
  <c r="G15" i="3"/>
  <c r="P15" i="3"/>
  <c r="G107" i="3"/>
  <c r="M15" i="3"/>
  <c r="F107" i="3"/>
  <c r="K15" i="3"/>
  <c r="I15" i="3"/>
  <c r="E61" i="3"/>
  <c r="U16" i="5"/>
  <c r="V16" i="5"/>
  <c r="X16" i="5"/>
  <c r="W16" i="5"/>
  <c r="D42" i="23"/>
  <c r="O42" i="47"/>
  <c r="P42" i="5"/>
  <c r="D42" i="3"/>
  <c r="D20" i="3"/>
  <c r="O20" i="47"/>
  <c r="D20" i="23"/>
  <c r="P20" i="5"/>
  <c r="U34" i="5"/>
  <c r="W34" i="5"/>
  <c r="X34" i="5"/>
  <c r="V34" i="5"/>
  <c r="V38" i="5"/>
  <c r="W38" i="5"/>
  <c r="X38" i="5"/>
  <c r="U38" i="5"/>
  <c r="C9" i="23"/>
  <c r="C9" i="3"/>
  <c r="O42" i="3"/>
  <c r="G88" i="3"/>
  <c r="G134" i="3"/>
  <c r="L42" i="3"/>
  <c r="M42" i="3"/>
  <c r="F134" i="3"/>
  <c r="N42" i="3"/>
  <c r="G42" i="3"/>
  <c r="F88" i="3"/>
  <c r="J42" i="3"/>
  <c r="E88" i="3"/>
  <c r="K42" i="3"/>
  <c r="E134" i="3"/>
  <c r="F42" i="3"/>
  <c r="I42" i="3"/>
  <c r="P42" i="3"/>
  <c r="E42" i="3"/>
  <c r="X11" i="5"/>
  <c r="T13" i="47"/>
  <c r="V13" i="47"/>
  <c r="U13" i="47"/>
  <c r="W13" i="47"/>
  <c r="V44" i="47"/>
  <c r="X44" i="5"/>
  <c r="U23" i="47"/>
  <c r="X22" i="5"/>
  <c r="F28" i="3"/>
  <c r="F74" i="3"/>
  <c r="N28" i="3"/>
  <c r="O28" i="3"/>
  <c r="M28" i="3"/>
  <c r="F120" i="3"/>
  <c r="E74" i="3"/>
  <c r="J28" i="3"/>
  <c r="G28" i="3"/>
  <c r="E28" i="3"/>
  <c r="K28" i="3"/>
  <c r="E120" i="3"/>
  <c r="P28" i="3"/>
  <c r="G120" i="3"/>
  <c r="L28" i="3"/>
  <c r="G74" i="3"/>
  <c r="I28" i="3"/>
  <c r="C3" i="23"/>
  <c r="C3" i="3"/>
  <c r="P31" i="5"/>
  <c r="O31" i="47"/>
  <c r="D31" i="3"/>
  <c r="D31" i="23"/>
  <c r="C4" i="3"/>
  <c r="C4" i="23"/>
  <c r="X93" i="1"/>
  <c r="Z32" i="1"/>
  <c r="T15" i="47"/>
  <c r="V15" i="47"/>
  <c r="W15" i="47"/>
  <c r="U15" i="47"/>
  <c r="C20" i="3"/>
  <c r="C20" i="23"/>
  <c r="W36" i="5"/>
  <c r="X36" i="5"/>
  <c r="U36" i="5"/>
  <c r="V36" i="5"/>
  <c r="U38" i="47"/>
  <c r="W38" i="47"/>
  <c r="V38" i="47"/>
  <c r="T38" i="47"/>
  <c r="U25" i="47"/>
  <c r="V25" i="47"/>
  <c r="T25" i="47"/>
  <c r="W25" i="47"/>
  <c r="W7" i="47"/>
  <c r="V7" i="47"/>
  <c r="T7" i="47"/>
  <c r="U7" i="47"/>
  <c r="T10" i="47"/>
  <c r="U10" i="47"/>
  <c r="W10" i="47"/>
  <c r="V10" i="47"/>
  <c r="P27" i="5"/>
  <c r="O27" i="47"/>
  <c r="D27" i="23"/>
  <c r="D27" i="3"/>
  <c r="U41" i="47"/>
  <c r="T41" i="47"/>
  <c r="W41" i="47"/>
  <c r="V41" i="47"/>
  <c r="W3" i="5"/>
  <c r="X3" i="5"/>
  <c r="V3" i="5"/>
  <c r="U3" i="5"/>
  <c r="V4" i="5"/>
  <c r="W4" i="5"/>
  <c r="X4" i="5"/>
  <c r="U4" i="5"/>
  <c r="W33" i="5"/>
  <c r="U33" i="5"/>
  <c r="X33" i="5"/>
  <c r="V33" i="5"/>
  <c r="V36" i="47"/>
  <c r="K17" i="3"/>
  <c r="E109" i="3"/>
  <c r="L17" i="3"/>
  <c r="F63" i="3"/>
  <c r="O17" i="3"/>
  <c r="G63" i="3"/>
  <c r="N17" i="3"/>
  <c r="J17" i="3"/>
  <c r="E17" i="3"/>
  <c r="M17" i="3"/>
  <c r="P17" i="3"/>
  <c r="F17" i="3"/>
  <c r="G109" i="3"/>
  <c r="F109" i="3"/>
  <c r="I17" i="3"/>
  <c r="E63" i="3"/>
  <c r="G17" i="3"/>
  <c r="O39" i="47"/>
  <c r="D39" i="3"/>
  <c r="P39" i="5"/>
  <c r="D39" i="23"/>
  <c r="AG41" i="1"/>
  <c r="AB41" i="1"/>
  <c r="AI41" i="1"/>
  <c r="O36" i="3"/>
  <c r="G82" i="3"/>
  <c r="D12" i="23"/>
  <c r="O12" i="47"/>
  <c r="P12" i="5"/>
  <c r="D12" i="3"/>
  <c r="X13" i="5"/>
  <c r="U13" i="5"/>
  <c r="W13" i="5"/>
  <c r="V13" i="5"/>
  <c r="C32" i="3"/>
  <c r="C32" i="23"/>
  <c r="W19" i="5"/>
  <c r="V23" i="47"/>
  <c r="U17" i="5"/>
  <c r="X30" i="5"/>
  <c r="U19" i="5"/>
  <c r="T44" i="47"/>
  <c r="W47" i="5"/>
  <c r="T23" i="47"/>
  <c r="W44" i="5"/>
  <c r="T28" i="47"/>
  <c r="V47" i="47"/>
  <c r="W22" i="5"/>
  <c r="V2" i="47"/>
  <c r="T2" i="47"/>
  <c r="W2" i="47"/>
  <c r="U2" i="47"/>
  <c r="J30" i="3"/>
  <c r="I30" i="3"/>
  <c r="L30" i="3"/>
  <c r="F76" i="3"/>
  <c r="M30" i="3"/>
  <c r="N30" i="3"/>
  <c r="F30" i="3"/>
  <c r="E30" i="3"/>
  <c r="F122" i="3"/>
  <c r="G30" i="3"/>
  <c r="P30" i="3"/>
  <c r="G122" i="3"/>
  <c r="O30" i="3"/>
  <c r="G76" i="3"/>
  <c r="E76" i="3"/>
  <c r="K30" i="3"/>
  <c r="E122" i="3"/>
  <c r="AK2" i="5"/>
  <c r="AD32" i="1"/>
  <c r="AF32" i="1"/>
  <c r="AH32" i="1"/>
  <c r="AE2" i="1"/>
  <c r="AC2" i="1"/>
  <c r="AF41" i="1"/>
  <c r="AD41" i="1"/>
  <c r="AH41" i="1"/>
  <c r="O4" i="22"/>
  <c r="O15" i="2"/>
  <c r="R61" i="5"/>
  <c r="Q61" i="47"/>
  <c r="R109" i="5"/>
  <c r="Q109" i="47"/>
  <c r="R134" i="5"/>
  <c r="Q134" i="47"/>
  <c r="Q8" i="47"/>
  <c r="R8" i="5"/>
  <c r="R122" i="5"/>
  <c r="Q122" i="47"/>
  <c r="Q120" i="47"/>
  <c r="R120" i="5"/>
  <c r="R30" i="5"/>
  <c r="Q30" i="47"/>
  <c r="O32" i="3"/>
  <c r="L32" i="3"/>
  <c r="F78" i="3"/>
  <c r="K32" i="3"/>
  <c r="J32" i="3"/>
  <c r="F32" i="3"/>
  <c r="G78" i="3"/>
  <c r="E124" i="3"/>
  <c r="M32" i="3"/>
  <c r="F124" i="3"/>
  <c r="N32" i="3"/>
  <c r="G32" i="3"/>
  <c r="P32" i="3"/>
  <c r="G124" i="3"/>
  <c r="E32" i="3"/>
  <c r="I32" i="3"/>
  <c r="E78" i="3"/>
  <c r="S10" i="47"/>
  <c r="S56" i="47"/>
  <c r="S102" i="47"/>
  <c r="X20" i="5"/>
  <c r="V20" i="5"/>
  <c r="W20" i="5"/>
  <c r="U20" i="5"/>
  <c r="S135" i="47"/>
  <c r="S43" i="47"/>
  <c r="S89" i="47"/>
  <c r="R128" i="5"/>
  <c r="Q128" i="47"/>
  <c r="S50" i="47"/>
  <c r="S96" i="47"/>
  <c r="S4" i="47"/>
  <c r="I25" i="3"/>
  <c r="P25" i="3"/>
  <c r="L25" i="3"/>
  <c r="F71" i="3"/>
  <c r="G117" i="3"/>
  <c r="O25" i="3"/>
  <c r="N25" i="3"/>
  <c r="K25" i="3"/>
  <c r="E117" i="3"/>
  <c r="J25" i="3"/>
  <c r="F25" i="3"/>
  <c r="G71" i="3"/>
  <c r="G25" i="3"/>
  <c r="M25" i="3"/>
  <c r="F117" i="3"/>
  <c r="E71" i="3"/>
  <c r="E25" i="3"/>
  <c r="U35" i="5"/>
  <c r="W35" i="5"/>
  <c r="V35" i="5"/>
  <c r="X35" i="5"/>
  <c r="N29" i="3"/>
  <c r="L29" i="3"/>
  <c r="F75" i="3"/>
  <c r="G29" i="3"/>
  <c r="P29" i="3"/>
  <c r="G121" i="3"/>
  <c r="O29" i="3"/>
  <c r="G75" i="3"/>
  <c r="K29" i="3"/>
  <c r="E121" i="3"/>
  <c r="J29" i="3"/>
  <c r="F29" i="3"/>
  <c r="I29" i="3"/>
  <c r="E75" i="3"/>
  <c r="E29" i="3"/>
  <c r="M29" i="3"/>
  <c r="F121" i="3"/>
  <c r="E41" i="3"/>
  <c r="E87" i="3"/>
  <c r="Q118" i="47"/>
  <c r="R118" i="5"/>
  <c r="T19" i="5"/>
  <c r="T65" i="5"/>
  <c r="T111" i="5"/>
  <c r="S36" i="47"/>
  <c r="S82" i="47"/>
  <c r="S128" i="47"/>
  <c r="T21" i="47"/>
  <c r="V21" i="47"/>
  <c r="U21" i="47"/>
  <c r="W21" i="47"/>
  <c r="W29" i="47"/>
  <c r="U29" i="47"/>
  <c r="V29" i="47"/>
  <c r="T29" i="47"/>
  <c r="T115" i="5"/>
  <c r="T69" i="5"/>
  <c r="T23" i="5"/>
  <c r="K12" i="3"/>
  <c r="E104" i="3"/>
  <c r="F58" i="3"/>
  <c r="G104" i="3"/>
  <c r="J12" i="3"/>
  <c r="N12" i="3"/>
  <c r="M12" i="3"/>
  <c r="F104" i="3"/>
  <c r="O12" i="3"/>
  <c r="F12" i="3"/>
  <c r="G12" i="3"/>
  <c r="I12" i="3"/>
  <c r="E12" i="3"/>
  <c r="L12" i="3"/>
  <c r="P12" i="3"/>
  <c r="E58" i="3"/>
  <c r="G58" i="3"/>
  <c r="U24" i="47"/>
  <c r="W24" i="47"/>
  <c r="V24" i="47"/>
  <c r="T24" i="47"/>
  <c r="G80" i="3"/>
  <c r="J34" i="3"/>
  <c r="P34" i="3"/>
  <c r="G126" i="3"/>
  <c r="N34" i="3"/>
  <c r="I34" i="3"/>
  <c r="E80" i="3"/>
  <c r="F34" i="3"/>
  <c r="O34" i="3"/>
  <c r="F126" i="3"/>
  <c r="E126" i="3"/>
  <c r="K34" i="3"/>
  <c r="L34" i="3"/>
  <c r="F80" i="3"/>
  <c r="M34" i="3"/>
  <c r="G34" i="3"/>
  <c r="Q63" i="47"/>
  <c r="R63" i="5"/>
  <c r="S25" i="47"/>
  <c r="S117" i="47"/>
  <c r="S71" i="47"/>
  <c r="Q28" i="47"/>
  <c r="R28" i="5"/>
  <c r="S59" i="47"/>
  <c r="S105" i="47"/>
  <c r="S13" i="47"/>
  <c r="R42" i="5"/>
  <c r="Q42" i="47"/>
  <c r="Q88" i="47"/>
  <c r="R88" i="5"/>
  <c r="W42" i="5"/>
  <c r="X42" i="5"/>
  <c r="V42" i="5"/>
  <c r="U42" i="5"/>
  <c r="L23" i="3"/>
  <c r="F69" i="3"/>
  <c r="N23" i="3"/>
  <c r="G23" i="3"/>
  <c r="F115" i="3"/>
  <c r="J23" i="3"/>
  <c r="F23" i="3"/>
  <c r="K23" i="3"/>
  <c r="M23" i="3"/>
  <c r="P23" i="3"/>
  <c r="G115" i="3"/>
  <c r="I23" i="3"/>
  <c r="E69" i="3"/>
  <c r="O23" i="3"/>
  <c r="G69" i="3"/>
  <c r="E115" i="3"/>
  <c r="E64" i="3"/>
  <c r="E18" i="3"/>
  <c r="Q133" i="47"/>
  <c r="R133" i="5"/>
  <c r="T43" i="5"/>
  <c r="T135" i="5"/>
  <c r="T89" i="5"/>
  <c r="S57" i="47"/>
  <c r="S11" i="47"/>
  <c r="S103" i="47"/>
  <c r="T129" i="5"/>
  <c r="T37" i="5"/>
  <c r="T83" i="5"/>
  <c r="S47" i="47"/>
  <c r="S139" i="47"/>
  <c r="S93" i="47"/>
  <c r="Q138" i="47"/>
  <c r="R138" i="5"/>
  <c r="M45" i="3"/>
  <c r="I45" i="3"/>
  <c r="P45" i="3"/>
  <c r="F137" i="3"/>
  <c r="E45" i="3"/>
  <c r="G137" i="3"/>
  <c r="J45" i="3"/>
  <c r="F45" i="3"/>
  <c r="L45" i="3"/>
  <c r="F91" i="3"/>
  <c r="E91" i="3"/>
  <c r="N45" i="3"/>
  <c r="G45" i="3"/>
  <c r="O45" i="3"/>
  <c r="G91" i="3"/>
  <c r="K45" i="3"/>
  <c r="E137" i="3"/>
  <c r="U24" i="5"/>
  <c r="V24" i="5"/>
  <c r="X24" i="5"/>
  <c r="W24" i="5"/>
  <c r="T128" i="5"/>
  <c r="T36" i="5"/>
  <c r="T82" i="5"/>
  <c r="K9" i="3"/>
  <c r="E101" i="3"/>
  <c r="F101" i="3"/>
  <c r="I9" i="3"/>
  <c r="E9" i="3"/>
  <c r="O9" i="3"/>
  <c r="G55" i="3"/>
  <c r="P9" i="3"/>
  <c r="G101" i="3"/>
  <c r="L9" i="3"/>
  <c r="F55" i="3"/>
  <c r="J9" i="3"/>
  <c r="N9" i="3"/>
  <c r="G9" i="3"/>
  <c r="E55" i="3"/>
  <c r="M9" i="3"/>
  <c r="F9" i="3"/>
  <c r="W20" i="47"/>
  <c r="U20" i="47"/>
  <c r="V20" i="47"/>
  <c r="T20" i="47"/>
  <c r="T16" i="5"/>
  <c r="T108" i="5"/>
  <c r="T62" i="5"/>
  <c r="Q59" i="47"/>
  <c r="R59" i="5"/>
  <c r="F57" i="3"/>
  <c r="O11" i="3"/>
  <c r="G57" i="3"/>
  <c r="K11" i="3"/>
  <c r="N11" i="3"/>
  <c r="I11" i="3"/>
  <c r="E57" i="3"/>
  <c r="E103" i="3"/>
  <c r="G11" i="3"/>
  <c r="M11" i="3"/>
  <c r="F103" i="3"/>
  <c r="J11" i="3"/>
  <c r="F11" i="3"/>
  <c r="P11" i="3"/>
  <c r="G103" i="3"/>
  <c r="L11" i="3"/>
  <c r="L37" i="3"/>
  <c r="N37" i="3"/>
  <c r="P37" i="3"/>
  <c r="F83" i="3"/>
  <c r="G37" i="3"/>
  <c r="O37" i="3"/>
  <c r="G83" i="3"/>
  <c r="I37" i="3"/>
  <c r="E37" i="3"/>
  <c r="M37" i="3"/>
  <c r="F129" i="3"/>
  <c r="E83" i="3"/>
  <c r="G129" i="3"/>
  <c r="J37" i="3"/>
  <c r="F37" i="3"/>
  <c r="K37" i="3"/>
  <c r="E129" i="3"/>
  <c r="V46" i="47"/>
  <c r="T46" i="47"/>
  <c r="W46" i="47"/>
  <c r="U46" i="47"/>
  <c r="E10" i="3"/>
  <c r="E56" i="3"/>
  <c r="R136" i="5"/>
  <c r="Q136" i="47"/>
  <c r="R102" i="5"/>
  <c r="Q102" i="47"/>
  <c r="Q111" i="47"/>
  <c r="R111" i="5"/>
  <c r="E22" i="3"/>
  <c r="E68" i="3"/>
  <c r="R98" i="5"/>
  <c r="Q98" i="47"/>
  <c r="S108" i="47"/>
  <c r="S62" i="47"/>
  <c r="S16" i="47"/>
  <c r="G70" i="3"/>
  <c r="E116" i="3"/>
  <c r="N24" i="3"/>
  <c r="K24" i="3"/>
  <c r="P24" i="3"/>
  <c r="G116" i="3"/>
  <c r="G24" i="3"/>
  <c r="L24" i="3"/>
  <c r="O24" i="3"/>
  <c r="F70" i="3"/>
  <c r="J24" i="3"/>
  <c r="F24" i="3"/>
  <c r="M24" i="3"/>
  <c r="F116" i="3"/>
  <c r="E24" i="3"/>
  <c r="I24" i="3"/>
  <c r="E70" i="3"/>
  <c r="Q5" i="47"/>
  <c r="R5" i="5"/>
  <c r="Q97" i="47"/>
  <c r="R97" i="5"/>
  <c r="S95" i="47"/>
  <c r="S3" i="47"/>
  <c r="S49" i="47"/>
  <c r="E54" i="3"/>
  <c r="W40" i="5"/>
  <c r="U40" i="5"/>
  <c r="V40" i="5"/>
  <c r="X40" i="5"/>
  <c r="S118" i="47"/>
  <c r="S26" i="47"/>
  <c r="S72" i="47"/>
  <c r="S114" i="47"/>
  <c r="S68" i="47"/>
  <c r="S22" i="47"/>
  <c r="O35" i="3"/>
  <c r="G81" i="3"/>
  <c r="I35" i="3"/>
  <c r="P35" i="3"/>
  <c r="N35" i="3"/>
  <c r="K35" i="3"/>
  <c r="E127" i="3"/>
  <c r="M35" i="3"/>
  <c r="G127" i="3"/>
  <c r="G35" i="3"/>
  <c r="J35" i="3"/>
  <c r="E81" i="3"/>
  <c r="F35" i="3"/>
  <c r="F127" i="3"/>
  <c r="E35" i="3"/>
  <c r="L35" i="3"/>
  <c r="F81" i="3"/>
  <c r="T14" i="47"/>
  <c r="U14" i="47"/>
  <c r="W14" i="47"/>
  <c r="V14" i="47"/>
  <c r="V9" i="47"/>
  <c r="T9" i="47"/>
  <c r="W9" i="47"/>
  <c r="U9" i="47"/>
  <c r="S37" i="47"/>
  <c r="S83" i="47"/>
  <c r="S129" i="47"/>
  <c r="O14" i="3"/>
  <c r="I14" i="3"/>
  <c r="M14" i="3"/>
  <c r="F106" i="3"/>
  <c r="G60" i="3"/>
  <c r="L14" i="3"/>
  <c r="E14" i="3"/>
  <c r="N14" i="3"/>
  <c r="P14" i="3"/>
  <c r="J14" i="3"/>
  <c r="G14" i="3"/>
  <c r="G106" i="3"/>
  <c r="F60" i="3"/>
  <c r="F14" i="3"/>
  <c r="E60" i="3"/>
  <c r="K14" i="3"/>
  <c r="E106" i="3"/>
  <c r="U18" i="47"/>
  <c r="V18" i="47"/>
  <c r="W18" i="47"/>
  <c r="T18" i="47"/>
  <c r="I39" i="3"/>
  <c r="F131" i="3"/>
  <c r="E85" i="3"/>
  <c r="N39" i="3"/>
  <c r="L39" i="3"/>
  <c r="E39" i="3"/>
  <c r="P39" i="3"/>
  <c r="G131" i="3"/>
  <c r="G39" i="3"/>
  <c r="F85" i="3"/>
  <c r="K39" i="3"/>
  <c r="E131" i="3"/>
  <c r="J39" i="3"/>
  <c r="F39" i="3"/>
  <c r="O39" i="3"/>
  <c r="G85" i="3"/>
  <c r="M39" i="3"/>
  <c r="R76" i="5"/>
  <c r="Q76" i="47"/>
  <c r="Q17" i="47"/>
  <c r="R17" i="5"/>
  <c r="U27" i="47"/>
  <c r="W27" i="47"/>
  <c r="V27" i="47"/>
  <c r="T27" i="47"/>
  <c r="S107" i="47"/>
  <c r="S15" i="47"/>
  <c r="S61" i="47"/>
  <c r="L4" i="3"/>
  <c r="G50" i="3"/>
  <c r="K4" i="3"/>
  <c r="E96" i="3"/>
  <c r="F50" i="3"/>
  <c r="I4" i="3"/>
  <c r="M4" i="3"/>
  <c r="F96" i="3"/>
  <c r="J4" i="3"/>
  <c r="P4" i="3"/>
  <c r="G96" i="3"/>
  <c r="E50" i="3"/>
  <c r="O4" i="3"/>
  <c r="E4" i="3"/>
  <c r="N4" i="3"/>
  <c r="G4" i="3"/>
  <c r="F4" i="3"/>
  <c r="X31" i="5"/>
  <c r="V31" i="5"/>
  <c r="W31" i="5"/>
  <c r="U31" i="5"/>
  <c r="Q74" i="47"/>
  <c r="R74" i="5"/>
  <c r="T80" i="5"/>
  <c r="T34" i="5"/>
  <c r="T126" i="5"/>
  <c r="E15" i="3"/>
  <c r="R13" i="5"/>
  <c r="Q13" i="47"/>
  <c r="T10" i="5"/>
  <c r="T102" i="5"/>
  <c r="T56" i="5"/>
  <c r="S30" i="47"/>
  <c r="S122" i="47"/>
  <c r="S76" i="47"/>
  <c r="E36" i="3"/>
  <c r="E82" i="3"/>
  <c r="R114" i="5"/>
  <c r="Q114" i="47"/>
  <c r="Q130" i="47"/>
  <c r="R130" i="5"/>
  <c r="P2" i="3"/>
  <c r="G94" i="3"/>
  <c r="O2" i="3"/>
  <c r="L2" i="3"/>
  <c r="E48" i="3"/>
  <c r="M2" i="3"/>
  <c r="N2" i="3"/>
  <c r="F48" i="3"/>
  <c r="J2" i="3"/>
  <c r="F94" i="3"/>
  <c r="G2" i="3"/>
  <c r="G48" i="3"/>
  <c r="F2" i="3"/>
  <c r="I2" i="3"/>
  <c r="E2" i="3"/>
  <c r="K2" i="3"/>
  <c r="E94" i="3"/>
  <c r="T44" i="5"/>
  <c r="T136" i="5"/>
  <c r="T90" i="5"/>
  <c r="Q46" i="47"/>
  <c r="R46" i="5"/>
  <c r="W14" i="5"/>
  <c r="X14" i="5"/>
  <c r="V14" i="5"/>
  <c r="U14" i="5"/>
  <c r="T105" i="5"/>
  <c r="T59" i="5"/>
  <c r="T13" i="5"/>
  <c r="W39" i="5"/>
  <c r="V39" i="5"/>
  <c r="U39" i="5"/>
  <c r="X39" i="5"/>
  <c r="T50" i="5"/>
  <c r="T96" i="5"/>
  <c r="T4" i="5"/>
  <c r="S87" i="47"/>
  <c r="S41" i="47"/>
  <c r="S133" i="47"/>
  <c r="X27" i="5"/>
  <c r="U27" i="5"/>
  <c r="W27" i="5"/>
  <c r="V27" i="5"/>
  <c r="S38" i="47"/>
  <c r="S84" i="47"/>
  <c r="S130" i="47"/>
  <c r="K3" i="3"/>
  <c r="E3" i="3"/>
  <c r="E95" i="3"/>
  <c r="M3" i="3"/>
  <c r="O3" i="3"/>
  <c r="G49" i="3"/>
  <c r="N3" i="3"/>
  <c r="I3" i="3"/>
  <c r="E49" i="3"/>
  <c r="F95" i="3"/>
  <c r="P3" i="3"/>
  <c r="G95" i="3"/>
  <c r="G3" i="3"/>
  <c r="J3" i="3"/>
  <c r="F3" i="3"/>
  <c r="L3" i="3"/>
  <c r="F49" i="3"/>
  <c r="S23" i="47"/>
  <c r="S69" i="47"/>
  <c r="S115" i="47"/>
  <c r="R107" i="5"/>
  <c r="Q107" i="47"/>
  <c r="U32" i="47"/>
  <c r="T32" i="47"/>
  <c r="W32" i="47"/>
  <c r="V32" i="47"/>
  <c r="Q105" i="47"/>
  <c r="R105" i="5"/>
  <c r="V35" i="47"/>
  <c r="T35" i="47"/>
  <c r="U35" i="47"/>
  <c r="W35" i="47"/>
  <c r="W46" i="5"/>
  <c r="U46" i="5"/>
  <c r="X46" i="5"/>
  <c r="V46" i="5"/>
  <c r="E26" i="3"/>
  <c r="E72" i="3"/>
  <c r="E84" i="3"/>
  <c r="E38" i="3"/>
  <c r="R110" i="5"/>
  <c r="Q110" i="47"/>
  <c r="R99" i="5"/>
  <c r="Q99" i="47"/>
  <c r="R100" i="5"/>
  <c r="Q100" i="47"/>
  <c r="T133" i="5"/>
  <c r="T41" i="5"/>
  <c r="T87" i="5"/>
  <c r="U9" i="5"/>
  <c r="V9" i="5"/>
  <c r="X9" i="5"/>
  <c r="W9" i="5"/>
  <c r="T139" i="5"/>
  <c r="T93" i="5"/>
  <c r="X8" i="5"/>
  <c r="W8" i="5"/>
  <c r="V8" i="5"/>
  <c r="U8" i="5"/>
  <c r="X12" i="5"/>
  <c r="W12" i="5"/>
  <c r="V12" i="5"/>
  <c r="U12" i="5"/>
  <c r="T79" i="5"/>
  <c r="T33" i="5"/>
  <c r="T125" i="5"/>
  <c r="S53" i="47"/>
  <c r="S7" i="47"/>
  <c r="S99" i="47"/>
  <c r="AE32" i="1"/>
  <c r="AC32" i="1"/>
  <c r="U42" i="47"/>
  <c r="T42" i="47"/>
  <c r="V42" i="47"/>
  <c r="W42" i="47"/>
  <c r="T17" i="5"/>
  <c r="T63" i="5"/>
  <c r="T109" i="5"/>
  <c r="G73" i="3"/>
  <c r="L27" i="3"/>
  <c r="K27" i="3"/>
  <c r="E119" i="3"/>
  <c r="N27" i="3"/>
  <c r="G27" i="3"/>
  <c r="I27" i="3"/>
  <c r="F73" i="3"/>
  <c r="O27" i="3"/>
  <c r="E73" i="3"/>
  <c r="J27" i="3"/>
  <c r="F27" i="3"/>
  <c r="P27" i="3"/>
  <c r="G119" i="3"/>
  <c r="M27" i="3"/>
  <c r="F119" i="3"/>
  <c r="E27" i="3"/>
  <c r="S109" i="47"/>
  <c r="S17" i="47"/>
  <c r="S63" i="47"/>
  <c r="T28" i="5"/>
  <c r="T120" i="5"/>
  <c r="Q92" i="47"/>
  <c r="R92" i="5"/>
  <c r="S94" i="47"/>
  <c r="S48" i="47"/>
  <c r="S2" i="47"/>
  <c r="T12" i="47"/>
  <c r="V12" i="47"/>
  <c r="W12" i="47"/>
  <c r="U12" i="47"/>
  <c r="T39" i="47"/>
  <c r="V39" i="47"/>
  <c r="U39" i="47"/>
  <c r="W39" i="47"/>
  <c r="T49" i="5"/>
  <c r="T3" i="5"/>
  <c r="T95" i="5"/>
  <c r="J20" i="3"/>
  <c r="F20" i="3"/>
  <c r="E66" i="3"/>
  <c r="M20" i="3"/>
  <c r="F112" i="3"/>
  <c r="I20" i="3"/>
  <c r="K20" i="3"/>
  <c r="E112" i="3"/>
  <c r="E20" i="3"/>
  <c r="O20" i="3"/>
  <c r="G66" i="3"/>
  <c r="L20" i="3"/>
  <c r="F66" i="3"/>
  <c r="N20" i="3"/>
  <c r="G20" i="3"/>
  <c r="P20" i="3"/>
  <c r="G112" i="3"/>
  <c r="W31" i="47"/>
  <c r="V31" i="47"/>
  <c r="T31" i="47"/>
  <c r="U31" i="47"/>
  <c r="T84" i="5"/>
  <c r="T38" i="5"/>
  <c r="T130" i="5"/>
  <c r="S120" i="47"/>
  <c r="S74" i="47"/>
  <c r="S28" i="47"/>
  <c r="W32" i="5"/>
  <c r="X32" i="5"/>
  <c r="U32" i="5"/>
  <c r="V32" i="5"/>
  <c r="S90" i="47"/>
  <c r="S44" i="47"/>
  <c r="S136" i="47"/>
  <c r="S51" i="47"/>
  <c r="S5" i="47"/>
  <c r="S97" i="47"/>
  <c r="L40" i="3"/>
  <c r="I40" i="3"/>
  <c r="E40" i="3"/>
  <c r="K40" i="3"/>
  <c r="O40" i="3"/>
  <c r="F86" i="3"/>
  <c r="E132" i="3"/>
  <c r="M40" i="3"/>
  <c r="E86" i="3"/>
  <c r="N40" i="3"/>
  <c r="G86" i="3"/>
  <c r="G40" i="3"/>
  <c r="J40" i="3"/>
  <c r="F40" i="3"/>
  <c r="F132" i="3"/>
  <c r="P40" i="3"/>
  <c r="G132" i="3"/>
  <c r="E7" i="3"/>
  <c r="E53" i="3"/>
  <c r="M16" i="3"/>
  <c r="K16" i="3"/>
  <c r="E108" i="3"/>
  <c r="O16" i="3"/>
  <c r="G62" i="3"/>
  <c r="L16" i="3"/>
  <c r="F62" i="3"/>
  <c r="N16" i="3"/>
  <c r="F108" i="3"/>
  <c r="P16" i="3"/>
  <c r="G108" i="3"/>
  <c r="J16" i="3"/>
  <c r="F16" i="3"/>
  <c r="G16" i="3"/>
  <c r="I16" i="3"/>
  <c r="E16" i="3"/>
  <c r="T15" i="5"/>
  <c r="T61" i="5"/>
  <c r="T107" i="5"/>
  <c r="E65" i="3"/>
  <c r="E19" i="3"/>
  <c r="E52" i="3"/>
  <c r="E6" i="3"/>
  <c r="E44" i="3"/>
  <c r="E90" i="3"/>
  <c r="R125" i="5"/>
  <c r="Q125" i="47"/>
  <c r="E79" i="3"/>
  <c r="E33" i="3"/>
  <c r="S45" i="47"/>
  <c r="S137" i="47"/>
  <c r="S91" i="47"/>
  <c r="T72" i="5"/>
  <c r="T118" i="5"/>
  <c r="T26" i="5"/>
  <c r="T74" i="5"/>
  <c r="T2" i="5"/>
  <c r="T94" i="5"/>
  <c r="T48" i="5"/>
  <c r="T30" i="5"/>
  <c r="T122" i="5"/>
  <c r="T76" i="5"/>
  <c r="L21" i="3"/>
  <c r="F67" i="3"/>
  <c r="J21" i="3"/>
  <c r="F21" i="3"/>
  <c r="N21" i="3"/>
  <c r="K21" i="3"/>
  <c r="I21" i="3"/>
  <c r="P21" i="3"/>
  <c r="G113" i="3"/>
  <c r="G21" i="3"/>
  <c r="E113" i="3"/>
  <c r="O21" i="3"/>
  <c r="G67" i="3"/>
  <c r="M21" i="3"/>
  <c r="F113" i="3"/>
  <c r="E21" i="3"/>
  <c r="E67" i="3"/>
  <c r="S111" i="47"/>
  <c r="S19" i="47"/>
  <c r="S65" i="47"/>
  <c r="T11" i="5"/>
  <c r="T103" i="5"/>
  <c r="T57" i="5"/>
  <c r="T91" i="5"/>
  <c r="T45" i="5"/>
  <c r="T137" i="5"/>
  <c r="S33" i="47"/>
  <c r="S79" i="47"/>
  <c r="S125" i="47"/>
  <c r="Q51" i="47"/>
  <c r="R51" i="5"/>
  <c r="W40" i="47"/>
  <c r="T40" i="47"/>
  <c r="U40" i="47"/>
  <c r="V40" i="47"/>
  <c r="S80" i="47"/>
  <c r="S34" i="47"/>
  <c r="S126" i="47"/>
  <c r="U21" i="5"/>
  <c r="W21" i="5"/>
  <c r="X21" i="5"/>
  <c r="V21" i="5"/>
  <c r="W29" i="5"/>
  <c r="V29" i="5"/>
  <c r="U29" i="5"/>
  <c r="X29" i="5"/>
  <c r="I43" i="3"/>
  <c r="E43" i="3"/>
  <c r="F89" i="3"/>
  <c r="P43" i="3"/>
  <c r="G135" i="3"/>
  <c r="J43" i="3"/>
  <c r="F43" i="3"/>
  <c r="L43" i="3"/>
  <c r="O43" i="3"/>
  <c r="G89" i="3"/>
  <c r="N43" i="3"/>
  <c r="G43" i="3"/>
  <c r="E89" i="3"/>
  <c r="K43" i="3"/>
  <c r="E135" i="3"/>
  <c r="M43" i="3"/>
  <c r="F135" i="3"/>
  <c r="T22" i="5"/>
  <c r="T114" i="5"/>
  <c r="T68" i="5"/>
  <c r="T117" i="5"/>
  <c r="T25" i="5"/>
  <c r="T71" i="5"/>
  <c r="T8" i="47"/>
  <c r="U8" i="47"/>
  <c r="V8" i="47"/>
  <c r="W8" i="47"/>
  <c r="U18" i="5"/>
  <c r="V18" i="5"/>
  <c r="X18" i="5"/>
  <c r="W18" i="5"/>
  <c r="F123" i="3"/>
  <c r="N31" i="3"/>
  <c r="P31" i="3"/>
  <c r="I31" i="3"/>
  <c r="E31" i="3"/>
  <c r="J31" i="3"/>
  <c r="G31" i="3"/>
  <c r="G123" i="3"/>
  <c r="F31" i="3"/>
  <c r="M31" i="3"/>
  <c r="K31" i="3"/>
  <c r="E123" i="3"/>
  <c r="L31" i="3"/>
  <c r="F77" i="3"/>
  <c r="E77" i="3"/>
  <c r="O31" i="3"/>
  <c r="G77" i="3"/>
  <c r="T18" i="5"/>
  <c r="T55" i="5"/>
  <c r="P4" i="22"/>
  <c r="P69" i="22"/>
  <c r="O69" i="22"/>
  <c r="R31" i="5"/>
  <c r="Q31" i="47"/>
  <c r="R43" i="5"/>
  <c r="Q43" i="47"/>
  <c r="R43" i="47"/>
  <c r="R119" i="5"/>
  <c r="Q119" i="47"/>
  <c r="R127" i="5"/>
  <c r="Q127" i="47"/>
  <c r="Q9" i="47"/>
  <c r="R9" i="47"/>
  <c r="R9" i="5"/>
  <c r="S9" i="5"/>
  <c r="Q75" i="47"/>
  <c r="R75" i="5"/>
  <c r="R16" i="5"/>
  <c r="Q16" i="47"/>
  <c r="R108" i="5"/>
  <c r="Q108" i="47"/>
  <c r="Q40" i="47"/>
  <c r="R40" i="5"/>
  <c r="R49" i="5"/>
  <c r="S49" i="5"/>
  <c r="Q49" i="47"/>
  <c r="R94" i="5"/>
  <c r="Q94" i="47"/>
  <c r="Q106" i="47"/>
  <c r="R106" i="5"/>
  <c r="Q80" i="47"/>
  <c r="R80" i="5"/>
  <c r="Q117" i="47"/>
  <c r="R117" i="5"/>
  <c r="R123" i="5"/>
  <c r="Q123" i="47"/>
  <c r="L188" i="5"/>
  <c r="Q2" i="47"/>
  <c r="R2" i="47"/>
  <c r="K194" i="5"/>
  <c r="C194" i="5"/>
  <c r="K157" i="5"/>
  <c r="C157" i="5"/>
  <c r="L157" i="5"/>
  <c r="L194" i="5"/>
  <c r="K188" i="5"/>
  <c r="C188" i="5"/>
  <c r="L18" i="5"/>
  <c r="L89" i="5"/>
  <c r="K67" i="5"/>
  <c r="C67" i="5"/>
  <c r="K21" i="5"/>
  <c r="C21" i="5"/>
  <c r="K164" i="5"/>
  <c r="C164" i="5"/>
  <c r="K178" i="5"/>
  <c r="C178" i="5"/>
  <c r="L161" i="5"/>
  <c r="K80" i="5"/>
  <c r="C80" i="5"/>
  <c r="L48" i="5"/>
  <c r="K112" i="5"/>
  <c r="C112" i="5"/>
  <c r="L75" i="5"/>
  <c r="L34" i="5"/>
  <c r="K47" i="5"/>
  <c r="C47" i="5"/>
  <c r="S93" i="5"/>
  <c r="L15" i="5"/>
  <c r="L19" i="5"/>
  <c r="L158" i="5"/>
  <c r="K182" i="5"/>
  <c r="C182" i="5"/>
  <c r="L38" i="5"/>
  <c r="L64" i="5"/>
  <c r="L139" i="5"/>
  <c r="L41" i="5"/>
  <c r="K69" i="5"/>
  <c r="C69" i="5"/>
  <c r="L149" i="5"/>
  <c r="K24" i="5"/>
  <c r="C24" i="5"/>
  <c r="L123" i="5"/>
  <c r="L98" i="5"/>
  <c r="L58" i="5"/>
  <c r="L140" i="5"/>
  <c r="K149" i="5"/>
  <c r="C149" i="5"/>
  <c r="L81" i="5"/>
  <c r="L68" i="5"/>
  <c r="K77" i="5"/>
  <c r="C77" i="5"/>
  <c r="K140" i="5"/>
  <c r="C140" i="5"/>
  <c r="K129" i="5"/>
  <c r="C129" i="5"/>
  <c r="R2" i="5"/>
  <c r="L26" i="5"/>
  <c r="L56" i="5"/>
  <c r="L24" i="5"/>
  <c r="L45" i="5"/>
  <c r="K98" i="5"/>
  <c r="C98" i="5"/>
  <c r="L102" i="5"/>
  <c r="L14" i="5"/>
  <c r="D14" i="5"/>
  <c r="L146" i="5"/>
  <c r="K19" i="5"/>
  <c r="C19" i="5"/>
  <c r="K177" i="5"/>
  <c r="C177" i="5"/>
  <c r="L176" i="5"/>
  <c r="K35" i="5"/>
  <c r="C35" i="5"/>
  <c r="K107" i="5"/>
  <c r="C107" i="5"/>
  <c r="K162" i="5"/>
  <c r="C162" i="5"/>
  <c r="L35" i="5"/>
  <c r="K23" i="5"/>
  <c r="C23" i="5"/>
  <c r="K146" i="5"/>
  <c r="C146" i="5"/>
  <c r="L60" i="5"/>
  <c r="K45" i="5"/>
  <c r="C45" i="5"/>
  <c r="K15" i="5"/>
  <c r="C15" i="5"/>
  <c r="L184" i="5"/>
  <c r="K58" i="5"/>
  <c r="C58" i="5"/>
  <c r="K99" i="5"/>
  <c r="C99" i="5"/>
  <c r="K81" i="5"/>
  <c r="C81" i="5"/>
  <c r="K170" i="5"/>
  <c r="C170" i="5"/>
  <c r="L177" i="5"/>
  <c r="L74" i="5"/>
  <c r="D74" i="5"/>
  <c r="K175" i="5"/>
  <c r="C175" i="5"/>
  <c r="K166" i="5"/>
  <c r="C166" i="5"/>
  <c r="K173" i="5"/>
  <c r="C173" i="5"/>
  <c r="K29" i="5"/>
  <c r="C29" i="5"/>
  <c r="L49" i="5"/>
  <c r="K18" i="5"/>
  <c r="C18" i="5"/>
  <c r="L43" i="5"/>
  <c r="K65" i="5"/>
  <c r="C65" i="5"/>
  <c r="K56" i="5"/>
  <c r="C56" i="5"/>
  <c r="K64" i="5"/>
  <c r="C64" i="5"/>
  <c r="K131" i="5"/>
  <c r="C131" i="5"/>
  <c r="L143" i="5"/>
  <c r="L97" i="5"/>
  <c r="K48" i="5"/>
  <c r="C48" i="5"/>
  <c r="K38" i="5"/>
  <c r="C38" i="5"/>
  <c r="K10" i="5"/>
  <c r="C10" i="5"/>
  <c r="L182" i="5"/>
  <c r="K158" i="5"/>
  <c r="C158" i="5"/>
  <c r="K75" i="5"/>
  <c r="C75" i="5"/>
  <c r="L181" i="5"/>
  <c r="K139" i="5"/>
  <c r="C139" i="5"/>
  <c r="K37" i="5"/>
  <c r="C37" i="5"/>
  <c r="K49" i="5"/>
  <c r="C49" i="5"/>
  <c r="K89" i="5"/>
  <c r="C89" i="5"/>
  <c r="L71" i="5"/>
  <c r="L91" i="5"/>
  <c r="K34" i="5"/>
  <c r="C34" i="5"/>
  <c r="K41" i="5"/>
  <c r="C41" i="5"/>
  <c r="L162" i="5"/>
  <c r="K196" i="5"/>
  <c r="C196" i="5"/>
  <c r="L166" i="5"/>
  <c r="K161" i="5"/>
  <c r="C161" i="5"/>
  <c r="K176" i="5"/>
  <c r="C176" i="5"/>
  <c r="L29" i="5"/>
  <c r="L10" i="5"/>
  <c r="L107" i="5"/>
  <c r="L80" i="5"/>
  <c r="K102" i="5"/>
  <c r="C102" i="5"/>
  <c r="K144" i="5"/>
  <c r="C144" i="5"/>
  <c r="K91" i="5"/>
  <c r="C91" i="5"/>
  <c r="K71" i="5"/>
  <c r="C71" i="5"/>
  <c r="K68" i="5"/>
  <c r="C68" i="5"/>
  <c r="L167" i="5"/>
  <c r="K123" i="5"/>
  <c r="C123" i="5"/>
  <c r="K70" i="5"/>
  <c r="C70" i="5"/>
  <c r="K16" i="5"/>
  <c r="C16" i="5"/>
  <c r="L65" i="5"/>
  <c r="L54" i="5"/>
  <c r="L69" i="5"/>
  <c r="R47" i="47"/>
  <c r="R96" i="5"/>
  <c r="Q96" i="47"/>
  <c r="Q57" i="47"/>
  <c r="R57" i="5"/>
  <c r="S57" i="5"/>
  <c r="Q101" i="47"/>
  <c r="R101" i="5"/>
  <c r="R137" i="5"/>
  <c r="Q137" i="47"/>
  <c r="Q69" i="47"/>
  <c r="R69" i="5"/>
  <c r="R12" i="5"/>
  <c r="S12" i="5"/>
  <c r="Q12" i="47"/>
  <c r="Q135" i="47"/>
  <c r="R135" i="5"/>
  <c r="S135" i="5"/>
  <c r="R131" i="5"/>
  <c r="Q131" i="47"/>
  <c r="Q70" i="47"/>
  <c r="R70" i="5"/>
  <c r="Q129" i="47"/>
  <c r="R129" i="5"/>
  <c r="R78" i="5"/>
  <c r="Q78" i="47"/>
  <c r="Q77" i="47"/>
  <c r="R77" i="5"/>
  <c r="T75" i="5"/>
  <c r="T29" i="5"/>
  <c r="R21" i="5"/>
  <c r="Q21" i="47"/>
  <c r="R21" i="47"/>
  <c r="Q113" i="47"/>
  <c r="R113" i="5"/>
  <c r="Q6" i="47"/>
  <c r="R6" i="47"/>
  <c r="R6" i="5"/>
  <c r="S6" i="5"/>
  <c r="Q53" i="47"/>
  <c r="R53" i="5"/>
  <c r="R132" i="5"/>
  <c r="Q132" i="47"/>
  <c r="Q112" i="47"/>
  <c r="R112" i="5"/>
  <c r="R66" i="5"/>
  <c r="Q66" i="47"/>
  <c r="S39" i="47"/>
  <c r="S131" i="47"/>
  <c r="S85" i="47"/>
  <c r="Q73" i="47"/>
  <c r="R73" i="5"/>
  <c r="S42" i="47"/>
  <c r="S88" i="47"/>
  <c r="S134" i="47"/>
  <c r="Q26" i="47"/>
  <c r="R26" i="5"/>
  <c r="Q3" i="47"/>
  <c r="R3" i="47"/>
  <c r="R3" i="5"/>
  <c r="T106" i="5"/>
  <c r="T60" i="5"/>
  <c r="R46" i="47"/>
  <c r="Q48" i="47"/>
  <c r="R48" i="5"/>
  <c r="R15" i="5"/>
  <c r="Q15" i="47"/>
  <c r="R50" i="5"/>
  <c r="S50" i="5"/>
  <c r="Q50" i="47"/>
  <c r="S9" i="47"/>
  <c r="S101" i="47"/>
  <c r="S55" i="47"/>
  <c r="T86" i="5"/>
  <c r="T40" i="5"/>
  <c r="T132" i="5"/>
  <c r="R24" i="5"/>
  <c r="Q24" i="47"/>
  <c r="Q10" i="47"/>
  <c r="R10" i="47"/>
  <c r="R10" i="5"/>
  <c r="S10" i="5"/>
  <c r="R103" i="5"/>
  <c r="Q103" i="47"/>
  <c r="R59" i="47"/>
  <c r="Q91" i="47"/>
  <c r="R91" i="5"/>
  <c r="R64" i="5"/>
  <c r="Q64" i="47"/>
  <c r="E23" i="3"/>
  <c r="Q126" i="47"/>
  <c r="R126" i="5"/>
  <c r="R58" i="5"/>
  <c r="Q58" i="47"/>
  <c r="S67" i="47"/>
  <c r="S113" i="47"/>
  <c r="S21" i="47"/>
  <c r="R87" i="5"/>
  <c r="Q87" i="47"/>
  <c r="R29" i="5"/>
  <c r="Q29" i="47"/>
  <c r="R29" i="47"/>
  <c r="R121" i="5"/>
  <c r="Q121" i="47"/>
  <c r="T127" i="5"/>
  <c r="T81" i="5"/>
  <c r="R71" i="5"/>
  <c r="Q71" i="47"/>
  <c r="Q32" i="47"/>
  <c r="R32" i="5"/>
  <c r="S32" i="5"/>
  <c r="R30" i="47"/>
  <c r="R8" i="47"/>
  <c r="T121" i="5"/>
  <c r="T67" i="5"/>
  <c r="T113" i="5"/>
  <c r="T21" i="5"/>
  <c r="S86" i="47"/>
  <c r="S40" i="47"/>
  <c r="S132" i="47"/>
  <c r="R51" i="47"/>
  <c r="Q79" i="47"/>
  <c r="R79" i="5"/>
  <c r="Q90" i="47"/>
  <c r="R90" i="5"/>
  <c r="Q19" i="47"/>
  <c r="R19" i="5"/>
  <c r="T12" i="5"/>
  <c r="T104" i="5"/>
  <c r="T58" i="5"/>
  <c r="T8" i="5"/>
  <c r="T100" i="5"/>
  <c r="T54" i="5"/>
  <c r="R84" i="5"/>
  <c r="Q84" i="47"/>
  <c r="S35" i="47"/>
  <c r="S127" i="47"/>
  <c r="S81" i="47"/>
  <c r="T27" i="5"/>
  <c r="T119" i="5"/>
  <c r="T73" i="5"/>
  <c r="T85" i="5"/>
  <c r="T131" i="5"/>
  <c r="T39" i="5"/>
  <c r="Q82" i="47"/>
  <c r="R82" i="5"/>
  <c r="R13" i="47"/>
  <c r="S119" i="47"/>
  <c r="S73" i="47"/>
  <c r="S27" i="47"/>
  <c r="R14" i="5"/>
  <c r="S14" i="5"/>
  <c r="Q14" i="47"/>
  <c r="R14" i="47"/>
  <c r="S106" i="47"/>
  <c r="S60" i="47"/>
  <c r="S14" i="47"/>
  <c r="R5" i="47"/>
  <c r="Q68" i="47"/>
  <c r="R68" i="5"/>
  <c r="E11" i="3"/>
  <c r="S20" i="47"/>
  <c r="S112" i="47"/>
  <c r="S66" i="47"/>
  <c r="T24" i="5"/>
  <c r="T70" i="5"/>
  <c r="T116" i="5"/>
  <c r="E34" i="3"/>
  <c r="S116" i="47"/>
  <c r="S70" i="47"/>
  <c r="S24" i="47"/>
  <c r="R104" i="5"/>
  <c r="Q104" i="47"/>
  <c r="T20" i="5"/>
  <c r="T112" i="5"/>
  <c r="R124" i="5"/>
  <c r="Q124" i="47"/>
  <c r="R61" i="47"/>
  <c r="T64" i="5"/>
  <c r="T110" i="5"/>
  <c r="S100" i="47"/>
  <c r="S8" i="47"/>
  <c r="S54" i="47"/>
  <c r="Q89" i="47"/>
  <c r="R89" i="5"/>
  <c r="S51" i="5"/>
  <c r="H2" i="3"/>
  <c r="M188" i="5"/>
  <c r="Q33" i="47"/>
  <c r="R33" i="47"/>
  <c r="R33" i="5"/>
  <c r="S33" i="5"/>
  <c r="R52" i="5"/>
  <c r="S52" i="5"/>
  <c r="Q52" i="47"/>
  <c r="R52" i="47"/>
  <c r="E62" i="3"/>
  <c r="K7" i="5"/>
  <c r="C7" i="5"/>
  <c r="Q7" i="47"/>
  <c r="R7" i="47"/>
  <c r="R7" i="5"/>
  <c r="S7" i="5"/>
  <c r="Q86" i="47"/>
  <c r="R86" i="5"/>
  <c r="T32" i="5"/>
  <c r="T78" i="5"/>
  <c r="T124" i="5"/>
  <c r="Q27" i="47"/>
  <c r="R27" i="47"/>
  <c r="R27" i="5"/>
  <c r="S27" i="5"/>
  <c r="T9" i="5"/>
  <c r="T101" i="5"/>
  <c r="Q38" i="47"/>
  <c r="R38" i="47"/>
  <c r="R38" i="5"/>
  <c r="S38" i="5"/>
  <c r="T138" i="5"/>
  <c r="T46" i="5"/>
  <c r="T92" i="5"/>
  <c r="Q95" i="47"/>
  <c r="R95" i="5"/>
  <c r="T14" i="5"/>
  <c r="T31" i="5"/>
  <c r="T77" i="5"/>
  <c r="T123" i="5"/>
  <c r="Q4" i="47"/>
  <c r="R4" i="47"/>
  <c r="R4" i="5"/>
  <c r="S4" i="5"/>
  <c r="R60" i="5"/>
  <c r="S60" i="5"/>
  <c r="Q60" i="47"/>
  <c r="R60" i="47"/>
  <c r="R35" i="5"/>
  <c r="S35" i="5"/>
  <c r="Q35" i="47"/>
  <c r="R35" i="47"/>
  <c r="R81" i="5"/>
  <c r="Q81" i="47"/>
  <c r="S5" i="5"/>
  <c r="R116" i="5"/>
  <c r="Q116" i="47"/>
  <c r="S92" i="47"/>
  <c r="S138" i="47"/>
  <c r="S46" i="47"/>
  <c r="Q83" i="47"/>
  <c r="R83" i="5"/>
  <c r="S83" i="5"/>
  <c r="R37" i="5"/>
  <c r="S37" i="5"/>
  <c r="Q37" i="47"/>
  <c r="R37" i="47"/>
  <c r="R115" i="5"/>
  <c r="Q115" i="47"/>
  <c r="S75" i="47"/>
  <c r="S29" i="47"/>
  <c r="S121" i="47"/>
  <c r="Q41" i="47"/>
  <c r="R41" i="47"/>
  <c r="R41" i="5"/>
  <c r="S41" i="5"/>
  <c r="S30" i="5"/>
  <c r="R67" i="5"/>
  <c r="S67" i="5"/>
  <c r="Q67" i="47"/>
  <c r="R44" i="5"/>
  <c r="S44" i="5"/>
  <c r="Q44" i="47"/>
  <c r="R44" i="47"/>
  <c r="Q65" i="47"/>
  <c r="R65" i="5"/>
  <c r="S123" i="47"/>
  <c r="S77" i="47"/>
  <c r="S31" i="47"/>
  <c r="R20" i="5"/>
  <c r="S20" i="5"/>
  <c r="Q20" i="47"/>
  <c r="R20" i="47"/>
  <c r="S58" i="47"/>
  <c r="S104" i="47"/>
  <c r="S12" i="47"/>
  <c r="R72" i="5"/>
  <c r="S72" i="5"/>
  <c r="Q72" i="47"/>
  <c r="S124" i="47"/>
  <c r="S32" i="47"/>
  <c r="S78" i="47"/>
  <c r="S46" i="5"/>
  <c r="Q36" i="47"/>
  <c r="R36" i="47"/>
  <c r="R36" i="5"/>
  <c r="S36" i="5"/>
  <c r="S13" i="5"/>
  <c r="S17" i="5"/>
  <c r="Q39" i="47"/>
  <c r="R39" i="47"/>
  <c r="R39" i="5"/>
  <c r="S39" i="5"/>
  <c r="Q85" i="47"/>
  <c r="R85" i="5"/>
  <c r="S64" i="47"/>
  <c r="S110" i="47"/>
  <c r="S18" i="47"/>
  <c r="R54" i="5"/>
  <c r="S54" i="5"/>
  <c r="Q54" i="47"/>
  <c r="R54" i="47"/>
  <c r="R22" i="5"/>
  <c r="S22" i="5"/>
  <c r="Q22" i="47"/>
  <c r="R22" i="47"/>
  <c r="R56" i="5"/>
  <c r="S56" i="5"/>
  <c r="Q56" i="47"/>
  <c r="R56" i="47"/>
  <c r="S59" i="5"/>
  <c r="R55" i="5"/>
  <c r="S55" i="5"/>
  <c r="Q55" i="47"/>
  <c r="R55" i="47"/>
  <c r="R45" i="5"/>
  <c r="S45" i="5"/>
  <c r="Q45" i="47"/>
  <c r="R45" i="47"/>
  <c r="Q18" i="47"/>
  <c r="R18" i="47"/>
  <c r="R18" i="5"/>
  <c r="S18" i="5"/>
  <c r="T134" i="5"/>
  <c r="T42" i="5"/>
  <c r="T88" i="5"/>
  <c r="S42" i="5"/>
  <c r="S28" i="5"/>
  <c r="T35" i="5"/>
  <c r="Q25" i="47"/>
  <c r="R25" i="47"/>
  <c r="R25" i="5"/>
  <c r="S25" i="5"/>
  <c r="T66" i="5"/>
  <c r="S8" i="5"/>
  <c r="S61" i="5"/>
  <c r="M157" i="5"/>
  <c r="D7" i="1"/>
  <c r="C7" i="24"/>
  <c r="D58" i="5"/>
  <c r="L111" i="47"/>
  <c r="K130" i="5"/>
  <c r="C130" i="5"/>
  <c r="L31" i="5"/>
  <c r="L152" i="47"/>
  <c r="S108" i="5"/>
  <c r="S105" i="5"/>
  <c r="H38" i="3"/>
  <c r="R102" i="47"/>
  <c r="R100" i="47"/>
  <c r="R98" i="47"/>
  <c r="L163" i="47"/>
  <c r="M163" i="47"/>
  <c r="D69" i="5"/>
  <c r="L62" i="5"/>
  <c r="L118" i="5"/>
  <c r="L164" i="47"/>
  <c r="L7" i="47"/>
  <c r="K194" i="47"/>
  <c r="K131" i="47"/>
  <c r="D176" i="1"/>
  <c r="C176" i="24"/>
  <c r="L142" i="47"/>
  <c r="M142" i="47"/>
  <c r="K124" i="47"/>
  <c r="K98" i="47"/>
  <c r="L119" i="5"/>
  <c r="L10" i="47"/>
  <c r="M10" i="47"/>
  <c r="K20" i="47"/>
  <c r="L88" i="47"/>
  <c r="D181" i="5"/>
  <c r="L189" i="47"/>
  <c r="D143" i="5"/>
  <c r="L56" i="47"/>
  <c r="K114" i="5"/>
  <c r="C114" i="5"/>
  <c r="D173" i="1"/>
  <c r="C173" i="24"/>
  <c r="K147" i="5"/>
  <c r="C147" i="5"/>
  <c r="L25" i="47"/>
  <c r="C170" i="24"/>
  <c r="D170" i="1"/>
  <c r="C15" i="24"/>
  <c r="D15" i="1"/>
  <c r="C45" i="24"/>
  <c r="D45" i="1"/>
  <c r="D60" i="5"/>
  <c r="K66" i="47"/>
  <c r="L110" i="5"/>
  <c r="L76" i="5"/>
  <c r="K38" i="47"/>
  <c r="L175" i="47"/>
  <c r="L120" i="5"/>
  <c r="K54" i="47"/>
  <c r="D26" i="5"/>
  <c r="L12" i="5"/>
  <c r="K172" i="5"/>
  <c r="C172" i="5"/>
  <c r="L69" i="47"/>
  <c r="L124" i="47"/>
  <c r="M124" i="47"/>
  <c r="L146" i="47"/>
  <c r="D38" i="5"/>
  <c r="D182" i="1"/>
  <c r="C182" i="24"/>
  <c r="D15" i="5"/>
  <c r="L28" i="47"/>
  <c r="L171" i="47"/>
  <c r="D178" i="1"/>
  <c r="C178" i="24"/>
  <c r="C164" i="24"/>
  <c r="D164" i="1"/>
  <c r="D21" i="1"/>
  <c r="C21" i="24"/>
  <c r="S80" i="5"/>
  <c r="R94" i="47"/>
  <c r="R62" i="5"/>
  <c r="S62" i="5"/>
  <c r="Q62" i="47"/>
  <c r="R62" i="47"/>
  <c r="S99" i="5"/>
  <c r="S107" i="5"/>
  <c r="S136" i="5"/>
  <c r="R133" i="47"/>
  <c r="R99" i="47"/>
  <c r="R107" i="47"/>
  <c r="S98" i="5"/>
  <c r="R63" i="47"/>
  <c r="S122" i="5"/>
  <c r="S74" i="5"/>
  <c r="R111" i="47"/>
  <c r="S133" i="5"/>
  <c r="S109" i="5"/>
  <c r="S100" i="5"/>
  <c r="R134" i="47"/>
  <c r="S125" i="5"/>
  <c r="S130" i="5"/>
  <c r="R136" i="47"/>
  <c r="R92" i="47"/>
  <c r="R110" i="47"/>
  <c r="S97" i="5"/>
  <c r="S102" i="5"/>
  <c r="R120" i="47"/>
  <c r="R104" i="47"/>
  <c r="S90" i="5"/>
  <c r="R109" i="47"/>
  <c r="R78" i="47"/>
  <c r="S70" i="5"/>
  <c r="R128" i="47"/>
  <c r="S88" i="5"/>
  <c r="S138" i="5"/>
  <c r="R116" i="47"/>
  <c r="S114" i="5"/>
  <c r="R86" i="47"/>
  <c r="G188" i="1"/>
  <c r="E188" i="5"/>
  <c r="E188" i="24"/>
  <c r="H24" i="3"/>
  <c r="M67" i="5"/>
  <c r="K32" i="5"/>
  <c r="C32" i="5"/>
  <c r="H39" i="3"/>
  <c r="S92" i="5"/>
  <c r="R88" i="47"/>
  <c r="S3" i="5"/>
  <c r="H94" i="3"/>
  <c r="M85" i="5"/>
  <c r="H6" i="3"/>
  <c r="H13" i="3"/>
  <c r="H90" i="3"/>
  <c r="H104" i="3"/>
  <c r="H57" i="3"/>
  <c r="M77" i="5"/>
  <c r="H59" i="3"/>
  <c r="H126" i="3"/>
  <c r="H55" i="3"/>
  <c r="H37" i="3"/>
  <c r="M54" i="5"/>
  <c r="H79" i="3"/>
  <c r="M30" i="5"/>
  <c r="H33" i="3"/>
  <c r="H52" i="3"/>
  <c r="H3" i="3"/>
  <c r="H27" i="3"/>
  <c r="H35" i="3"/>
  <c r="H44" i="3"/>
  <c r="M137" i="5"/>
  <c r="H72" i="3"/>
  <c r="M114" i="5"/>
  <c r="H56" i="3"/>
  <c r="H22" i="3"/>
  <c r="H128" i="3"/>
  <c r="H17" i="3"/>
  <c r="M88" i="5"/>
  <c r="H15" i="3"/>
  <c r="M86" i="5"/>
  <c r="H129" i="3"/>
  <c r="M195" i="5"/>
  <c r="H32" i="3"/>
  <c r="M187" i="5"/>
  <c r="H30" i="3"/>
  <c r="M111" i="5"/>
  <c r="H36" i="3"/>
  <c r="M131" i="5"/>
  <c r="H61" i="3"/>
  <c r="M78" i="5"/>
  <c r="H7" i="3"/>
  <c r="H28" i="3"/>
  <c r="H60" i="3"/>
  <c r="H82" i="3"/>
  <c r="M172" i="5"/>
  <c r="H48" i="3"/>
  <c r="M116" i="5"/>
  <c r="H20" i="3"/>
  <c r="M167" i="5"/>
  <c r="H65" i="3"/>
  <c r="M79" i="5"/>
  <c r="S110" i="5"/>
  <c r="K92" i="47"/>
  <c r="K70" i="47"/>
  <c r="D70" i="1"/>
  <c r="C70" i="24"/>
  <c r="L176" i="47"/>
  <c r="D91" i="1"/>
  <c r="C91" i="24"/>
  <c r="K111" i="47"/>
  <c r="L132" i="47"/>
  <c r="K84" i="47"/>
  <c r="C37" i="24"/>
  <c r="D37" i="1"/>
  <c r="K3" i="5"/>
  <c r="K79" i="5"/>
  <c r="C79" i="5"/>
  <c r="L135" i="47"/>
  <c r="K187" i="47"/>
  <c r="D97" i="5"/>
  <c r="L45" i="47"/>
  <c r="L8" i="5"/>
  <c r="C166" i="24"/>
  <c r="D166" i="1"/>
  <c r="D175" i="1"/>
  <c r="C175" i="24"/>
  <c r="L94" i="5"/>
  <c r="D184" i="5"/>
  <c r="L52" i="5"/>
  <c r="D52" i="5"/>
  <c r="L84" i="47"/>
  <c r="C23" i="24"/>
  <c r="D23" i="1"/>
  <c r="L87" i="47"/>
  <c r="K159" i="5"/>
  <c r="C159" i="5"/>
  <c r="K42" i="5"/>
  <c r="C42" i="5"/>
  <c r="D45" i="5"/>
  <c r="K76" i="47"/>
  <c r="D129" i="1"/>
  <c r="C129" i="24"/>
  <c r="D77" i="1"/>
  <c r="C77" i="24"/>
  <c r="K136" i="5"/>
  <c r="C136" i="5"/>
  <c r="L156" i="47"/>
  <c r="L191" i="47"/>
  <c r="L169" i="5"/>
  <c r="L26" i="47"/>
  <c r="K53" i="47"/>
  <c r="L46" i="47"/>
  <c r="L161" i="47"/>
  <c r="S134" i="5"/>
  <c r="H25" i="3"/>
  <c r="R118" i="47"/>
  <c r="H26" i="3"/>
  <c r="M178" i="5"/>
  <c r="R85" i="47"/>
  <c r="R65" i="47"/>
  <c r="R115" i="47"/>
  <c r="R76" i="47"/>
  <c r="H4" i="3"/>
  <c r="R124" i="47"/>
  <c r="S118" i="5"/>
  <c r="S82" i="5"/>
  <c r="R105" i="47"/>
  <c r="H84" i="3"/>
  <c r="R79" i="47"/>
  <c r="S126" i="5"/>
  <c r="H10" i="3"/>
  <c r="H102" i="3"/>
  <c r="M27" i="5"/>
  <c r="R112" i="47"/>
  <c r="H76" i="3"/>
  <c r="S137" i="5"/>
  <c r="D54" i="5"/>
  <c r="D16" i="1"/>
  <c r="C16" i="24"/>
  <c r="K2" i="5"/>
  <c r="D167" i="5"/>
  <c r="K24" i="47"/>
  <c r="L32" i="5"/>
  <c r="D144" i="1"/>
  <c r="C144" i="24"/>
  <c r="M2" i="5"/>
  <c r="G2" i="1"/>
  <c r="D41" i="1"/>
  <c r="C41" i="24"/>
  <c r="D91" i="5"/>
  <c r="C49" i="24"/>
  <c r="D49" i="1"/>
  <c r="L27" i="47"/>
  <c r="L167" i="47"/>
  <c r="D75" i="1"/>
  <c r="C75" i="24"/>
  <c r="K121" i="5"/>
  <c r="K48" i="47"/>
  <c r="C38" i="24"/>
  <c r="D38" i="1"/>
  <c r="D131" i="1"/>
  <c r="C131" i="24"/>
  <c r="K102" i="47"/>
  <c r="D43" i="5"/>
  <c r="L122" i="5"/>
  <c r="K78" i="47"/>
  <c r="K191" i="47"/>
  <c r="L141" i="5"/>
  <c r="K119" i="5"/>
  <c r="K52" i="5"/>
  <c r="C52" i="5"/>
  <c r="K9" i="5"/>
  <c r="C9" i="5"/>
  <c r="L67" i="47"/>
  <c r="D107" i="1"/>
  <c r="C107" i="24"/>
  <c r="K105" i="47"/>
  <c r="K41" i="47"/>
  <c r="D14" i="24"/>
  <c r="E14" i="1"/>
  <c r="X14" i="1"/>
  <c r="Y6" i="1"/>
  <c r="AB6" i="1"/>
  <c r="K101" i="47"/>
  <c r="K45" i="47"/>
  <c r="M45" i="47"/>
  <c r="L20" i="47"/>
  <c r="D68" i="5"/>
  <c r="K164" i="47"/>
  <c r="M164" i="47"/>
  <c r="K190" i="5"/>
  <c r="C190" i="5"/>
  <c r="D98" i="5"/>
  <c r="K30" i="5"/>
  <c r="C30" i="5"/>
  <c r="C69" i="24"/>
  <c r="D69" i="1"/>
  <c r="L72" i="47"/>
  <c r="K103" i="5"/>
  <c r="C103" i="5"/>
  <c r="L141" i="47"/>
  <c r="L153" i="5"/>
  <c r="L127" i="47"/>
  <c r="D47" i="1"/>
  <c r="C47" i="24"/>
  <c r="D75" i="5"/>
  <c r="D112" i="1"/>
  <c r="C112" i="24"/>
  <c r="L94" i="47"/>
  <c r="L4" i="5"/>
  <c r="C67" i="24"/>
  <c r="D67" i="1"/>
  <c r="C188" i="24"/>
  <c r="D188" i="1"/>
  <c r="C194" i="24"/>
  <c r="D194" i="1"/>
  <c r="S123" i="5"/>
  <c r="E157" i="5"/>
  <c r="E157" i="24"/>
  <c r="G157" i="1"/>
  <c r="K160" i="47"/>
  <c r="L42" i="47"/>
  <c r="C123" i="24"/>
  <c r="D123" i="1"/>
  <c r="C68" i="24"/>
  <c r="D68" i="1"/>
  <c r="K65" i="47"/>
  <c r="L92" i="47"/>
  <c r="K180" i="47"/>
  <c r="K130" i="47"/>
  <c r="D196" i="1"/>
  <c r="C196" i="24"/>
  <c r="K192" i="47"/>
  <c r="L171" i="5"/>
  <c r="K82" i="5"/>
  <c r="C82" i="5"/>
  <c r="D139" i="1"/>
  <c r="C139" i="24"/>
  <c r="K188" i="47"/>
  <c r="L160" i="47"/>
  <c r="K40" i="5"/>
  <c r="C40" i="5"/>
  <c r="K55" i="47"/>
  <c r="L151" i="5"/>
  <c r="C64" i="24"/>
  <c r="D64" i="1"/>
  <c r="L152" i="5"/>
  <c r="L190" i="47"/>
  <c r="L196" i="47"/>
  <c r="D74" i="24"/>
  <c r="E74" i="1"/>
  <c r="D99" i="1"/>
  <c r="C99" i="24"/>
  <c r="K134" i="47"/>
  <c r="L163" i="5"/>
  <c r="D163" i="5"/>
  <c r="L55" i="47"/>
  <c r="K8" i="47"/>
  <c r="L147" i="47"/>
  <c r="L84" i="5"/>
  <c r="K196" i="47"/>
  <c r="D102" i="5"/>
  <c r="L124" i="5"/>
  <c r="K120" i="47"/>
  <c r="L125" i="5"/>
  <c r="L172" i="5"/>
  <c r="K143" i="47"/>
  <c r="D123" i="5"/>
  <c r="K7" i="47"/>
  <c r="D41" i="5"/>
  <c r="L115" i="5"/>
  <c r="K59" i="47"/>
  <c r="K139" i="47"/>
  <c r="L189" i="5"/>
  <c r="D34" i="5"/>
  <c r="L151" i="47"/>
  <c r="L30" i="5"/>
  <c r="K106" i="47"/>
  <c r="K72" i="47"/>
  <c r="L121" i="5"/>
  <c r="S75" i="5"/>
  <c r="S115" i="5"/>
  <c r="R83" i="47"/>
  <c r="S116" i="5"/>
  <c r="S81" i="5"/>
  <c r="H31" i="3"/>
  <c r="S95" i="5"/>
  <c r="S89" i="5"/>
  <c r="S124" i="5"/>
  <c r="S104" i="5"/>
  <c r="R34" i="5"/>
  <c r="S34" i="5"/>
  <c r="Q34" i="47"/>
  <c r="R34" i="47"/>
  <c r="R138" i="47"/>
  <c r="S68" i="5"/>
  <c r="S76" i="5"/>
  <c r="R74" i="47"/>
  <c r="R82" i="47"/>
  <c r="H131" i="3"/>
  <c r="R84" i="47"/>
  <c r="H54" i="3"/>
  <c r="S19" i="5"/>
  <c r="R90" i="47"/>
  <c r="R71" i="47"/>
  <c r="S29" i="5"/>
  <c r="R126" i="47"/>
  <c r="Q23" i="47"/>
  <c r="R23" i="47"/>
  <c r="R23" i="5"/>
  <c r="S23" i="5"/>
  <c r="R24" i="47"/>
  <c r="H40" i="3"/>
  <c r="R114" i="47"/>
  <c r="R66" i="47"/>
  <c r="S53" i="5"/>
  <c r="S21" i="5"/>
  <c r="S77" i="5"/>
  <c r="S78" i="5"/>
  <c r="R70" i="47"/>
  <c r="R135" i="47"/>
  <c r="S69" i="5"/>
  <c r="R57" i="47"/>
  <c r="M194" i="5"/>
  <c r="M47" i="5"/>
  <c r="M186" i="5"/>
  <c r="L53" i="5"/>
  <c r="K113" i="47"/>
  <c r="L50" i="47"/>
  <c r="M50" i="47"/>
  <c r="L72" i="5"/>
  <c r="L178" i="5"/>
  <c r="L51" i="47"/>
  <c r="K37" i="47"/>
  <c r="K108" i="5"/>
  <c r="C108" i="5"/>
  <c r="K93" i="5"/>
  <c r="L46" i="5"/>
  <c r="K153" i="5"/>
  <c r="C153" i="5"/>
  <c r="L8" i="47"/>
  <c r="L137" i="5"/>
  <c r="K85" i="5"/>
  <c r="C85" i="5"/>
  <c r="K47" i="47"/>
  <c r="K173" i="47"/>
  <c r="L14" i="47"/>
  <c r="C71" i="24"/>
  <c r="D71" i="1"/>
  <c r="K91" i="47"/>
  <c r="K120" i="5"/>
  <c r="K107" i="47"/>
  <c r="K133" i="5"/>
  <c r="C133" i="5"/>
  <c r="K135" i="5"/>
  <c r="C135" i="5"/>
  <c r="M25" i="5"/>
  <c r="L112" i="5"/>
  <c r="K67" i="47"/>
  <c r="K100" i="5"/>
  <c r="C100" i="5"/>
  <c r="L96" i="5"/>
  <c r="L53" i="47"/>
  <c r="D10" i="5"/>
  <c r="K166" i="47"/>
  <c r="L88" i="5"/>
  <c r="K14" i="47"/>
  <c r="D166" i="5"/>
  <c r="L85" i="5"/>
  <c r="L172" i="47"/>
  <c r="K169" i="47"/>
  <c r="K160" i="5"/>
  <c r="C160" i="5"/>
  <c r="K20" i="5"/>
  <c r="C20" i="5"/>
  <c r="L139" i="47"/>
  <c r="L192" i="5"/>
  <c r="K115" i="5"/>
  <c r="C115" i="5"/>
  <c r="K79" i="47"/>
  <c r="D71" i="5"/>
  <c r="K142" i="5"/>
  <c r="C142" i="5"/>
  <c r="L179" i="5"/>
  <c r="K177" i="47"/>
  <c r="L170" i="5"/>
  <c r="L128" i="47"/>
  <c r="M128" i="47"/>
  <c r="K75" i="47"/>
  <c r="L148" i="47"/>
  <c r="K74" i="47"/>
  <c r="K62" i="5"/>
  <c r="C62" i="5"/>
  <c r="L193" i="5"/>
  <c r="L41" i="47"/>
  <c r="K80" i="47"/>
  <c r="L166" i="47"/>
  <c r="K161" i="47"/>
  <c r="L67" i="5"/>
  <c r="K150" i="5"/>
  <c r="C150" i="5"/>
  <c r="L78" i="5"/>
  <c r="L13" i="47"/>
  <c r="D182" i="5"/>
  <c r="K17" i="47"/>
  <c r="K84" i="5"/>
  <c r="C84" i="5"/>
  <c r="K141" i="5"/>
  <c r="C141" i="5"/>
  <c r="D48" i="1"/>
  <c r="C48" i="24"/>
  <c r="K126" i="47"/>
  <c r="K61" i="5"/>
  <c r="C61" i="5"/>
  <c r="K64" i="47"/>
  <c r="K144" i="47"/>
  <c r="L29" i="47"/>
  <c r="L153" i="47"/>
  <c r="M153" i="47"/>
  <c r="L113" i="47"/>
  <c r="D56" i="1"/>
  <c r="C56" i="24"/>
  <c r="K68" i="47"/>
  <c r="L31" i="47"/>
  <c r="K191" i="5"/>
  <c r="C191" i="5"/>
  <c r="C18" i="24"/>
  <c r="D18" i="1"/>
  <c r="L142" i="5"/>
  <c r="L185" i="47"/>
  <c r="K122" i="47"/>
  <c r="L180" i="47"/>
  <c r="L44" i="5"/>
  <c r="K118" i="5"/>
  <c r="C118" i="5"/>
  <c r="K25" i="47"/>
  <c r="L4" i="47"/>
  <c r="L154" i="5"/>
  <c r="L40" i="47"/>
  <c r="L64" i="47"/>
  <c r="M3" i="5"/>
  <c r="G3" i="1"/>
  <c r="H3" i="1"/>
  <c r="K2" i="1"/>
  <c r="K56" i="47"/>
  <c r="D58" i="1"/>
  <c r="C58" i="24"/>
  <c r="L42" i="5"/>
  <c r="L144" i="5"/>
  <c r="K59" i="5"/>
  <c r="C59" i="5"/>
  <c r="L135" i="5"/>
  <c r="L117" i="5"/>
  <c r="K57" i="47"/>
  <c r="L95" i="47"/>
  <c r="K189" i="47"/>
  <c r="K193" i="47"/>
  <c r="L30" i="47"/>
  <c r="L149" i="47"/>
  <c r="M149" i="47"/>
  <c r="K163" i="5"/>
  <c r="C163" i="5"/>
  <c r="L17" i="47"/>
  <c r="L185" i="5"/>
  <c r="L105" i="5"/>
  <c r="C162" i="24"/>
  <c r="D162" i="1"/>
  <c r="L15" i="47"/>
  <c r="K21" i="47"/>
  <c r="K154" i="5"/>
  <c r="C154" i="5"/>
  <c r="L116" i="5"/>
  <c r="D176" i="5"/>
  <c r="K60" i="47"/>
  <c r="K29" i="47"/>
  <c r="M29" i="47"/>
  <c r="L132" i="5"/>
  <c r="K6" i="5"/>
  <c r="C6" i="5"/>
  <c r="K76" i="5"/>
  <c r="C76" i="5"/>
  <c r="L129" i="5"/>
  <c r="L59" i="5"/>
  <c r="L187" i="5"/>
  <c r="L150" i="5"/>
  <c r="D150" i="5"/>
  <c r="D98" i="1"/>
  <c r="C98" i="24"/>
  <c r="K95" i="47"/>
  <c r="L61" i="5"/>
  <c r="L162" i="47"/>
  <c r="L20" i="5"/>
  <c r="L50" i="5"/>
  <c r="L52" i="47"/>
  <c r="K175" i="47"/>
  <c r="L108" i="47"/>
  <c r="K12" i="47"/>
  <c r="L165" i="5"/>
  <c r="L168" i="47"/>
  <c r="K63" i="5"/>
  <c r="C63" i="5"/>
  <c r="L156" i="5"/>
  <c r="K46" i="5"/>
  <c r="C46" i="5"/>
  <c r="L35" i="47"/>
  <c r="K115" i="47"/>
  <c r="L11" i="47"/>
  <c r="K121" i="47"/>
  <c r="K127" i="5"/>
  <c r="C127" i="5"/>
  <c r="L36" i="47"/>
  <c r="L34" i="47"/>
  <c r="K11" i="5"/>
  <c r="C11" i="5"/>
  <c r="K133" i="47"/>
  <c r="L70" i="47"/>
  <c r="K46" i="47"/>
  <c r="L148" i="5"/>
  <c r="K123" i="47"/>
  <c r="K174" i="5"/>
  <c r="C174" i="5"/>
  <c r="K122" i="5"/>
  <c r="C122" i="5"/>
  <c r="L154" i="47"/>
  <c r="K195" i="5"/>
  <c r="C195" i="5"/>
  <c r="L126" i="47"/>
  <c r="L61" i="47"/>
  <c r="K151" i="47"/>
  <c r="D64" i="5"/>
  <c r="L123" i="47"/>
  <c r="K150" i="47"/>
  <c r="K4" i="47"/>
  <c r="L37" i="47"/>
  <c r="K27" i="47"/>
  <c r="R139" i="47"/>
  <c r="K170" i="47"/>
  <c r="D158" i="5"/>
  <c r="L183" i="47"/>
  <c r="M119" i="5"/>
  <c r="G119" i="1"/>
  <c r="K88" i="47"/>
  <c r="L125" i="47"/>
  <c r="L112" i="47"/>
  <c r="K13" i="47"/>
  <c r="M13" i="47"/>
  <c r="L97" i="47"/>
  <c r="K83" i="5"/>
  <c r="C83" i="5"/>
  <c r="K3" i="47"/>
  <c r="K71" i="47"/>
  <c r="L106" i="5"/>
  <c r="D106" i="5"/>
  <c r="L16" i="5"/>
  <c r="K93" i="47"/>
  <c r="L129" i="47"/>
  <c r="M129" i="47"/>
  <c r="K23" i="47"/>
  <c r="L113" i="5"/>
  <c r="L74" i="47"/>
  <c r="D48" i="5"/>
  <c r="C80" i="24"/>
  <c r="D80" i="1"/>
  <c r="K143" i="5"/>
  <c r="C143" i="5"/>
  <c r="L183" i="5"/>
  <c r="K77" i="47"/>
  <c r="K172" i="47"/>
  <c r="L5" i="47"/>
  <c r="L133" i="47"/>
  <c r="K167" i="5"/>
  <c r="C167" i="5"/>
  <c r="L130" i="5"/>
  <c r="D130" i="5"/>
  <c r="K8" i="5"/>
  <c r="C8" i="5"/>
  <c r="K129" i="47"/>
  <c r="D89" i="5"/>
  <c r="D194" i="5"/>
  <c r="S117" i="5"/>
  <c r="R80" i="47"/>
  <c r="S94" i="5"/>
  <c r="S40" i="5"/>
  <c r="H16" i="3"/>
  <c r="M150" i="5"/>
  <c r="R75" i="47"/>
  <c r="R127" i="47"/>
  <c r="R119" i="47"/>
  <c r="S43" i="5"/>
  <c r="H14" i="3"/>
  <c r="M70" i="5"/>
  <c r="R95" i="47"/>
  <c r="R89" i="47"/>
  <c r="S120" i="5"/>
  <c r="R42" i="47"/>
  <c r="Q11" i="47"/>
  <c r="R11" i="47"/>
  <c r="R11" i="5"/>
  <c r="H11" i="3"/>
  <c r="M184" i="5"/>
  <c r="R68" i="47"/>
  <c r="H34" i="3"/>
  <c r="M181" i="5"/>
  <c r="R130" i="47"/>
  <c r="S84" i="5"/>
  <c r="H100" i="3"/>
  <c r="R19" i="47"/>
  <c r="R122" i="47"/>
  <c r="R32" i="47"/>
  <c r="S71" i="5"/>
  <c r="R121" i="47"/>
  <c r="R87" i="47"/>
  <c r="R58" i="47"/>
  <c r="S63" i="5"/>
  <c r="R64" i="47"/>
  <c r="S91" i="5"/>
  <c r="R103" i="47"/>
  <c r="S24" i="5"/>
  <c r="R17" i="47"/>
  <c r="R15" i="47"/>
  <c r="S48" i="5"/>
  <c r="H106" i="3"/>
  <c r="S26" i="5"/>
  <c r="S73" i="5"/>
  <c r="S66" i="5"/>
  <c r="R132" i="47"/>
  <c r="R53" i="47"/>
  <c r="R125" i="47"/>
  <c r="S113" i="5"/>
  <c r="R77" i="47"/>
  <c r="S129" i="5"/>
  <c r="R131" i="47"/>
  <c r="R69" i="47"/>
  <c r="S101" i="5"/>
  <c r="R96" i="47"/>
  <c r="L16" i="47"/>
  <c r="M16" i="47"/>
  <c r="K157" i="47"/>
  <c r="L9" i="5"/>
  <c r="L21" i="5"/>
  <c r="K110" i="47"/>
  <c r="L114" i="47"/>
  <c r="L82" i="47"/>
  <c r="M82" i="47"/>
  <c r="K127" i="47"/>
  <c r="K165" i="47"/>
  <c r="L63" i="5"/>
  <c r="L75" i="47"/>
  <c r="L17" i="5"/>
  <c r="L108" i="5"/>
  <c r="M121" i="5"/>
  <c r="G121" i="1"/>
  <c r="H121" i="1"/>
  <c r="L41" i="1"/>
  <c r="K162" i="47"/>
  <c r="L165" i="47"/>
  <c r="K54" i="5"/>
  <c r="C54" i="5"/>
  <c r="L190" i="5"/>
  <c r="K135" i="47"/>
  <c r="L77" i="47"/>
  <c r="K81" i="47"/>
  <c r="L83" i="47"/>
  <c r="L168" i="5"/>
  <c r="K26" i="5"/>
  <c r="C26" i="5"/>
  <c r="L150" i="47"/>
  <c r="L188" i="47"/>
  <c r="K57" i="5"/>
  <c r="C57" i="5"/>
  <c r="D107" i="5"/>
  <c r="K136" i="47"/>
  <c r="D29" i="5"/>
  <c r="C161" i="24"/>
  <c r="D161" i="1"/>
  <c r="L43" i="47"/>
  <c r="K159" i="47"/>
  <c r="K86" i="47"/>
  <c r="K53" i="5"/>
  <c r="C53" i="5"/>
  <c r="L51" i="5"/>
  <c r="D162" i="5"/>
  <c r="K179" i="47"/>
  <c r="K26" i="47"/>
  <c r="K28" i="5"/>
  <c r="C28" i="5"/>
  <c r="K6" i="47"/>
  <c r="C34" i="24"/>
  <c r="D34" i="1"/>
  <c r="L109" i="5"/>
  <c r="C89" i="24"/>
  <c r="D89" i="1"/>
  <c r="K165" i="5"/>
  <c r="C165" i="5"/>
  <c r="K94" i="5"/>
  <c r="K168" i="47"/>
  <c r="L33" i="47"/>
  <c r="L164" i="5"/>
  <c r="K66" i="5"/>
  <c r="C66" i="5"/>
  <c r="K182" i="47"/>
  <c r="K185" i="5"/>
  <c r="C185" i="5"/>
  <c r="L90" i="5"/>
  <c r="L77" i="5"/>
  <c r="L111" i="5"/>
  <c r="K126" i="5"/>
  <c r="C126" i="5"/>
  <c r="L57" i="5"/>
  <c r="L27" i="5"/>
  <c r="L186" i="5"/>
  <c r="K125" i="5"/>
  <c r="C125" i="5"/>
  <c r="K5" i="5"/>
  <c r="C5" i="5"/>
  <c r="L2" i="5"/>
  <c r="N2" i="5"/>
  <c r="K30" i="47"/>
  <c r="L33" i="5"/>
  <c r="K4" i="5"/>
  <c r="L134" i="47"/>
  <c r="K154" i="47"/>
  <c r="M154" i="47"/>
  <c r="L114" i="5"/>
  <c r="D114" i="5"/>
  <c r="L99" i="47"/>
  <c r="K181" i="47"/>
  <c r="K72" i="5"/>
  <c r="C72" i="5"/>
  <c r="L130" i="47"/>
  <c r="K92" i="5"/>
  <c r="L6" i="47"/>
  <c r="K152" i="47"/>
  <c r="K58" i="47"/>
  <c r="K90" i="5"/>
  <c r="C90" i="5"/>
  <c r="K113" i="5"/>
  <c r="C113" i="5"/>
  <c r="D49" i="5"/>
  <c r="L100" i="47"/>
  <c r="L157" i="47"/>
  <c r="L158" i="47"/>
  <c r="K195" i="47"/>
  <c r="K82" i="47"/>
  <c r="K43" i="47"/>
  <c r="L128" i="5"/>
  <c r="L121" i="47"/>
  <c r="K140" i="47"/>
  <c r="L106" i="47"/>
  <c r="L2" i="47"/>
  <c r="M2" i="47"/>
  <c r="C81" i="24"/>
  <c r="D81" i="1"/>
  <c r="L68" i="47"/>
  <c r="K101" i="5"/>
  <c r="C101" i="5"/>
  <c r="L96" i="47"/>
  <c r="K99" i="47"/>
  <c r="L47" i="5"/>
  <c r="S139" i="5"/>
  <c r="K184" i="5"/>
  <c r="C184" i="5"/>
  <c r="L91" i="47"/>
  <c r="L173" i="5"/>
  <c r="L178" i="47"/>
  <c r="K16" i="47"/>
  <c r="L195" i="5"/>
  <c r="L9" i="47"/>
  <c r="M9" i="47"/>
  <c r="L187" i="47"/>
  <c r="K28" i="47"/>
  <c r="D35" i="5"/>
  <c r="K87" i="5"/>
  <c r="C87" i="5"/>
  <c r="K32" i="47"/>
  <c r="K148" i="47"/>
  <c r="L115" i="47"/>
  <c r="M115" i="47"/>
  <c r="C35" i="24"/>
  <c r="D35" i="1"/>
  <c r="L3" i="5"/>
  <c r="C177" i="24"/>
  <c r="D177" i="1"/>
  <c r="L13" i="5"/>
  <c r="D146" i="5"/>
  <c r="K27" i="5"/>
  <c r="C27" i="5"/>
  <c r="L175" i="5"/>
  <c r="K43" i="5"/>
  <c r="C43" i="5"/>
  <c r="K42" i="47"/>
  <c r="K152" i="5"/>
  <c r="C152" i="5"/>
  <c r="L195" i="47"/>
  <c r="M195" i="47"/>
  <c r="L181" i="47"/>
  <c r="L105" i="47"/>
  <c r="M105" i="47"/>
  <c r="K171" i="47"/>
  <c r="M171" i="47"/>
  <c r="L23" i="5"/>
  <c r="L59" i="47"/>
  <c r="M59" i="47"/>
  <c r="L136" i="5"/>
  <c r="K18" i="47"/>
  <c r="K118" i="47"/>
  <c r="K36" i="47"/>
  <c r="D24" i="5"/>
  <c r="L159" i="47"/>
  <c r="L66" i="47"/>
  <c r="L102" i="47"/>
  <c r="K103" i="47"/>
  <c r="K128" i="47"/>
  <c r="D140" i="1"/>
  <c r="C140" i="24"/>
  <c r="K111" i="5"/>
  <c r="C111" i="5"/>
  <c r="L118" i="47"/>
  <c r="M118" i="47"/>
  <c r="L99" i="5"/>
  <c r="K163" i="47"/>
  <c r="D81" i="5"/>
  <c r="K96" i="47"/>
  <c r="L145" i="5"/>
  <c r="D145" i="5"/>
  <c r="L131" i="47"/>
  <c r="K89" i="47"/>
  <c r="K13" i="5"/>
  <c r="C13" i="5"/>
  <c r="L78" i="47"/>
  <c r="K178" i="47"/>
  <c r="M178" i="47"/>
  <c r="K49" i="47"/>
  <c r="K137" i="5"/>
  <c r="C137" i="5"/>
  <c r="R93" i="47"/>
  <c r="L90" i="47"/>
  <c r="M90" i="47"/>
  <c r="C24" i="24"/>
  <c r="D24" i="1"/>
  <c r="K109" i="5"/>
  <c r="C109" i="5"/>
  <c r="D139" i="5"/>
  <c r="K36" i="5"/>
  <c r="C36" i="5"/>
  <c r="K142" i="47"/>
  <c r="K110" i="5"/>
  <c r="C110" i="5"/>
  <c r="K106" i="5"/>
  <c r="C106" i="5"/>
  <c r="L86" i="47"/>
  <c r="L147" i="5"/>
  <c r="K184" i="47"/>
  <c r="K34" i="47"/>
  <c r="K55" i="5"/>
  <c r="C55" i="5"/>
  <c r="L79" i="5"/>
  <c r="K44" i="5"/>
  <c r="C44" i="5"/>
  <c r="K167" i="47"/>
  <c r="K62" i="47"/>
  <c r="K50" i="5"/>
  <c r="C50" i="5"/>
  <c r="L22" i="47"/>
  <c r="K186" i="47"/>
  <c r="K185" i="47"/>
  <c r="M185" i="47"/>
  <c r="L173" i="47"/>
  <c r="K117" i="5"/>
  <c r="C117" i="5"/>
  <c r="L18" i="47"/>
  <c r="L92" i="5"/>
  <c r="L40" i="5"/>
  <c r="D40" i="5"/>
  <c r="K138" i="5"/>
  <c r="C138" i="5"/>
  <c r="K149" i="47"/>
  <c r="M4" i="5"/>
  <c r="G4" i="1"/>
  <c r="H4" i="1"/>
  <c r="L2" i="1"/>
  <c r="L6" i="5"/>
  <c r="L5" i="5"/>
  <c r="K158" i="47"/>
  <c r="D161" i="5"/>
  <c r="K147" i="47"/>
  <c r="L3" i="47"/>
  <c r="K189" i="5"/>
  <c r="C189" i="5"/>
  <c r="L155" i="5"/>
  <c r="K186" i="5"/>
  <c r="C186" i="5"/>
  <c r="M93" i="5"/>
  <c r="G93" i="1"/>
  <c r="H93" i="1"/>
  <c r="K32" i="1"/>
  <c r="L186" i="47"/>
  <c r="L191" i="5"/>
  <c r="L47" i="47"/>
  <c r="K181" i="5"/>
  <c r="C181" i="5"/>
  <c r="L159" i="5"/>
  <c r="K146" i="47"/>
  <c r="D157" i="5"/>
  <c r="N157" i="5"/>
  <c r="D188" i="5"/>
  <c r="N188" i="5"/>
  <c r="H117" i="3"/>
  <c r="S106" i="5"/>
  <c r="H49" i="3"/>
  <c r="M26" i="5"/>
  <c r="R40" i="47"/>
  <c r="R16" i="47"/>
  <c r="S119" i="5"/>
  <c r="R31" i="47"/>
  <c r="S85" i="5"/>
  <c r="R72" i="47"/>
  <c r="S65" i="5"/>
  <c r="R67" i="47"/>
  <c r="R81" i="47"/>
  <c r="H123" i="3"/>
  <c r="M124" i="5"/>
  <c r="S86" i="5"/>
  <c r="S79" i="5"/>
  <c r="H21" i="3"/>
  <c r="M95" i="5"/>
  <c r="S128" i="5"/>
  <c r="S121" i="5"/>
  <c r="S87" i="5"/>
  <c r="S58" i="5"/>
  <c r="R28" i="47"/>
  <c r="S64" i="5"/>
  <c r="R91" i="47"/>
  <c r="S103" i="5"/>
  <c r="S111" i="5"/>
  <c r="R97" i="47"/>
  <c r="R50" i="47"/>
  <c r="S15" i="5"/>
  <c r="R48" i="47"/>
  <c r="R26" i="47"/>
  <c r="R73" i="47"/>
  <c r="S112" i="5"/>
  <c r="S132" i="5"/>
  <c r="R113" i="47"/>
  <c r="H29" i="3"/>
  <c r="R129" i="47"/>
  <c r="S131" i="5"/>
  <c r="R12" i="47"/>
  <c r="R137" i="47"/>
  <c r="R101" i="47"/>
  <c r="S96" i="5"/>
  <c r="M62" i="5"/>
  <c r="M5" i="5"/>
  <c r="M105" i="5"/>
  <c r="L66" i="5"/>
  <c r="M14" i="5"/>
  <c r="L180" i="5"/>
  <c r="L79" i="47"/>
  <c r="L184" i="47"/>
  <c r="L48" i="47"/>
  <c r="D65" i="5"/>
  <c r="M28" i="5"/>
  <c r="L73" i="5"/>
  <c r="L109" i="47"/>
  <c r="S47" i="5"/>
  <c r="L39" i="47"/>
  <c r="L144" i="47"/>
  <c r="M94" i="5"/>
  <c r="L36" i="5"/>
  <c r="L80" i="47"/>
  <c r="M80" i="47"/>
  <c r="L136" i="47"/>
  <c r="L145" i="47"/>
  <c r="M145" i="47"/>
  <c r="L120" i="47"/>
  <c r="K40" i="47"/>
  <c r="K87" i="47"/>
  <c r="M87" i="47"/>
  <c r="K35" i="47"/>
  <c r="M35" i="47"/>
  <c r="K141" i="47"/>
  <c r="K17" i="5"/>
  <c r="C17" i="5"/>
  <c r="K33" i="5"/>
  <c r="C33" i="5"/>
  <c r="K50" i="47"/>
  <c r="K109" i="47"/>
  <c r="D102" i="1"/>
  <c r="C102" i="24"/>
  <c r="D80" i="5"/>
  <c r="L137" i="47"/>
  <c r="L133" i="5"/>
  <c r="K171" i="5"/>
  <c r="C171" i="5"/>
  <c r="K78" i="5"/>
  <c r="C78" i="5"/>
  <c r="K187" i="5"/>
  <c r="C187" i="5"/>
  <c r="L119" i="47"/>
  <c r="M119" i="47"/>
  <c r="L140" i="47"/>
  <c r="L143" i="47"/>
  <c r="L110" i="47"/>
  <c r="K132" i="47"/>
  <c r="M132" i="47"/>
  <c r="L126" i="5"/>
  <c r="K25" i="5"/>
  <c r="C25" i="5"/>
  <c r="K119" i="47"/>
  <c r="K22" i="5"/>
  <c r="C22" i="5"/>
  <c r="L73" i="47"/>
  <c r="L116" i="47"/>
  <c r="K183" i="5"/>
  <c r="C183" i="5"/>
  <c r="K179" i="5"/>
  <c r="C179" i="5"/>
  <c r="K174" i="47"/>
  <c r="K74" i="5"/>
  <c r="C74" i="5"/>
  <c r="K60" i="5"/>
  <c r="C60" i="5"/>
  <c r="K155" i="5"/>
  <c r="C155" i="5"/>
  <c r="L182" i="47"/>
  <c r="L93" i="5"/>
  <c r="K33" i="47"/>
  <c r="K73" i="5"/>
  <c r="C73" i="5"/>
  <c r="K192" i="5"/>
  <c r="C192" i="5"/>
  <c r="K11" i="47"/>
  <c r="L93" i="47"/>
  <c r="L101" i="5"/>
  <c r="L196" i="5"/>
  <c r="C158" i="24"/>
  <c r="D158" i="1"/>
  <c r="L65" i="47"/>
  <c r="L44" i="47"/>
  <c r="L103" i="5"/>
  <c r="K116" i="47"/>
  <c r="K83" i="47"/>
  <c r="M83" i="47"/>
  <c r="L194" i="47"/>
  <c r="D10" i="1"/>
  <c r="C10" i="24"/>
  <c r="L25" i="5"/>
  <c r="K90" i="47"/>
  <c r="K116" i="5"/>
  <c r="C116" i="5"/>
  <c r="L155" i="47"/>
  <c r="L70" i="5"/>
  <c r="K39" i="5"/>
  <c r="C39" i="5"/>
  <c r="L174" i="5"/>
  <c r="K97" i="47"/>
  <c r="D65" i="1"/>
  <c r="C65" i="24"/>
  <c r="L193" i="47"/>
  <c r="L104" i="5"/>
  <c r="L138" i="5"/>
  <c r="D29" i="1"/>
  <c r="C29" i="24"/>
  <c r="K88" i="5"/>
  <c r="C88" i="5"/>
  <c r="K5" i="47"/>
  <c r="L60" i="47"/>
  <c r="L134" i="5"/>
  <c r="D134" i="5"/>
  <c r="K145" i="5"/>
  <c r="C145" i="5"/>
  <c r="L23" i="47"/>
  <c r="K148" i="5"/>
  <c r="C148" i="5"/>
  <c r="K19" i="47"/>
  <c r="L100" i="5"/>
  <c r="L95" i="5"/>
  <c r="D177" i="5"/>
  <c r="K137" i="47"/>
  <c r="K124" i="5"/>
  <c r="C124" i="5"/>
  <c r="L104" i="47"/>
  <c r="L21" i="47"/>
  <c r="K12" i="5"/>
  <c r="C12" i="5"/>
  <c r="L131" i="5"/>
  <c r="K125" i="47"/>
  <c r="L82" i="5"/>
  <c r="D82" i="5"/>
  <c r="K85" i="47"/>
  <c r="L179" i="47"/>
  <c r="M179" i="47"/>
  <c r="L174" i="47"/>
  <c r="K52" i="47"/>
  <c r="K31" i="5"/>
  <c r="C31" i="5"/>
  <c r="L62" i="47"/>
  <c r="K151" i="5"/>
  <c r="C151" i="5"/>
  <c r="C146" i="24"/>
  <c r="D146" i="1"/>
  <c r="L54" i="47"/>
  <c r="K104" i="47"/>
  <c r="M92" i="5"/>
  <c r="G92" i="1"/>
  <c r="L37" i="5"/>
  <c r="L12" i="47"/>
  <c r="M12" i="47"/>
  <c r="L11" i="5"/>
  <c r="L89" i="47"/>
  <c r="M89" i="47"/>
  <c r="L38" i="47"/>
  <c r="M38" i="47"/>
  <c r="D19" i="1"/>
  <c r="C19" i="24"/>
  <c r="L39" i="5"/>
  <c r="L32" i="47"/>
  <c r="M32" i="47"/>
  <c r="L81" i="47"/>
  <c r="K169" i="5"/>
  <c r="C169" i="5"/>
  <c r="L177" i="47"/>
  <c r="K112" i="47"/>
  <c r="L24" i="47"/>
  <c r="K156" i="5"/>
  <c r="C156" i="5"/>
  <c r="K156" i="47"/>
  <c r="M156" i="47"/>
  <c r="K105" i="5"/>
  <c r="C105" i="5"/>
  <c r="L22" i="5"/>
  <c r="L86" i="5"/>
  <c r="L192" i="47"/>
  <c r="M192" i="47"/>
  <c r="K15" i="47"/>
  <c r="L87" i="5"/>
  <c r="D87" i="5"/>
  <c r="K117" i="47"/>
  <c r="D56" i="5"/>
  <c r="L85" i="47"/>
  <c r="S2" i="5"/>
  <c r="H139" i="3"/>
  <c r="H93" i="3"/>
  <c r="H47" i="3"/>
  <c r="H46" i="3"/>
  <c r="M129" i="5"/>
  <c r="H97" i="3"/>
  <c r="M183" i="5"/>
  <c r="H5" i="3"/>
  <c r="H125" i="3"/>
  <c r="M147" i="5"/>
  <c r="H42" i="3"/>
  <c r="H51" i="3"/>
  <c r="M72" i="5"/>
  <c r="H8" i="3"/>
  <c r="H136" i="3"/>
  <c r="M130" i="5"/>
  <c r="K39" i="47"/>
  <c r="K104" i="5"/>
  <c r="C104" i="5"/>
  <c r="K86" i="5"/>
  <c r="C86" i="5"/>
  <c r="L170" i="47"/>
  <c r="M120" i="5"/>
  <c r="G120" i="1"/>
  <c r="H120" i="1"/>
  <c r="K41" i="1"/>
  <c r="K114" i="47"/>
  <c r="K14" i="5"/>
  <c r="C14" i="5"/>
  <c r="K128" i="5"/>
  <c r="C128" i="5"/>
  <c r="K44" i="47"/>
  <c r="C149" i="24"/>
  <c r="D149" i="1"/>
  <c r="D140" i="5"/>
  <c r="K9" i="47"/>
  <c r="L117" i="47"/>
  <c r="K190" i="47"/>
  <c r="M190" i="47"/>
  <c r="L76" i="47"/>
  <c r="K63" i="47"/>
  <c r="K100" i="47"/>
  <c r="K95" i="5"/>
  <c r="C95" i="5"/>
  <c r="L103" i="47"/>
  <c r="L169" i="47"/>
  <c r="D149" i="5"/>
  <c r="L160" i="5"/>
  <c r="K145" i="47"/>
  <c r="L7" i="5"/>
  <c r="K180" i="5"/>
  <c r="C180" i="5"/>
  <c r="K69" i="47"/>
  <c r="M69" i="47"/>
  <c r="K168" i="5"/>
  <c r="C168" i="5"/>
  <c r="L122" i="47"/>
  <c r="K73" i="47"/>
  <c r="L101" i="47"/>
  <c r="L19" i="47"/>
  <c r="K61" i="47"/>
  <c r="D19" i="5"/>
  <c r="L98" i="47"/>
  <c r="L71" i="47"/>
  <c r="K31" i="47"/>
  <c r="K193" i="5"/>
  <c r="C193" i="5"/>
  <c r="K176" i="47"/>
  <c r="L28" i="5"/>
  <c r="L127" i="5"/>
  <c r="K138" i="47"/>
  <c r="K134" i="5"/>
  <c r="C134" i="5"/>
  <c r="K96" i="5"/>
  <c r="C96" i="5"/>
  <c r="K51" i="5"/>
  <c r="C51" i="5"/>
  <c r="L63" i="47"/>
  <c r="L49" i="47"/>
  <c r="M49" i="47"/>
  <c r="K51" i="47"/>
  <c r="L107" i="47"/>
  <c r="K132" i="5"/>
  <c r="C132" i="5"/>
  <c r="L57" i="47"/>
  <c r="K155" i="47"/>
  <c r="K183" i="47"/>
  <c r="L138" i="47"/>
  <c r="L55" i="5"/>
  <c r="K153" i="47"/>
  <c r="K10" i="47"/>
  <c r="K22" i="47"/>
  <c r="K2" i="47"/>
  <c r="L83" i="5"/>
  <c r="K94" i="47"/>
  <c r="M94" i="47"/>
  <c r="L58" i="47"/>
  <c r="K108" i="47"/>
  <c r="M108" i="47"/>
  <c r="K97" i="5"/>
  <c r="C97" i="5"/>
  <c r="D18" i="5"/>
  <c r="C157" i="24"/>
  <c r="D157" i="1"/>
  <c r="R123" i="47"/>
  <c r="R117" i="47"/>
  <c r="R106" i="47"/>
  <c r="R49" i="47"/>
  <c r="R108" i="47"/>
  <c r="S16" i="5"/>
  <c r="H9" i="3"/>
  <c r="S127" i="5"/>
  <c r="H43" i="3"/>
  <c r="M106" i="5"/>
  <c r="S31" i="5"/>
  <c r="M145" i="5"/>
  <c r="M17" i="5"/>
  <c r="M175" i="47"/>
  <c r="M73" i="5"/>
  <c r="E73" i="5"/>
  <c r="E73" i="24"/>
  <c r="M146" i="47"/>
  <c r="M42" i="47"/>
  <c r="M152" i="47"/>
  <c r="M30" i="47"/>
  <c r="M31" i="47"/>
  <c r="M61" i="47"/>
  <c r="M116" i="47"/>
  <c r="M147" i="47"/>
  <c r="M189" i="47"/>
  <c r="M106" i="47"/>
  <c r="M8" i="47"/>
  <c r="N93" i="5"/>
  <c r="M96" i="47"/>
  <c r="M18" i="47"/>
  <c r="M99" i="47"/>
  <c r="M123" i="47"/>
  <c r="M133" i="47"/>
  <c r="M122" i="47"/>
  <c r="M126" i="47"/>
  <c r="M14" i="47"/>
  <c r="M113" i="47"/>
  <c r="M6" i="47"/>
  <c r="M170" i="47"/>
  <c r="M157" i="47"/>
  <c r="M38" i="5"/>
  <c r="G38" i="1"/>
  <c r="M73" i="47"/>
  <c r="M100" i="47"/>
  <c r="M104" i="47"/>
  <c r="M97" i="47"/>
  <c r="M95" i="47"/>
  <c r="M177" i="47"/>
  <c r="M100" i="5"/>
  <c r="G100" i="1"/>
  <c r="M130" i="47"/>
  <c r="M98" i="47"/>
  <c r="M194" i="47"/>
  <c r="M182" i="47"/>
  <c r="M168" i="47"/>
  <c r="M159" i="47"/>
  <c r="M181" i="47"/>
  <c r="M15" i="47"/>
  <c r="M137" i="47"/>
  <c r="M19" i="47"/>
  <c r="M11" i="47"/>
  <c r="M184" i="47"/>
  <c r="M43" i="47"/>
  <c r="M26" i="47"/>
  <c r="M165" i="47"/>
  <c r="M3" i="47"/>
  <c r="M68" i="47"/>
  <c r="M75" i="47"/>
  <c r="M67" i="47"/>
  <c r="M59" i="5"/>
  <c r="G59" i="1"/>
  <c r="M111" i="47"/>
  <c r="G131" i="1"/>
  <c r="E131" i="5"/>
  <c r="E131" i="24"/>
  <c r="E30" i="5"/>
  <c r="E30" i="24"/>
  <c r="G30" i="1"/>
  <c r="G183" i="1"/>
  <c r="E183" i="5"/>
  <c r="E183" i="24"/>
  <c r="E187" i="5"/>
  <c r="E187" i="24"/>
  <c r="G187" i="1"/>
  <c r="E137" i="5"/>
  <c r="E137" i="24"/>
  <c r="G137" i="1"/>
  <c r="G85" i="1"/>
  <c r="E85" i="5"/>
  <c r="E85" i="24"/>
  <c r="N130" i="5"/>
  <c r="G130" i="1"/>
  <c r="E130" i="5"/>
  <c r="E130" i="24"/>
  <c r="G147" i="1"/>
  <c r="E147" i="5"/>
  <c r="E147" i="24"/>
  <c r="E78" i="5"/>
  <c r="E78" i="24"/>
  <c r="G78" i="1"/>
  <c r="G195" i="1"/>
  <c r="E195" i="5"/>
  <c r="E195" i="24"/>
  <c r="P41" i="1"/>
  <c r="N41" i="1"/>
  <c r="D95" i="5"/>
  <c r="N95" i="5"/>
  <c r="N70" i="5"/>
  <c r="D70" i="5"/>
  <c r="D179" i="1"/>
  <c r="C179" i="24"/>
  <c r="D36" i="5"/>
  <c r="G73" i="1"/>
  <c r="E105" i="5"/>
  <c r="E105" i="24"/>
  <c r="G105" i="1"/>
  <c r="E124" i="5"/>
  <c r="E124" i="24"/>
  <c r="G124" i="1"/>
  <c r="D5" i="5"/>
  <c r="N5" i="5"/>
  <c r="M22" i="47"/>
  <c r="G17" i="1"/>
  <c r="E17" i="5"/>
  <c r="E17" i="24"/>
  <c r="E181" i="5"/>
  <c r="E181" i="24"/>
  <c r="G181" i="1"/>
  <c r="E70" i="5"/>
  <c r="E70" i="24"/>
  <c r="G70" i="1"/>
  <c r="E194" i="1"/>
  <c r="D194" i="24"/>
  <c r="C8" i="24"/>
  <c r="D8" i="1"/>
  <c r="M5" i="47"/>
  <c r="D143" i="1"/>
  <c r="C143" i="24"/>
  <c r="D48" i="24"/>
  <c r="E48" i="1"/>
  <c r="X48" i="1"/>
  <c r="Z17" i="1"/>
  <c r="H119" i="1"/>
  <c r="J41" i="1"/>
  <c r="U41" i="1"/>
  <c r="D64" i="24"/>
  <c r="E64" i="1"/>
  <c r="X64" i="1"/>
  <c r="AA22" i="1"/>
  <c r="C195" i="24"/>
  <c r="D195" i="1"/>
  <c r="C127" i="24"/>
  <c r="D127" i="1"/>
  <c r="N2" i="1"/>
  <c r="P2" i="1"/>
  <c r="C61" i="24"/>
  <c r="D61" i="1"/>
  <c r="D67" i="5"/>
  <c r="N67" i="5"/>
  <c r="E71" i="1"/>
  <c r="D71" i="24"/>
  <c r="C85" i="24"/>
  <c r="D85" i="1"/>
  <c r="E186" i="5"/>
  <c r="E186" i="24"/>
  <c r="G186" i="1"/>
  <c r="E34" i="1"/>
  <c r="D34" i="24"/>
  <c r="C190" i="24"/>
  <c r="D190" i="1"/>
  <c r="D32" i="5"/>
  <c r="E27" i="5"/>
  <c r="E27" i="24"/>
  <c r="G27" i="1"/>
  <c r="D159" i="1"/>
  <c r="C159" i="24"/>
  <c r="E97" i="1"/>
  <c r="D97" i="24"/>
  <c r="E79" i="5"/>
  <c r="E79" i="24"/>
  <c r="G79" i="1"/>
  <c r="E15" i="1"/>
  <c r="X15" i="1"/>
  <c r="Z6" i="1"/>
  <c r="D15" i="24"/>
  <c r="E38" i="1"/>
  <c r="D38" i="24"/>
  <c r="D147" i="1"/>
  <c r="C147" i="24"/>
  <c r="N181" i="5"/>
  <c r="D31" i="5"/>
  <c r="D128" i="1"/>
  <c r="C128" i="24"/>
  <c r="H133" i="3"/>
  <c r="H92" i="3"/>
  <c r="C105" i="24"/>
  <c r="D105" i="1"/>
  <c r="D37" i="5"/>
  <c r="D12" i="1"/>
  <c r="C12" i="24"/>
  <c r="D100" i="5"/>
  <c r="C88" i="24"/>
  <c r="D88" i="1"/>
  <c r="C183" i="24"/>
  <c r="D183" i="1"/>
  <c r="N94" i="5"/>
  <c r="G94" i="1"/>
  <c r="H94" i="1"/>
  <c r="L32" i="1"/>
  <c r="D73" i="5"/>
  <c r="N145" i="5"/>
  <c r="E145" i="5"/>
  <c r="E145" i="24"/>
  <c r="G145" i="1"/>
  <c r="E5" i="5"/>
  <c r="E5" i="24"/>
  <c r="G5" i="1"/>
  <c r="D191" i="5"/>
  <c r="D6" i="5"/>
  <c r="C50" i="24"/>
  <c r="D50" i="1"/>
  <c r="D147" i="5"/>
  <c r="N147" i="5"/>
  <c r="C109" i="24"/>
  <c r="D109" i="1"/>
  <c r="D145" i="24"/>
  <c r="E145" i="1"/>
  <c r="X145" i="1"/>
  <c r="AA49" i="1"/>
  <c r="D136" i="5"/>
  <c r="D47" i="5"/>
  <c r="N47" i="5"/>
  <c r="D113" i="1"/>
  <c r="C113" i="24"/>
  <c r="D27" i="5"/>
  <c r="N27" i="5"/>
  <c r="C26" i="24"/>
  <c r="D26" i="1"/>
  <c r="D21" i="5"/>
  <c r="M185" i="5"/>
  <c r="H110" i="3"/>
  <c r="M183" i="47"/>
  <c r="C46" i="24"/>
  <c r="D46" i="1"/>
  <c r="D61" i="5"/>
  <c r="D193" i="5"/>
  <c r="D88" i="5"/>
  <c r="N88" i="5"/>
  <c r="D108" i="1"/>
  <c r="C108" i="24"/>
  <c r="G47" i="1"/>
  <c r="E47" i="5"/>
  <c r="E47" i="24"/>
  <c r="D151" i="5"/>
  <c r="M65" i="47"/>
  <c r="G167" i="1"/>
  <c r="E167" i="5"/>
  <c r="E167" i="24"/>
  <c r="H103" i="3"/>
  <c r="H78" i="3"/>
  <c r="H73" i="3"/>
  <c r="N120" i="5"/>
  <c r="C132" i="24"/>
  <c r="D132" i="1"/>
  <c r="M138" i="47"/>
  <c r="C193" i="24"/>
  <c r="D193" i="1"/>
  <c r="D160" i="5"/>
  <c r="E72" i="5"/>
  <c r="E72" i="24"/>
  <c r="G72" i="1"/>
  <c r="E87" i="1"/>
  <c r="X87" i="1"/>
  <c r="Z30" i="1"/>
  <c r="D87" i="24"/>
  <c r="D22" i="5"/>
  <c r="D131" i="5"/>
  <c r="N131" i="5"/>
  <c r="D124" i="1"/>
  <c r="C124" i="24"/>
  <c r="D138" i="5"/>
  <c r="D25" i="5"/>
  <c r="N25" i="5"/>
  <c r="D101" i="5"/>
  <c r="C73" i="24"/>
  <c r="D73" i="1"/>
  <c r="D155" i="1"/>
  <c r="C155" i="24"/>
  <c r="D22" i="1"/>
  <c r="C22" i="24"/>
  <c r="D133" i="5"/>
  <c r="N106" i="5"/>
  <c r="G106" i="1"/>
  <c r="E106" i="5"/>
  <c r="E106" i="24"/>
  <c r="D65" i="24"/>
  <c r="E65" i="1"/>
  <c r="D180" i="5"/>
  <c r="D66" i="5"/>
  <c r="G62" i="1"/>
  <c r="E62" i="5"/>
  <c r="E62" i="24"/>
  <c r="E129" i="5"/>
  <c r="E129" i="24"/>
  <c r="G129" i="1"/>
  <c r="D157" i="24"/>
  <c r="E157" i="1"/>
  <c r="X157" i="1"/>
  <c r="AA53" i="1"/>
  <c r="C186" i="24"/>
  <c r="D186" i="1"/>
  <c r="D138" i="1"/>
  <c r="C138" i="24"/>
  <c r="C117" i="24"/>
  <c r="D117" i="1"/>
  <c r="D44" i="1"/>
  <c r="C44" i="24"/>
  <c r="D110" i="1"/>
  <c r="C110" i="24"/>
  <c r="D139" i="24"/>
  <c r="E139" i="1"/>
  <c r="X139" i="1"/>
  <c r="AA47" i="1"/>
  <c r="E81" i="1"/>
  <c r="X81" i="1"/>
  <c r="Z28" i="1"/>
  <c r="D81" i="24"/>
  <c r="D111" i="1"/>
  <c r="C111" i="24"/>
  <c r="M103" i="47"/>
  <c r="D34" i="55"/>
  <c r="D20" i="55"/>
  <c r="D6" i="55"/>
  <c r="D27" i="55"/>
  <c r="D48" i="55"/>
  <c r="D152" i="1"/>
  <c r="D13" i="55"/>
  <c r="D41" i="55"/>
  <c r="C152" i="24"/>
  <c r="C27" i="24"/>
  <c r="D27" i="1"/>
  <c r="C87" i="24"/>
  <c r="D87" i="1"/>
  <c r="D101" i="1"/>
  <c r="C101" i="24"/>
  <c r="D128" i="5"/>
  <c r="E49" i="1"/>
  <c r="X49" i="1"/>
  <c r="AA17" i="1"/>
  <c r="D49" i="24"/>
  <c r="C72" i="24"/>
  <c r="D72" i="1"/>
  <c r="D186" i="5"/>
  <c r="N186" i="5"/>
  <c r="D111" i="5"/>
  <c r="N111" i="5"/>
  <c r="E162" i="1"/>
  <c r="D162" i="24"/>
  <c r="M81" i="47"/>
  <c r="C54" i="24"/>
  <c r="D54" i="1"/>
  <c r="Q41" i="1"/>
  <c r="S41" i="1"/>
  <c r="O41" i="1"/>
  <c r="D63" i="5"/>
  <c r="D129" i="5"/>
  <c r="N129" i="5"/>
  <c r="D116" i="5"/>
  <c r="N116" i="5"/>
  <c r="D117" i="5"/>
  <c r="D42" i="5"/>
  <c r="M4" i="47"/>
  <c r="D141" i="1"/>
  <c r="C141" i="24"/>
  <c r="E182" i="1"/>
  <c r="D182" i="24"/>
  <c r="E10" i="1"/>
  <c r="X10" i="1"/>
  <c r="AA4" i="1"/>
  <c r="D10" i="24"/>
  <c r="G25" i="1"/>
  <c r="E25" i="5"/>
  <c r="E25" i="24"/>
  <c r="D46" i="5"/>
  <c r="D115" i="5"/>
  <c r="D125" i="5"/>
  <c r="D102" i="24"/>
  <c r="E102" i="1"/>
  <c r="X102" i="1"/>
  <c r="Z35" i="1"/>
  <c r="C82" i="24"/>
  <c r="D82" i="1"/>
  <c r="D52" i="1"/>
  <c r="C52" i="24"/>
  <c r="E54" i="1"/>
  <c r="D54" i="24"/>
  <c r="G178" i="1"/>
  <c r="E178" i="5"/>
  <c r="E178" i="24"/>
  <c r="D169" i="5"/>
  <c r="M76" i="47"/>
  <c r="G172" i="1"/>
  <c r="E172" i="5"/>
  <c r="E172" i="24"/>
  <c r="G111" i="1"/>
  <c r="E111" i="5"/>
  <c r="E111" i="24"/>
  <c r="G88" i="1"/>
  <c r="E88" i="5"/>
  <c r="E88" i="24"/>
  <c r="N114" i="5"/>
  <c r="G114" i="1"/>
  <c r="E114" i="5"/>
  <c r="E114" i="24"/>
  <c r="E54" i="5"/>
  <c r="E54" i="24"/>
  <c r="G54" i="1"/>
  <c r="E67" i="5"/>
  <c r="E67" i="24"/>
  <c r="G67" i="1"/>
  <c r="C172" i="24"/>
  <c r="D172" i="1"/>
  <c r="M54" i="47"/>
  <c r="D76" i="5"/>
  <c r="E60" i="1"/>
  <c r="X60" i="1"/>
  <c r="Z21" i="1"/>
  <c r="D60" i="24"/>
  <c r="D62" i="5"/>
  <c r="N62" i="5"/>
  <c r="D58" i="24"/>
  <c r="E58" i="1"/>
  <c r="X58" i="1"/>
  <c r="AA20" i="1"/>
  <c r="M123" i="5"/>
  <c r="M74" i="5"/>
  <c r="E18" i="1"/>
  <c r="X18" i="1"/>
  <c r="Z7" i="1"/>
  <c r="D18" i="24"/>
  <c r="C51" i="24"/>
  <c r="D51" i="1"/>
  <c r="D127" i="5"/>
  <c r="E19" i="1"/>
  <c r="D19" i="24"/>
  <c r="C180" i="24"/>
  <c r="D180" i="1"/>
  <c r="D95" i="1"/>
  <c r="C95" i="24"/>
  <c r="E140" i="1"/>
  <c r="D140" i="24"/>
  <c r="H99" i="3"/>
  <c r="M180" i="5"/>
  <c r="N180" i="5"/>
  <c r="M140" i="5"/>
  <c r="M45" i="5"/>
  <c r="M81" i="5"/>
  <c r="M139" i="5"/>
  <c r="M68" i="5"/>
  <c r="M49" i="5"/>
  <c r="C31" i="24"/>
  <c r="D31" i="1"/>
  <c r="M85" i="47"/>
  <c r="D145" i="1"/>
  <c r="C145" i="24"/>
  <c r="D104" i="5"/>
  <c r="D60" i="1"/>
  <c r="C60" i="24"/>
  <c r="C187" i="24"/>
  <c r="D187" i="1"/>
  <c r="D33" i="1"/>
  <c r="C33" i="24"/>
  <c r="M117" i="5"/>
  <c r="N117" i="5"/>
  <c r="H70" i="3"/>
  <c r="D155" i="5"/>
  <c r="E40" i="1"/>
  <c r="X40" i="1"/>
  <c r="AA14" i="1"/>
  <c r="D40" i="24"/>
  <c r="D79" i="5"/>
  <c r="N79" i="5"/>
  <c r="M78" i="47"/>
  <c r="M102" i="47"/>
  <c r="D24" i="24"/>
  <c r="E24" i="1"/>
  <c r="X24" i="1"/>
  <c r="Z9" i="1"/>
  <c r="D173" i="5"/>
  <c r="N77" i="5"/>
  <c r="D77" i="5"/>
  <c r="D66" i="1"/>
  <c r="C66" i="24"/>
  <c r="D109" i="5"/>
  <c r="C28" i="24"/>
  <c r="D28" i="1"/>
  <c r="D107" i="24"/>
  <c r="E107" i="1"/>
  <c r="E184" i="5"/>
  <c r="E184" i="24"/>
  <c r="G184" i="1"/>
  <c r="D108" i="5"/>
  <c r="M134" i="5"/>
  <c r="M141" i="5"/>
  <c r="H116" i="3"/>
  <c r="H66" i="3"/>
  <c r="E22" i="55"/>
  <c r="F22" i="55"/>
  <c r="K19" i="55"/>
  <c r="E43" i="55"/>
  <c r="F43" i="55"/>
  <c r="K40" i="55"/>
  <c r="E8" i="55"/>
  <c r="F8" i="55"/>
  <c r="K5" i="55"/>
  <c r="E36" i="55"/>
  <c r="F36" i="55"/>
  <c r="K33" i="55"/>
  <c r="E130" i="1"/>
  <c r="E29" i="55"/>
  <c r="F29" i="55"/>
  <c r="K26" i="55"/>
  <c r="E50" i="55"/>
  <c r="F50" i="55"/>
  <c r="K47" i="55"/>
  <c r="D130" i="24"/>
  <c r="E15" i="55"/>
  <c r="F15" i="55"/>
  <c r="K12" i="55"/>
  <c r="M172" i="47"/>
  <c r="M93" i="47"/>
  <c r="M112" i="47"/>
  <c r="M150" i="47"/>
  <c r="D148" i="5"/>
  <c r="D11" i="1"/>
  <c r="C11" i="24"/>
  <c r="D165" i="5"/>
  <c r="E150" i="1"/>
  <c r="X150" i="1"/>
  <c r="Z51" i="1"/>
  <c r="AC51" i="1"/>
  <c r="D150" i="24"/>
  <c r="C76" i="24"/>
  <c r="D76" i="1"/>
  <c r="C154" i="24"/>
  <c r="D154" i="1"/>
  <c r="D163" i="1"/>
  <c r="C163" i="24"/>
  <c r="D135" i="5"/>
  <c r="D84" i="1"/>
  <c r="C84" i="24"/>
  <c r="M161" i="47"/>
  <c r="D179" i="5"/>
  <c r="C20" i="24"/>
  <c r="D20" i="1"/>
  <c r="D85" i="5"/>
  <c r="N85" i="5"/>
  <c r="D112" i="5"/>
  <c r="C135" i="24"/>
  <c r="D135" i="1"/>
  <c r="M173" i="47"/>
  <c r="D137" i="5"/>
  <c r="N137" i="5"/>
  <c r="D53" i="5"/>
  <c r="M8" i="5"/>
  <c r="N8" i="5"/>
  <c r="D30" i="5"/>
  <c r="N30" i="5"/>
  <c r="D189" i="5"/>
  <c r="D123" i="24"/>
  <c r="E123" i="1"/>
  <c r="M196" i="47"/>
  <c r="D171" i="5"/>
  <c r="M160" i="47"/>
  <c r="D103" i="1"/>
  <c r="C103" i="24"/>
  <c r="C30" i="24"/>
  <c r="D30" i="1"/>
  <c r="H127" i="3"/>
  <c r="M163" i="5"/>
  <c r="D122" i="5"/>
  <c r="M48" i="47"/>
  <c r="H2" i="1"/>
  <c r="J2" i="1"/>
  <c r="U2" i="1"/>
  <c r="M24" i="47"/>
  <c r="M149" i="5"/>
  <c r="M161" i="5"/>
  <c r="M158" i="5"/>
  <c r="M10" i="5"/>
  <c r="M29" i="5"/>
  <c r="M56" i="5"/>
  <c r="M18" i="5"/>
  <c r="E52" i="1"/>
  <c r="X52" i="1"/>
  <c r="AA18" i="1"/>
  <c r="D52" i="24"/>
  <c r="D8" i="5"/>
  <c r="M187" i="47"/>
  <c r="M132" i="5"/>
  <c r="H111" i="3"/>
  <c r="M192" i="5"/>
  <c r="N192" i="5"/>
  <c r="H130" i="3"/>
  <c r="M155" i="5"/>
  <c r="M63" i="5"/>
  <c r="H137" i="3"/>
  <c r="H105" i="3"/>
  <c r="H68" i="3"/>
  <c r="D12" i="5"/>
  <c r="D110" i="5"/>
  <c r="D181" i="24"/>
  <c r="E181" i="1"/>
  <c r="X181" i="1"/>
  <c r="AA61" i="1"/>
  <c r="N119" i="5"/>
  <c r="M154" i="5"/>
  <c r="N154" i="5"/>
  <c r="D130" i="1"/>
  <c r="C130" i="24"/>
  <c r="D43" i="55"/>
  <c r="D15" i="55"/>
  <c r="D22" i="55"/>
  <c r="D36" i="55"/>
  <c r="D29" i="55"/>
  <c r="D50" i="55"/>
  <c r="D8" i="55"/>
  <c r="H119" i="3"/>
  <c r="M168" i="5"/>
  <c r="N168" i="5"/>
  <c r="C97" i="24"/>
  <c r="D97" i="1"/>
  <c r="D83" i="5"/>
  <c r="M155" i="47"/>
  <c r="M51" i="47"/>
  <c r="C96" i="24"/>
  <c r="D96" i="1"/>
  <c r="D28" i="5"/>
  <c r="N28" i="5"/>
  <c r="M71" i="47"/>
  <c r="D7" i="5"/>
  <c r="D149" i="24"/>
  <c r="E149" i="1"/>
  <c r="C14" i="24"/>
  <c r="D14" i="1"/>
  <c r="C86" i="24"/>
  <c r="D86" i="1"/>
  <c r="H107" i="3"/>
  <c r="H88" i="3"/>
  <c r="H118" i="3"/>
  <c r="H114" i="3"/>
  <c r="M159" i="5"/>
  <c r="N159" i="5"/>
  <c r="M91" i="5"/>
  <c r="M112" i="5"/>
  <c r="N112" i="5"/>
  <c r="E56" i="1"/>
  <c r="D56" i="24"/>
  <c r="D39" i="5"/>
  <c r="H92" i="1"/>
  <c r="J32" i="1"/>
  <c r="U32" i="1"/>
  <c r="M52" i="47"/>
  <c r="D82" i="24"/>
  <c r="E82" i="1"/>
  <c r="E134" i="1"/>
  <c r="D134" i="24"/>
  <c r="M193" i="47"/>
  <c r="D174" i="5"/>
  <c r="D116" i="1"/>
  <c r="C116" i="24"/>
  <c r="D103" i="5"/>
  <c r="D74" i="1"/>
  <c r="C74" i="24"/>
  <c r="D25" i="1"/>
  <c r="C25" i="24"/>
  <c r="D78" i="1"/>
  <c r="C78" i="24"/>
  <c r="M109" i="47"/>
  <c r="C17" i="24"/>
  <c r="D17" i="1"/>
  <c r="G28" i="1"/>
  <c r="E28" i="5"/>
  <c r="E28" i="24"/>
  <c r="M144" i="5"/>
  <c r="N144" i="5"/>
  <c r="N14" i="5"/>
  <c r="G14" i="1"/>
  <c r="E14" i="5"/>
  <c r="E14" i="24"/>
  <c r="M196" i="5"/>
  <c r="N196" i="5"/>
  <c r="H64" i="3"/>
  <c r="E26" i="5"/>
  <c r="E26" i="24"/>
  <c r="G26" i="1"/>
  <c r="E188" i="1"/>
  <c r="D188" i="24"/>
  <c r="D159" i="5"/>
  <c r="C189" i="24"/>
  <c r="D189" i="1"/>
  <c r="E161" i="1"/>
  <c r="D161" i="24"/>
  <c r="O2" i="1"/>
  <c r="S2" i="1"/>
  <c r="Q2" i="1"/>
  <c r="N92" i="5"/>
  <c r="M62" i="47"/>
  <c r="C55" i="24"/>
  <c r="D55" i="1"/>
  <c r="M86" i="47"/>
  <c r="D36" i="1"/>
  <c r="C36" i="24"/>
  <c r="C137" i="24"/>
  <c r="D137" i="1"/>
  <c r="C13" i="24"/>
  <c r="D13" i="1"/>
  <c r="D99" i="5"/>
  <c r="C43" i="24"/>
  <c r="D43" i="1"/>
  <c r="E146" i="1"/>
  <c r="D146" i="24"/>
  <c r="N3" i="5"/>
  <c r="M148" i="47"/>
  <c r="D35" i="24"/>
  <c r="E35" i="1"/>
  <c r="D195" i="5"/>
  <c r="N195" i="5"/>
  <c r="M91" i="47"/>
  <c r="C90" i="24"/>
  <c r="D90" i="1"/>
  <c r="D5" i="1"/>
  <c r="C5" i="24"/>
  <c r="D57" i="5"/>
  <c r="D90" i="5"/>
  <c r="D164" i="5"/>
  <c r="D165" i="1"/>
  <c r="C165" i="24"/>
  <c r="D51" i="5"/>
  <c r="E29" i="1"/>
  <c r="D29" i="24"/>
  <c r="C57" i="24"/>
  <c r="D57" i="1"/>
  <c r="D168" i="5"/>
  <c r="D17" i="5"/>
  <c r="N17" i="5"/>
  <c r="M43" i="5"/>
  <c r="M110" i="47"/>
  <c r="M37" i="5"/>
  <c r="M50" i="5"/>
  <c r="N50" i="5"/>
  <c r="H85" i="3"/>
  <c r="M104" i="5"/>
  <c r="N104" i="5"/>
  <c r="M23" i="5"/>
  <c r="N150" i="5"/>
  <c r="G150" i="1"/>
  <c r="H150" i="1"/>
  <c r="K51" i="1"/>
  <c r="E150" i="5"/>
  <c r="E150" i="24"/>
  <c r="D89" i="24"/>
  <c r="E89" i="1"/>
  <c r="C167" i="24"/>
  <c r="D167" i="1"/>
  <c r="M77" i="47"/>
  <c r="D113" i="5"/>
  <c r="D16" i="5"/>
  <c r="D83" i="1"/>
  <c r="C83" i="24"/>
  <c r="C122" i="24"/>
  <c r="D122" i="1"/>
  <c r="M46" i="47"/>
  <c r="D156" i="5"/>
  <c r="D50" i="5"/>
  <c r="D187" i="5"/>
  <c r="N187" i="5"/>
  <c r="C6" i="24"/>
  <c r="D6" i="1"/>
  <c r="M21" i="47"/>
  <c r="D105" i="5"/>
  <c r="N105" i="5"/>
  <c r="D59" i="1"/>
  <c r="C59" i="24"/>
  <c r="M40" i="47"/>
  <c r="C118" i="24"/>
  <c r="D118" i="1"/>
  <c r="D191" i="1"/>
  <c r="C191" i="24"/>
  <c r="M144" i="47"/>
  <c r="M17" i="47"/>
  <c r="D78" i="5"/>
  <c r="N78" i="5"/>
  <c r="D62" i="1"/>
  <c r="C62" i="24"/>
  <c r="C142" i="24"/>
  <c r="D142" i="1"/>
  <c r="D115" i="1"/>
  <c r="C115" i="24"/>
  <c r="C160" i="24"/>
  <c r="D160" i="1"/>
  <c r="M166" i="47"/>
  <c r="D96" i="5"/>
  <c r="D133" i="1"/>
  <c r="C133" i="24"/>
  <c r="M75" i="5"/>
  <c r="D178" i="5"/>
  <c r="N178" i="5"/>
  <c r="M69" i="5"/>
  <c r="M133" i="5"/>
  <c r="M16" i="5"/>
  <c r="N16" i="5"/>
  <c r="E194" i="5"/>
  <c r="E194" i="24"/>
  <c r="G194" i="1"/>
  <c r="N121" i="5"/>
  <c r="M151" i="47"/>
  <c r="M139" i="47"/>
  <c r="E41" i="1"/>
  <c r="D41" i="24"/>
  <c r="M143" i="47"/>
  <c r="D124" i="5"/>
  <c r="N124" i="5"/>
  <c r="D84" i="5"/>
  <c r="E163" i="1"/>
  <c r="D163" i="24"/>
  <c r="X74" i="1"/>
  <c r="Y26" i="1"/>
  <c r="AB26" i="1"/>
  <c r="D152" i="5"/>
  <c r="M55" i="47"/>
  <c r="M180" i="47"/>
  <c r="N4" i="5"/>
  <c r="M127" i="47"/>
  <c r="M41" i="47"/>
  <c r="D141" i="5"/>
  <c r="E43" i="1"/>
  <c r="D43" i="24"/>
  <c r="M27" i="47"/>
  <c r="D91" i="24"/>
  <c r="E91" i="1"/>
  <c r="X91" i="1"/>
  <c r="AA31" i="1"/>
  <c r="AD31" i="1"/>
  <c r="N167" i="5"/>
  <c r="H95" i="3"/>
  <c r="H77" i="3"/>
  <c r="H80" i="3"/>
  <c r="M127" i="5"/>
  <c r="M60" i="5"/>
  <c r="M53" i="5"/>
  <c r="N53" i="5"/>
  <c r="M53" i="47"/>
  <c r="E45" i="1"/>
  <c r="D45" i="24"/>
  <c r="N184" i="5"/>
  <c r="M135" i="47"/>
  <c r="H75" i="3"/>
  <c r="G116" i="1"/>
  <c r="E116" i="5"/>
  <c r="E116" i="24"/>
  <c r="H121" i="3"/>
  <c r="G86" i="1"/>
  <c r="E86" i="5"/>
  <c r="E86" i="24"/>
  <c r="H113" i="3"/>
  <c r="H67" i="3"/>
  <c r="M80" i="5"/>
  <c r="M102" i="5"/>
  <c r="M48" i="5"/>
  <c r="M146" i="5"/>
  <c r="M182" i="5"/>
  <c r="M71" i="5"/>
  <c r="M107" i="5"/>
  <c r="H122" i="3"/>
  <c r="H91" i="3"/>
  <c r="H87" i="3"/>
  <c r="G77" i="1"/>
  <c r="E77" i="5"/>
  <c r="E77" i="24"/>
  <c r="H96" i="3"/>
  <c r="M191" i="5"/>
  <c r="M143" i="5"/>
  <c r="H62" i="3"/>
  <c r="N26" i="5"/>
  <c r="M66" i="47"/>
  <c r="E143" i="1"/>
  <c r="D143" i="24"/>
  <c r="D55" i="5"/>
  <c r="D134" i="1"/>
  <c r="C134" i="24"/>
  <c r="M176" i="47"/>
  <c r="C168" i="24"/>
  <c r="D168" i="1"/>
  <c r="M63" i="47"/>
  <c r="M114" i="47"/>
  <c r="C104" i="24"/>
  <c r="D104" i="1"/>
  <c r="H74" i="3"/>
  <c r="M65" i="5"/>
  <c r="M34" i="5"/>
  <c r="M24" i="5"/>
  <c r="H134" i="3"/>
  <c r="H98" i="3"/>
  <c r="M46" i="5"/>
  <c r="N46" i="5"/>
  <c r="H138" i="3"/>
  <c r="M117" i="47"/>
  <c r="D86" i="5"/>
  <c r="N86" i="5"/>
  <c r="D156" i="1"/>
  <c r="C156" i="24"/>
  <c r="C169" i="24"/>
  <c r="D169" i="1"/>
  <c r="D11" i="5"/>
  <c r="C151" i="24"/>
  <c r="D151" i="1"/>
  <c r="M125" i="47"/>
  <c r="E177" i="1"/>
  <c r="X177" i="1"/>
  <c r="Z60" i="1"/>
  <c r="D177" i="24"/>
  <c r="D148" i="1"/>
  <c r="C148" i="24"/>
  <c r="M60" i="47"/>
  <c r="D39" i="1"/>
  <c r="C39" i="24"/>
  <c r="M44" i="47"/>
  <c r="D196" i="5"/>
  <c r="C192" i="24"/>
  <c r="D192" i="1"/>
  <c r="M174" i="47"/>
  <c r="D126" i="5"/>
  <c r="M140" i="47"/>
  <c r="D171" i="1"/>
  <c r="C171" i="24"/>
  <c r="D80" i="24"/>
  <c r="E80" i="1"/>
  <c r="M141" i="47"/>
  <c r="M120" i="47"/>
  <c r="M39" i="47"/>
  <c r="M51" i="5"/>
  <c r="N51" i="5"/>
  <c r="M79" i="47"/>
  <c r="M57" i="5"/>
  <c r="E95" i="5"/>
  <c r="E95" i="24"/>
  <c r="G95" i="1"/>
  <c r="C181" i="24"/>
  <c r="D181" i="1"/>
  <c r="N32" i="1"/>
  <c r="P32" i="1"/>
  <c r="M158" i="47"/>
  <c r="M186" i="47"/>
  <c r="M167" i="47"/>
  <c r="M34" i="47"/>
  <c r="D106" i="1"/>
  <c r="C106" i="24"/>
  <c r="D23" i="5"/>
  <c r="D175" i="5"/>
  <c r="D13" i="5"/>
  <c r="M28" i="47"/>
  <c r="D184" i="1"/>
  <c r="C184" i="24"/>
  <c r="M121" i="47"/>
  <c r="M58" i="47"/>
  <c r="D114" i="24"/>
  <c r="E114" i="1"/>
  <c r="D33" i="5"/>
  <c r="D125" i="1"/>
  <c r="C125" i="24"/>
  <c r="D126" i="1"/>
  <c r="C126" i="24"/>
  <c r="D185" i="1"/>
  <c r="C185" i="24"/>
  <c r="M33" i="47"/>
  <c r="D53" i="1"/>
  <c r="C53" i="24"/>
  <c r="M136" i="47"/>
  <c r="M188" i="47"/>
  <c r="D190" i="5"/>
  <c r="M162" i="47"/>
  <c r="M87" i="5"/>
  <c r="M164" i="5"/>
  <c r="N164" i="5"/>
  <c r="D9" i="5"/>
  <c r="M21" i="5"/>
  <c r="N21" i="5"/>
  <c r="M61" i="5"/>
  <c r="S11" i="5"/>
  <c r="H89" i="3"/>
  <c r="H71" i="3"/>
  <c r="M193" i="5"/>
  <c r="N193" i="5"/>
  <c r="H81" i="3"/>
  <c r="H63" i="3"/>
  <c r="H18" i="3"/>
  <c r="M170" i="5"/>
  <c r="N170" i="5"/>
  <c r="H23" i="3"/>
  <c r="H19" i="3"/>
  <c r="H112" i="3"/>
  <c r="N194" i="5"/>
  <c r="D183" i="5"/>
  <c r="N183" i="5"/>
  <c r="M23" i="47"/>
  <c r="D106" i="24"/>
  <c r="E106" i="1"/>
  <c r="X106" i="1"/>
  <c r="AA36" i="1"/>
  <c r="M88" i="47"/>
  <c r="E158" i="1"/>
  <c r="D158" i="24"/>
  <c r="M37" i="47"/>
  <c r="C174" i="24"/>
  <c r="D174" i="1"/>
  <c r="M36" i="47"/>
  <c r="C63" i="24"/>
  <c r="D63" i="1"/>
  <c r="D20" i="5"/>
  <c r="D59" i="5"/>
  <c r="N59" i="5"/>
  <c r="D132" i="5"/>
  <c r="D176" i="24"/>
  <c r="E176" i="1"/>
  <c r="D185" i="5"/>
  <c r="M57" i="47"/>
  <c r="D144" i="5"/>
  <c r="M56" i="47"/>
  <c r="D154" i="5"/>
  <c r="D44" i="5"/>
  <c r="D142" i="5"/>
  <c r="M64" i="47"/>
  <c r="C150" i="24"/>
  <c r="D150" i="1"/>
  <c r="M74" i="47"/>
  <c r="D170" i="5"/>
  <c r="D192" i="5"/>
  <c r="M169" i="47"/>
  <c r="D166" i="24"/>
  <c r="E166" i="1"/>
  <c r="C100" i="24"/>
  <c r="D100" i="1"/>
  <c r="M107" i="47"/>
  <c r="M47" i="47"/>
  <c r="D153" i="1"/>
  <c r="C153" i="24"/>
  <c r="D72" i="5"/>
  <c r="N72" i="5"/>
  <c r="M84" i="5"/>
  <c r="M173" i="5"/>
  <c r="M72" i="47"/>
  <c r="M7" i="47"/>
  <c r="D172" i="5"/>
  <c r="N172" i="5"/>
  <c r="M134" i="47"/>
  <c r="C40" i="24"/>
  <c r="D40" i="1"/>
  <c r="M92" i="47"/>
  <c r="D75" i="24"/>
  <c r="E75" i="1"/>
  <c r="D153" i="5"/>
  <c r="E98" i="1"/>
  <c r="D98" i="24"/>
  <c r="D68" i="24"/>
  <c r="E68" i="1"/>
  <c r="X68" i="1"/>
  <c r="Y24" i="1"/>
  <c r="M101" i="47"/>
  <c r="D9" i="1"/>
  <c r="C9" i="24"/>
  <c r="M191" i="47"/>
  <c r="E167" i="1"/>
  <c r="D167" i="24"/>
  <c r="N54" i="5"/>
  <c r="H120" i="3"/>
  <c r="C136" i="24"/>
  <c r="D136" i="1"/>
  <c r="D42" i="1"/>
  <c r="C42" i="24"/>
  <c r="D184" i="24"/>
  <c r="E184" i="1"/>
  <c r="X184" i="1"/>
  <c r="AA62" i="1"/>
  <c r="D79" i="1"/>
  <c r="C79" i="24"/>
  <c r="M84" i="47"/>
  <c r="M70" i="47"/>
  <c r="H45" i="3"/>
  <c r="M177" i="5"/>
  <c r="M166" i="5"/>
  <c r="M64" i="5"/>
  <c r="H108" i="3"/>
  <c r="H58" i="3"/>
  <c r="H41" i="3"/>
  <c r="M96" i="5"/>
  <c r="H101" i="3"/>
  <c r="H50" i="3"/>
  <c r="H69" i="3"/>
  <c r="H86" i="3"/>
  <c r="H115" i="3"/>
  <c r="H12" i="3"/>
  <c r="M15" i="5"/>
  <c r="H135" i="3"/>
  <c r="H124" i="3"/>
  <c r="H109" i="3"/>
  <c r="M125" i="5"/>
  <c r="N125" i="5"/>
  <c r="M19" i="5"/>
  <c r="M162" i="5"/>
  <c r="M89" i="5"/>
  <c r="M176" i="5"/>
  <c r="M58" i="5"/>
  <c r="M41" i="5"/>
  <c r="M35" i="5"/>
  <c r="M98" i="5"/>
  <c r="H132" i="3"/>
  <c r="M165" i="5"/>
  <c r="D42" i="55"/>
  <c r="D35" i="55"/>
  <c r="D49" i="55"/>
  <c r="C32" i="24"/>
  <c r="D14" i="55"/>
  <c r="D7" i="55"/>
  <c r="D21" i="55"/>
  <c r="D28" i="55"/>
  <c r="D32" i="1"/>
  <c r="N38" i="5"/>
  <c r="E26" i="1"/>
  <c r="D26" i="24"/>
  <c r="M25" i="47"/>
  <c r="C114" i="24"/>
  <c r="D114" i="1"/>
  <c r="M20" i="47"/>
  <c r="M131" i="47"/>
  <c r="D118" i="5"/>
  <c r="D69" i="24"/>
  <c r="E69" i="1"/>
  <c r="H53" i="3"/>
  <c r="M174" i="5"/>
  <c r="N174" i="5"/>
  <c r="H83" i="3"/>
  <c r="M20" i="5"/>
  <c r="N20" i="5"/>
  <c r="N73" i="5"/>
  <c r="E59" i="5"/>
  <c r="E59" i="24"/>
  <c r="N100" i="5"/>
  <c r="E100" i="5"/>
  <c r="E100" i="24"/>
  <c r="H157" i="1"/>
  <c r="L53" i="1"/>
  <c r="O53" i="1"/>
  <c r="E38" i="5"/>
  <c r="E38" i="24"/>
  <c r="H184" i="1"/>
  <c r="L62" i="1"/>
  <c r="O62" i="1"/>
  <c r="H181" i="1"/>
  <c r="L61" i="1"/>
  <c r="Q61" i="1"/>
  <c r="H106" i="1"/>
  <c r="L36" i="1"/>
  <c r="S36" i="1"/>
  <c r="E96" i="5"/>
  <c r="E96" i="24"/>
  <c r="G96" i="1"/>
  <c r="N96" i="5"/>
  <c r="G165" i="1"/>
  <c r="E165" i="5"/>
  <c r="E165" i="24"/>
  <c r="N165" i="5"/>
  <c r="G177" i="1"/>
  <c r="H177" i="1"/>
  <c r="K60" i="1"/>
  <c r="E177" i="5"/>
  <c r="E177" i="24"/>
  <c r="N177" i="5"/>
  <c r="E173" i="5"/>
  <c r="E173" i="24"/>
  <c r="G173" i="1"/>
  <c r="D170" i="24"/>
  <c r="E170" i="1"/>
  <c r="E44" i="1"/>
  <c r="D44" i="24"/>
  <c r="D185" i="24"/>
  <c r="E185" i="1"/>
  <c r="E132" i="1"/>
  <c r="X132" i="1"/>
  <c r="Z45" i="1"/>
  <c r="D132" i="24"/>
  <c r="E20" i="1"/>
  <c r="D20" i="24"/>
  <c r="X158" i="1"/>
  <c r="Y54" i="1"/>
  <c r="G57" i="1"/>
  <c r="E57" i="5"/>
  <c r="E57" i="24"/>
  <c r="E126" i="1"/>
  <c r="D126" i="24"/>
  <c r="M169" i="5"/>
  <c r="M55" i="5"/>
  <c r="M9" i="5"/>
  <c r="M33" i="5"/>
  <c r="M76" i="5"/>
  <c r="M13" i="5"/>
  <c r="X45" i="1"/>
  <c r="Z16" i="1"/>
  <c r="G133" i="1"/>
  <c r="E133" i="5"/>
  <c r="E133" i="24"/>
  <c r="E96" i="1"/>
  <c r="X96" i="1"/>
  <c r="Z33" i="1"/>
  <c r="D96" i="24"/>
  <c r="G50" i="1"/>
  <c r="E50" i="5"/>
  <c r="E50" i="24"/>
  <c r="E164" i="1"/>
  <c r="D164" i="24"/>
  <c r="G196" i="1"/>
  <c r="E196" i="5"/>
  <c r="E196" i="24"/>
  <c r="E144" i="5"/>
  <c r="E144" i="24"/>
  <c r="G144" i="1"/>
  <c r="X134" i="1"/>
  <c r="Y46" i="1"/>
  <c r="G132" i="1"/>
  <c r="H132" i="1"/>
  <c r="K45" i="1"/>
  <c r="E132" i="5"/>
  <c r="E132" i="24"/>
  <c r="E29" i="5"/>
  <c r="E29" i="24"/>
  <c r="G29" i="1"/>
  <c r="N29" i="5"/>
  <c r="O47" i="55"/>
  <c r="E155" i="1"/>
  <c r="D155" i="24"/>
  <c r="E49" i="5"/>
  <c r="E49" i="24"/>
  <c r="G49" i="1"/>
  <c r="H49" i="1"/>
  <c r="L17" i="1"/>
  <c r="N49" i="5"/>
  <c r="AC7" i="1"/>
  <c r="E115" i="1"/>
  <c r="D115" i="24"/>
  <c r="D42" i="24"/>
  <c r="E42" i="1"/>
  <c r="X42" i="1"/>
  <c r="Z15" i="1"/>
  <c r="E116" i="1"/>
  <c r="D116" i="24"/>
  <c r="E63" i="1"/>
  <c r="D63" i="24"/>
  <c r="X162" i="1"/>
  <c r="Z55" i="1"/>
  <c r="D186" i="24"/>
  <c r="E186" i="1"/>
  <c r="X186" i="1"/>
  <c r="Z63" i="1"/>
  <c r="AD17" i="1"/>
  <c r="E151" i="1"/>
  <c r="D151" i="24"/>
  <c r="D191" i="24"/>
  <c r="E191" i="1"/>
  <c r="R41" i="1"/>
  <c r="M41" i="1"/>
  <c r="T41" i="1"/>
  <c r="S61" i="1"/>
  <c r="E95" i="1"/>
  <c r="D95" i="24"/>
  <c r="G58" i="1"/>
  <c r="H58" i="1"/>
  <c r="L20" i="1"/>
  <c r="O20" i="1"/>
  <c r="E58" i="5"/>
  <c r="E58" i="24"/>
  <c r="N58" i="5"/>
  <c r="G19" i="1"/>
  <c r="E19" i="5"/>
  <c r="E19" i="24"/>
  <c r="N19" i="5"/>
  <c r="M175" i="5"/>
  <c r="M99" i="5"/>
  <c r="M128" i="5"/>
  <c r="M97" i="5"/>
  <c r="E153" i="1"/>
  <c r="X153" i="1"/>
  <c r="Z52" i="1"/>
  <c r="D153" i="24"/>
  <c r="D172" i="24"/>
  <c r="E172" i="1"/>
  <c r="X172" i="1"/>
  <c r="AA58" i="1"/>
  <c r="X176" i="1"/>
  <c r="Y60" i="1"/>
  <c r="M90" i="5"/>
  <c r="M36" i="5"/>
  <c r="E61" i="5"/>
  <c r="E61" i="24"/>
  <c r="G61" i="1"/>
  <c r="D190" i="24"/>
  <c r="E190" i="1"/>
  <c r="X190" i="1"/>
  <c r="AA64" i="1"/>
  <c r="AD64" i="1"/>
  <c r="E196" i="1"/>
  <c r="X196" i="1"/>
  <c r="AA66" i="1"/>
  <c r="D196" i="24"/>
  <c r="M138" i="5"/>
  <c r="M136" i="5"/>
  <c r="M171" i="5"/>
  <c r="M31" i="5"/>
  <c r="X41" i="1"/>
  <c r="Y15" i="1"/>
  <c r="AB15" i="1"/>
  <c r="E50" i="1"/>
  <c r="D50" i="24"/>
  <c r="G37" i="1"/>
  <c r="E37" i="5"/>
  <c r="E37" i="24"/>
  <c r="D17" i="24"/>
  <c r="E17" i="1"/>
  <c r="D51" i="24"/>
  <c r="E51" i="1"/>
  <c r="D57" i="24"/>
  <c r="E57" i="1"/>
  <c r="X57" i="1"/>
  <c r="Z20" i="1"/>
  <c r="D174" i="24"/>
  <c r="E174" i="1"/>
  <c r="X174" i="1"/>
  <c r="Z59" i="1"/>
  <c r="X82" i="1"/>
  <c r="AA28" i="1"/>
  <c r="M32" i="1"/>
  <c r="T32" i="1"/>
  <c r="Q51" i="13"/>
  <c r="R32" i="1"/>
  <c r="X56" i="1"/>
  <c r="Y20" i="1"/>
  <c r="AB20" i="1"/>
  <c r="G154" i="1"/>
  <c r="E154" i="5"/>
  <c r="E154" i="24"/>
  <c r="G155" i="1"/>
  <c r="E155" i="5"/>
  <c r="E155" i="24"/>
  <c r="G10" i="1"/>
  <c r="H10" i="1"/>
  <c r="L4" i="1"/>
  <c r="E10" i="5"/>
  <c r="E10" i="24"/>
  <c r="N10" i="5"/>
  <c r="D30" i="24"/>
  <c r="E30" i="1"/>
  <c r="X30" i="1"/>
  <c r="Z11" i="1"/>
  <c r="D53" i="24"/>
  <c r="E53" i="1"/>
  <c r="E165" i="1"/>
  <c r="D165" i="24"/>
  <c r="E148" i="1"/>
  <c r="X148" i="1"/>
  <c r="AA50" i="1"/>
  <c r="D148" i="24"/>
  <c r="Q40" i="55"/>
  <c r="O40" i="55"/>
  <c r="S40" i="55"/>
  <c r="G141" i="1"/>
  <c r="E141" i="5"/>
  <c r="E141" i="24"/>
  <c r="N173" i="5"/>
  <c r="E68" i="5"/>
  <c r="E68" i="24"/>
  <c r="G68" i="1"/>
  <c r="N68" i="5"/>
  <c r="G140" i="1"/>
  <c r="E140" i="5"/>
  <c r="E140" i="24"/>
  <c r="N140" i="5"/>
  <c r="N74" i="5"/>
  <c r="E74" i="5"/>
  <c r="E74" i="24"/>
  <c r="G74" i="1"/>
  <c r="D169" i="24"/>
  <c r="E169" i="1"/>
  <c r="X54" i="1"/>
  <c r="Z19" i="1"/>
  <c r="H54" i="1"/>
  <c r="K19" i="1"/>
  <c r="D46" i="24"/>
  <c r="E46" i="1"/>
  <c r="X46" i="1"/>
  <c r="AA16" i="1"/>
  <c r="AD4" i="1"/>
  <c r="X65" i="1"/>
  <c r="Y23" i="1"/>
  <c r="D25" i="24"/>
  <c r="E25" i="1"/>
  <c r="E22" i="1"/>
  <c r="X22" i="1"/>
  <c r="AA8" i="1"/>
  <c r="D22" i="24"/>
  <c r="E193" i="1"/>
  <c r="D193" i="24"/>
  <c r="AD49" i="1"/>
  <c r="U10" i="1"/>
  <c r="H186" i="1"/>
  <c r="K63" i="1"/>
  <c r="AD22" i="1"/>
  <c r="AC17" i="1"/>
  <c r="AF17" i="1"/>
  <c r="X194" i="1"/>
  <c r="Y66" i="1"/>
  <c r="H194" i="1"/>
  <c r="J66" i="1"/>
  <c r="E70" i="1"/>
  <c r="D70" i="24"/>
  <c r="X69" i="1"/>
  <c r="Z24" i="1"/>
  <c r="G162" i="1"/>
  <c r="H162" i="1"/>
  <c r="K55" i="1"/>
  <c r="E162" i="5"/>
  <c r="E162" i="24"/>
  <c r="N162" i="5"/>
  <c r="AB24" i="1"/>
  <c r="E9" i="1"/>
  <c r="D9" i="24"/>
  <c r="E86" i="1"/>
  <c r="D86" i="24"/>
  <c r="M148" i="5"/>
  <c r="M42" i="5"/>
  <c r="M190" i="5"/>
  <c r="M101" i="5"/>
  <c r="G182" i="1"/>
  <c r="U62" i="1"/>
  <c r="E182" i="5"/>
  <c r="E182" i="24"/>
  <c r="N182" i="5"/>
  <c r="E80" i="5"/>
  <c r="E80" i="24"/>
  <c r="G80" i="1"/>
  <c r="N80" i="5"/>
  <c r="G127" i="1"/>
  <c r="E127" i="5"/>
  <c r="E127" i="24"/>
  <c r="D84" i="24"/>
  <c r="E84" i="1"/>
  <c r="G75" i="1"/>
  <c r="E75" i="5"/>
  <c r="E75" i="24"/>
  <c r="N75" i="5"/>
  <c r="D113" i="24"/>
  <c r="E113" i="1"/>
  <c r="X89" i="1"/>
  <c r="Y31" i="1"/>
  <c r="N57" i="5"/>
  <c r="D195" i="24"/>
  <c r="E195" i="1"/>
  <c r="X188" i="1"/>
  <c r="Y64" i="1"/>
  <c r="H188" i="1"/>
  <c r="J64" i="1"/>
  <c r="E159" i="5"/>
  <c r="E159" i="24"/>
  <c r="G159" i="1"/>
  <c r="X149" i="1"/>
  <c r="Y51" i="1"/>
  <c r="D83" i="24"/>
  <c r="E83" i="1"/>
  <c r="D12" i="24"/>
  <c r="E12" i="1"/>
  <c r="X12" i="1"/>
  <c r="Z5" i="1"/>
  <c r="G63" i="1"/>
  <c r="E63" i="5"/>
  <c r="E63" i="24"/>
  <c r="G149" i="1"/>
  <c r="E149" i="5"/>
  <c r="E149" i="24"/>
  <c r="N149" i="5"/>
  <c r="X123" i="1"/>
  <c r="Z42" i="1"/>
  <c r="D112" i="24"/>
  <c r="E112" i="1"/>
  <c r="X112" i="1"/>
  <c r="AA38" i="1"/>
  <c r="O5" i="55"/>
  <c r="D108" i="24"/>
  <c r="E108" i="1"/>
  <c r="X108" i="1"/>
  <c r="Z37" i="1"/>
  <c r="D109" i="24"/>
  <c r="E109" i="1"/>
  <c r="X109" i="1"/>
  <c r="AA37" i="1"/>
  <c r="D79" i="24"/>
  <c r="E79" i="1"/>
  <c r="E45" i="5"/>
  <c r="E45" i="24"/>
  <c r="G45" i="1"/>
  <c r="H45" i="1"/>
  <c r="K16" i="1"/>
  <c r="N45" i="5"/>
  <c r="X140" i="1"/>
  <c r="Y48" i="1"/>
  <c r="AB48" i="1"/>
  <c r="H140" i="1"/>
  <c r="J48" i="1"/>
  <c r="D127" i="24"/>
  <c r="E127" i="1"/>
  <c r="AC21" i="1"/>
  <c r="Q36" i="1"/>
  <c r="G185" i="1"/>
  <c r="U63" i="1"/>
  <c r="E185" i="5"/>
  <c r="E185" i="24"/>
  <c r="D136" i="24"/>
  <c r="E136" i="1"/>
  <c r="S32" i="1"/>
  <c r="O32" i="1"/>
  <c r="Q32" i="1"/>
  <c r="X38" i="1"/>
  <c r="Y14" i="1"/>
  <c r="H38" i="1"/>
  <c r="J14" i="1"/>
  <c r="D32" i="24"/>
  <c r="E49" i="55"/>
  <c r="F49" i="55"/>
  <c r="J47" i="55"/>
  <c r="E35" i="55"/>
  <c r="F35" i="55"/>
  <c r="J33" i="55"/>
  <c r="E7" i="55"/>
  <c r="F7" i="55"/>
  <c r="J5" i="55"/>
  <c r="E42" i="55"/>
  <c r="F42" i="55"/>
  <c r="J40" i="55"/>
  <c r="E28" i="55"/>
  <c r="F28" i="55"/>
  <c r="J26" i="55"/>
  <c r="E32" i="1"/>
  <c r="E14" i="55"/>
  <c r="F14" i="55"/>
  <c r="J12" i="55"/>
  <c r="E21" i="55"/>
  <c r="F21" i="55"/>
  <c r="J19" i="55"/>
  <c r="X34" i="1"/>
  <c r="AA12" i="1"/>
  <c r="E67" i="1"/>
  <c r="X67" i="1"/>
  <c r="AA23" i="1"/>
  <c r="AD23" i="1"/>
  <c r="D67" i="24"/>
  <c r="E15" i="5"/>
  <c r="E15" i="24"/>
  <c r="G15" i="1"/>
  <c r="H15" i="1"/>
  <c r="K6" i="1"/>
  <c r="N6" i="1"/>
  <c r="N15" i="5"/>
  <c r="E84" i="5"/>
  <c r="E84" i="24"/>
  <c r="G84" i="1"/>
  <c r="E144" i="1"/>
  <c r="X144" i="1"/>
  <c r="Z49" i="1"/>
  <c r="D144" i="24"/>
  <c r="M118" i="5"/>
  <c r="M115" i="5"/>
  <c r="E164" i="5"/>
  <c r="E164" i="24"/>
  <c r="G164" i="1"/>
  <c r="E175" i="1"/>
  <c r="X175" i="1"/>
  <c r="AA59" i="1"/>
  <c r="AD59" i="1"/>
  <c r="D175" i="24"/>
  <c r="AC60" i="1"/>
  <c r="G24" i="1"/>
  <c r="H24" i="1"/>
  <c r="K9" i="1"/>
  <c r="E24" i="5"/>
  <c r="E24" i="24"/>
  <c r="N24" i="5"/>
  <c r="X143" i="1"/>
  <c r="Y49" i="1"/>
  <c r="E146" i="5"/>
  <c r="E146" i="24"/>
  <c r="G146" i="1"/>
  <c r="N146" i="5"/>
  <c r="X43" i="1"/>
  <c r="AA15" i="1"/>
  <c r="E69" i="5"/>
  <c r="E69" i="24"/>
  <c r="G69" i="1"/>
  <c r="H69" i="1"/>
  <c r="K24" i="1"/>
  <c r="N69" i="5"/>
  <c r="E23" i="5"/>
  <c r="E23" i="24"/>
  <c r="G23" i="1"/>
  <c r="X35" i="1"/>
  <c r="Y13" i="1"/>
  <c r="D103" i="24"/>
  <c r="E103" i="1"/>
  <c r="M7" i="5"/>
  <c r="M135" i="5"/>
  <c r="M11" i="5"/>
  <c r="M108" i="5"/>
  <c r="M113" i="5"/>
  <c r="AD18" i="1"/>
  <c r="O26" i="55"/>
  <c r="E20" i="5"/>
  <c r="E20" i="24"/>
  <c r="G20" i="1"/>
  <c r="X26" i="1"/>
  <c r="Y10" i="1"/>
  <c r="H26" i="1"/>
  <c r="J10" i="1"/>
  <c r="G98" i="1"/>
  <c r="E98" i="5"/>
  <c r="E98" i="24"/>
  <c r="N98" i="5"/>
  <c r="G176" i="1"/>
  <c r="E176" i="5"/>
  <c r="E176" i="24"/>
  <c r="N176" i="5"/>
  <c r="G125" i="1"/>
  <c r="E125" i="5"/>
  <c r="E125" i="24"/>
  <c r="M6" i="5"/>
  <c r="M109" i="5"/>
  <c r="E64" i="5"/>
  <c r="E64" i="24"/>
  <c r="G64" i="1"/>
  <c r="H64" i="1"/>
  <c r="L22" i="1"/>
  <c r="N64" i="5"/>
  <c r="AD62" i="1"/>
  <c r="X75" i="1"/>
  <c r="Z26" i="1"/>
  <c r="H75" i="1"/>
  <c r="K26" i="1"/>
  <c r="X166" i="1"/>
  <c r="AA56" i="1"/>
  <c r="D192" i="24"/>
  <c r="E192" i="1"/>
  <c r="X192" i="1"/>
  <c r="Z65" i="1"/>
  <c r="E142" i="1"/>
  <c r="X142" i="1"/>
  <c r="AA48" i="1"/>
  <c r="D142" i="24"/>
  <c r="E154" i="1"/>
  <c r="D154" i="24"/>
  <c r="E59" i="1"/>
  <c r="D59" i="24"/>
  <c r="AD36" i="1"/>
  <c r="E183" i="1"/>
  <c r="X183" i="1"/>
  <c r="Z62" i="1"/>
  <c r="D183" i="24"/>
  <c r="E193" i="5"/>
  <c r="E193" i="24"/>
  <c r="G193" i="1"/>
  <c r="G21" i="1"/>
  <c r="E21" i="5"/>
  <c r="E21" i="24"/>
  <c r="N87" i="5"/>
  <c r="G87" i="1"/>
  <c r="H87" i="1"/>
  <c r="K30" i="1"/>
  <c r="E87" i="5"/>
  <c r="E87" i="24"/>
  <c r="D33" i="24"/>
  <c r="E33" i="1"/>
  <c r="X33" i="1"/>
  <c r="Z12" i="1"/>
  <c r="N23" i="5"/>
  <c r="E51" i="5"/>
  <c r="E51" i="24"/>
  <c r="G51" i="1"/>
  <c r="X80" i="1"/>
  <c r="Y28" i="1"/>
  <c r="E11" i="1"/>
  <c r="D11" i="24"/>
  <c r="G34" i="1"/>
  <c r="H34" i="1"/>
  <c r="L12" i="1"/>
  <c r="E34" i="5"/>
  <c r="E34" i="24"/>
  <c r="N34" i="5"/>
  <c r="D55" i="24"/>
  <c r="E55" i="1"/>
  <c r="E143" i="5"/>
  <c r="E143" i="24"/>
  <c r="G143" i="1"/>
  <c r="U49" i="1"/>
  <c r="N143" i="5"/>
  <c r="U27" i="1"/>
  <c r="E107" i="5"/>
  <c r="E107" i="24"/>
  <c r="G107" i="1"/>
  <c r="H107" i="1"/>
  <c r="J37" i="1"/>
  <c r="N107" i="5"/>
  <c r="G48" i="1"/>
  <c r="H48" i="1"/>
  <c r="K17" i="1"/>
  <c r="E48" i="5"/>
  <c r="E48" i="24"/>
  <c r="N48" i="5"/>
  <c r="G53" i="1"/>
  <c r="E53" i="5"/>
  <c r="E53" i="24"/>
  <c r="N141" i="5"/>
  <c r="E152" i="1"/>
  <c r="D152" i="24"/>
  <c r="E27" i="55"/>
  <c r="F27" i="55"/>
  <c r="I26" i="55"/>
  <c r="L26" i="55"/>
  <c r="E48" i="55"/>
  <c r="F48" i="55"/>
  <c r="I47" i="55"/>
  <c r="E34" i="55"/>
  <c r="F34" i="55"/>
  <c r="I33" i="55"/>
  <c r="E6" i="55"/>
  <c r="F6" i="55"/>
  <c r="I5" i="55"/>
  <c r="E20" i="55"/>
  <c r="F20" i="55"/>
  <c r="I19" i="55"/>
  <c r="E41" i="55"/>
  <c r="F41" i="55"/>
  <c r="I40" i="55"/>
  <c r="E13" i="55"/>
  <c r="F13" i="55"/>
  <c r="I12" i="55"/>
  <c r="X163" i="1"/>
  <c r="AA55" i="1"/>
  <c r="E124" i="1"/>
  <c r="D124" i="24"/>
  <c r="D105" i="24"/>
  <c r="E105" i="1"/>
  <c r="D16" i="24"/>
  <c r="E16" i="1"/>
  <c r="G104" i="1"/>
  <c r="U36" i="1"/>
  <c r="E104" i="5"/>
  <c r="E104" i="24"/>
  <c r="X146" i="1"/>
  <c r="Y50" i="1"/>
  <c r="AB50" i="1"/>
  <c r="H146" i="1"/>
  <c r="J50" i="1"/>
  <c r="D99" i="24"/>
  <c r="E99" i="1"/>
  <c r="X99" i="1"/>
  <c r="Z34" i="1"/>
  <c r="X161" i="1"/>
  <c r="Y55" i="1"/>
  <c r="AB55" i="1"/>
  <c r="D159" i="24"/>
  <c r="E159" i="1"/>
  <c r="H14" i="1"/>
  <c r="J6" i="1"/>
  <c r="G112" i="1"/>
  <c r="E112" i="5"/>
  <c r="E112" i="24"/>
  <c r="E7" i="1"/>
  <c r="X7" i="1"/>
  <c r="AA3" i="1"/>
  <c r="D7" i="24"/>
  <c r="E28" i="1"/>
  <c r="D28" i="24"/>
  <c r="D110" i="24"/>
  <c r="E110" i="1"/>
  <c r="G18" i="1"/>
  <c r="H18" i="1"/>
  <c r="K7" i="1"/>
  <c r="E18" i="5"/>
  <c r="E18" i="24"/>
  <c r="N18" i="5"/>
  <c r="E158" i="5"/>
  <c r="E158" i="24"/>
  <c r="G158" i="1"/>
  <c r="H158" i="1"/>
  <c r="J54" i="1"/>
  <c r="N158" i="5"/>
  <c r="E122" i="1"/>
  <c r="D122" i="24"/>
  <c r="E171" i="1"/>
  <c r="D171" i="24"/>
  <c r="D85" i="24"/>
  <c r="E85" i="1"/>
  <c r="X85" i="1"/>
  <c r="AA29" i="1"/>
  <c r="E179" i="1"/>
  <c r="D179" i="24"/>
  <c r="Q12" i="55"/>
  <c r="O12" i="55"/>
  <c r="S12" i="55"/>
  <c r="X130" i="1"/>
  <c r="AA44" i="1"/>
  <c r="H130" i="1"/>
  <c r="L44" i="1"/>
  <c r="O19" i="55"/>
  <c r="N134" i="5"/>
  <c r="E134" i="5"/>
  <c r="E134" i="24"/>
  <c r="G134" i="1"/>
  <c r="E173" i="1"/>
  <c r="D173" i="24"/>
  <c r="AD14" i="1"/>
  <c r="G117" i="1"/>
  <c r="E117" i="5"/>
  <c r="E117" i="24"/>
  <c r="E104" i="1"/>
  <c r="D104" i="24"/>
  <c r="G139" i="1"/>
  <c r="H139" i="1"/>
  <c r="L47" i="1"/>
  <c r="E139" i="5"/>
  <c r="E139" i="24"/>
  <c r="N139" i="5"/>
  <c r="E180" i="5"/>
  <c r="E180" i="24"/>
  <c r="G180" i="1"/>
  <c r="H19" i="1"/>
  <c r="L7" i="1"/>
  <c r="O7" i="1"/>
  <c r="X19" i="1"/>
  <c r="AA7" i="1"/>
  <c r="E123" i="5"/>
  <c r="E123" i="24"/>
  <c r="G123" i="1"/>
  <c r="H123" i="1"/>
  <c r="K42" i="1"/>
  <c r="N123" i="5"/>
  <c r="D62" i="24"/>
  <c r="E62" i="1"/>
  <c r="D76" i="24"/>
  <c r="E76" i="1"/>
  <c r="D125" i="24"/>
  <c r="E125" i="1"/>
  <c r="E117" i="1"/>
  <c r="X117" i="1"/>
  <c r="Z40" i="1"/>
  <c r="D117" i="24"/>
  <c r="E129" i="1"/>
  <c r="D129" i="24"/>
  <c r="E111" i="1"/>
  <c r="X111" i="1"/>
  <c r="Z38" i="1"/>
  <c r="D111" i="24"/>
  <c r="D128" i="24"/>
  <c r="E128" i="1"/>
  <c r="AC28" i="1"/>
  <c r="E66" i="1"/>
  <c r="D66" i="24"/>
  <c r="N133" i="5"/>
  <c r="N61" i="5"/>
  <c r="E21" i="1"/>
  <c r="X21" i="1"/>
  <c r="Z8" i="1"/>
  <c r="D21" i="24"/>
  <c r="E27" i="1"/>
  <c r="D27" i="24"/>
  <c r="D47" i="24"/>
  <c r="E47" i="1"/>
  <c r="E147" i="1"/>
  <c r="D147" i="24"/>
  <c r="D6" i="24"/>
  <c r="E6" i="1"/>
  <c r="X6" i="1"/>
  <c r="Z3" i="1"/>
  <c r="N37" i="5"/>
  <c r="AE6" i="1"/>
  <c r="AC6" i="1"/>
  <c r="X97" i="1"/>
  <c r="AA33" i="1"/>
  <c r="X71" i="1"/>
  <c r="Y25" i="1"/>
  <c r="AB25" i="1"/>
  <c r="D5" i="24"/>
  <c r="E5" i="1"/>
  <c r="E36" i="1"/>
  <c r="X36" i="1"/>
  <c r="Z13" i="1"/>
  <c r="D36" i="24"/>
  <c r="G41" i="1"/>
  <c r="E41" i="5"/>
  <c r="E41" i="24"/>
  <c r="N41" i="5"/>
  <c r="G174" i="1"/>
  <c r="H174" i="1"/>
  <c r="K59" i="1"/>
  <c r="E174" i="5"/>
  <c r="E174" i="24"/>
  <c r="D118" i="24"/>
  <c r="E118" i="1"/>
  <c r="E35" i="5"/>
  <c r="E35" i="24"/>
  <c r="G35" i="1"/>
  <c r="H35" i="1"/>
  <c r="J13" i="1"/>
  <c r="N35" i="5"/>
  <c r="E89" i="5"/>
  <c r="E89" i="24"/>
  <c r="G89" i="1"/>
  <c r="H89" i="1"/>
  <c r="J31" i="1"/>
  <c r="M31" i="1"/>
  <c r="N89" i="5"/>
  <c r="M52" i="5"/>
  <c r="M142" i="5"/>
  <c r="E166" i="5"/>
  <c r="E166" i="24"/>
  <c r="G166" i="1"/>
  <c r="H166" i="1"/>
  <c r="L56" i="1"/>
  <c r="O56" i="1"/>
  <c r="N166" i="5"/>
  <c r="X167" i="1"/>
  <c r="Y57" i="1"/>
  <c r="H167" i="1"/>
  <c r="J57" i="1"/>
  <c r="X98" i="1"/>
  <c r="Y34" i="1"/>
  <c r="AB34" i="1"/>
  <c r="E72" i="1"/>
  <c r="X72" i="1"/>
  <c r="Z25" i="1"/>
  <c r="D72" i="24"/>
  <c r="N185" i="5"/>
  <c r="N132" i="5"/>
  <c r="E170" i="5"/>
  <c r="E170" i="24"/>
  <c r="G170" i="1"/>
  <c r="X114" i="1"/>
  <c r="Z39" i="1"/>
  <c r="H114" i="1"/>
  <c r="K39" i="1"/>
  <c r="E13" i="1"/>
  <c r="D13" i="24"/>
  <c r="E23" i="1"/>
  <c r="D23" i="24"/>
  <c r="G46" i="1"/>
  <c r="H46" i="1"/>
  <c r="L16" i="1"/>
  <c r="E46" i="5"/>
  <c r="E46" i="24"/>
  <c r="G65" i="1"/>
  <c r="H65" i="1"/>
  <c r="J23" i="1"/>
  <c r="E65" i="5"/>
  <c r="E65" i="24"/>
  <c r="N65" i="5"/>
  <c r="G191" i="1"/>
  <c r="E191" i="5"/>
  <c r="E191" i="24"/>
  <c r="M12" i="5"/>
  <c r="M40" i="5"/>
  <c r="G71" i="1"/>
  <c r="U25" i="1"/>
  <c r="E71" i="5"/>
  <c r="E71" i="24"/>
  <c r="N71" i="5"/>
  <c r="G102" i="1"/>
  <c r="H102" i="1"/>
  <c r="K35" i="1"/>
  <c r="E102" i="5"/>
  <c r="E102" i="24"/>
  <c r="N102" i="5"/>
  <c r="E60" i="5"/>
  <c r="E60" i="24"/>
  <c r="G60" i="1"/>
  <c r="H60" i="1"/>
  <c r="K21" i="1"/>
  <c r="N60" i="5"/>
  <c r="M189" i="5"/>
  <c r="M156" i="5"/>
  <c r="M152" i="5"/>
  <c r="M179" i="5"/>
  <c r="D141" i="24"/>
  <c r="E141" i="1"/>
  <c r="N84" i="5"/>
  <c r="E16" i="5"/>
  <c r="E16" i="24"/>
  <c r="G16" i="1"/>
  <c r="D178" i="24"/>
  <c r="E178" i="1"/>
  <c r="E78" i="1"/>
  <c r="X78" i="1"/>
  <c r="Z27" i="1"/>
  <c r="D78" i="24"/>
  <c r="E187" i="1"/>
  <c r="X187" i="1"/>
  <c r="AA63" i="1"/>
  <c r="D187" i="24"/>
  <c r="E156" i="1"/>
  <c r="D156" i="24"/>
  <c r="N51" i="1"/>
  <c r="P51" i="1"/>
  <c r="M83" i="5"/>
  <c r="G43" i="1"/>
  <c r="H43" i="1"/>
  <c r="L15" i="1"/>
  <c r="O15" i="1"/>
  <c r="E43" i="5"/>
  <c r="E43" i="24"/>
  <c r="N43" i="5"/>
  <c r="D168" i="24"/>
  <c r="E168" i="1"/>
  <c r="X29" i="1"/>
  <c r="Y11" i="1"/>
  <c r="H29" i="1"/>
  <c r="J11" i="1"/>
  <c r="E90" i="1"/>
  <c r="X90" i="1"/>
  <c r="Z31" i="1"/>
  <c r="D90" i="24"/>
  <c r="D39" i="24"/>
  <c r="E39" i="1"/>
  <c r="X39" i="1"/>
  <c r="Z14" i="1"/>
  <c r="G91" i="1"/>
  <c r="H91" i="1"/>
  <c r="L31" i="1"/>
  <c r="E91" i="5"/>
  <c r="E91" i="24"/>
  <c r="N91" i="5"/>
  <c r="M44" i="5"/>
  <c r="M126" i="5"/>
  <c r="E168" i="5"/>
  <c r="E168" i="24"/>
  <c r="G168" i="1"/>
  <c r="AD61" i="1"/>
  <c r="M151" i="5"/>
  <c r="M122" i="5"/>
  <c r="M160" i="5"/>
  <c r="M22" i="5"/>
  <c r="E192" i="5"/>
  <c r="E192" i="24"/>
  <c r="G192" i="1"/>
  <c r="H192" i="1"/>
  <c r="K65" i="1"/>
  <c r="E8" i="1"/>
  <c r="D8" i="24"/>
  <c r="E56" i="5"/>
  <c r="E56" i="24"/>
  <c r="G56" i="1"/>
  <c r="N56" i="5"/>
  <c r="G161" i="1"/>
  <c r="E161" i="5"/>
  <c r="E161" i="24"/>
  <c r="N161" i="5"/>
  <c r="R2" i="1"/>
  <c r="M2" i="1"/>
  <c r="T2" i="1"/>
  <c r="Q15" i="13"/>
  <c r="N163" i="5"/>
  <c r="G163" i="1"/>
  <c r="H163" i="1"/>
  <c r="L55" i="1"/>
  <c r="E163" i="5"/>
  <c r="E163" i="24"/>
  <c r="D189" i="24"/>
  <c r="E189" i="1"/>
  <c r="X189" i="1"/>
  <c r="Z64" i="1"/>
  <c r="E8" i="5"/>
  <c r="E8" i="24"/>
  <c r="G8" i="1"/>
  <c r="E137" i="1"/>
  <c r="D137" i="24"/>
  <c r="E135" i="1"/>
  <c r="X135" i="1"/>
  <c r="Z46" i="1"/>
  <c r="AC46" i="1"/>
  <c r="D135" i="24"/>
  <c r="S33" i="55"/>
  <c r="O33" i="55"/>
  <c r="Q33" i="55"/>
  <c r="X107" i="1"/>
  <c r="Y37" i="1"/>
  <c r="D77" i="24"/>
  <c r="E77" i="1"/>
  <c r="AC9" i="1"/>
  <c r="N155" i="5"/>
  <c r="G81" i="1"/>
  <c r="H81" i="1"/>
  <c r="K28" i="1"/>
  <c r="E81" i="5"/>
  <c r="E81" i="24"/>
  <c r="N81" i="5"/>
  <c r="N127" i="5"/>
  <c r="AD20" i="1"/>
  <c r="AG20" i="1"/>
  <c r="AC35" i="1"/>
  <c r="X182" i="1"/>
  <c r="Y62" i="1"/>
  <c r="N63" i="5"/>
  <c r="AD47" i="1"/>
  <c r="AD53" i="1"/>
  <c r="D180" i="24"/>
  <c r="E180" i="1"/>
  <c r="E133" i="1"/>
  <c r="X133" i="1"/>
  <c r="AA45" i="1"/>
  <c r="AD45" i="1"/>
  <c r="D133" i="24"/>
  <c r="E101" i="1"/>
  <c r="D101" i="24"/>
  <c r="D138" i="24"/>
  <c r="E138" i="1"/>
  <c r="D131" i="24"/>
  <c r="E131" i="1"/>
  <c r="AC30" i="1"/>
  <c r="D160" i="24"/>
  <c r="E160" i="1"/>
  <c r="M82" i="5"/>
  <c r="M103" i="5"/>
  <c r="E88" i="1"/>
  <c r="D88" i="24"/>
  <c r="D61" i="24"/>
  <c r="E61" i="1"/>
  <c r="M110" i="5"/>
  <c r="M32" i="5"/>
  <c r="M153" i="5"/>
  <c r="M39" i="5"/>
  <c r="M66" i="5"/>
  <c r="N191" i="5"/>
  <c r="H145" i="1"/>
  <c r="L49" i="1"/>
  <c r="D73" i="24"/>
  <c r="E73" i="1"/>
  <c r="D100" i="24"/>
  <c r="E100" i="1"/>
  <c r="D37" i="24"/>
  <c r="E37" i="1"/>
  <c r="X37" i="1"/>
  <c r="AA13" i="1"/>
  <c r="D31" i="24"/>
  <c r="E31" i="1"/>
  <c r="X31" i="1"/>
  <c r="AA11" i="1"/>
  <c r="H183" i="1"/>
  <c r="K62" i="1"/>
  <c r="H172" i="1"/>
  <c r="L58" i="1"/>
  <c r="O61" i="1"/>
  <c r="H67" i="1"/>
  <c r="L23" i="1"/>
  <c r="H112" i="1"/>
  <c r="L38" i="1"/>
  <c r="O38" i="1"/>
  <c r="U60" i="1"/>
  <c r="U20" i="1"/>
  <c r="O36" i="1"/>
  <c r="U6" i="1"/>
  <c r="U21" i="1"/>
  <c r="H117" i="1"/>
  <c r="K40" i="1"/>
  <c r="P40" i="1"/>
  <c r="H85" i="1"/>
  <c r="L29" i="1"/>
  <c r="H196" i="1"/>
  <c r="L66" i="1"/>
  <c r="O66" i="1"/>
  <c r="R66" i="1"/>
  <c r="H133" i="1"/>
  <c r="L45" i="1"/>
  <c r="U22" i="1"/>
  <c r="H71" i="1"/>
  <c r="J25" i="1"/>
  <c r="H143" i="1"/>
  <c r="J49" i="1"/>
  <c r="M49" i="1"/>
  <c r="H30" i="1"/>
  <c r="K11" i="1"/>
  <c r="S55" i="1"/>
  <c r="Q55" i="1"/>
  <c r="O55" i="1"/>
  <c r="S12" i="1"/>
  <c r="Q12" i="1"/>
  <c r="O12" i="1"/>
  <c r="R54" i="1"/>
  <c r="M54" i="1"/>
  <c r="N24" i="1"/>
  <c r="P16" i="1"/>
  <c r="N16" i="1"/>
  <c r="G103" i="1"/>
  <c r="E103" i="5"/>
  <c r="E103" i="24"/>
  <c r="N103" i="5"/>
  <c r="X32" i="1"/>
  <c r="Y12" i="1"/>
  <c r="AB64" i="1"/>
  <c r="AG64" i="1"/>
  <c r="AB23" i="1"/>
  <c r="AG23" i="1"/>
  <c r="G12" i="1"/>
  <c r="H12" i="1"/>
  <c r="K5" i="1"/>
  <c r="E12" i="5"/>
  <c r="E12" i="24"/>
  <c r="N12" i="5"/>
  <c r="E135" i="5"/>
  <c r="E135" i="24"/>
  <c r="G135" i="1"/>
  <c r="H135" i="1"/>
  <c r="K46" i="1"/>
  <c r="N135" i="5"/>
  <c r="M13" i="1"/>
  <c r="G118" i="1"/>
  <c r="U40" i="1"/>
  <c r="E118" i="5"/>
  <c r="E118" i="24"/>
  <c r="N118" i="5"/>
  <c r="H187" i="1"/>
  <c r="L63" i="1"/>
  <c r="O63" i="1"/>
  <c r="AD12" i="1"/>
  <c r="P26" i="55"/>
  <c r="S26" i="55"/>
  <c r="M26" i="55"/>
  <c r="Q26" i="55"/>
  <c r="P47" i="55"/>
  <c r="S47" i="55"/>
  <c r="M47" i="55"/>
  <c r="Q47" i="55"/>
  <c r="R48" i="1"/>
  <c r="M48" i="1"/>
  <c r="AC42" i="1"/>
  <c r="X83" i="1"/>
  <c r="Y29" i="1"/>
  <c r="H195" i="1"/>
  <c r="K66" i="1"/>
  <c r="X195" i="1"/>
  <c r="Z66" i="1"/>
  <c r="E148" i="5"/>
  <c r="E148" i="24"/>
  <c r="G148" i="1"/>
  <c r="H148" i="1"/>
  <c r="L50" i="1"/>
  <c r="N148" i="5"/>
  <c r="X9" i="1"/>
  <c r="Z4" i="1"/>
  <c r="Q29" i="1"/>
  <c r="O29" i="1"/>
  <c r="S29" i="1"/>
  <c r="M66" i="1"/>
  <c r="AD8" i="1"/>
  <c r="R23" i="1"/>
  <c r="M23" i="1"/>
  <c r="H68" i="1"/>
  <c r="J24" i="1"/>
  <c r="U24" i="1"/>
  <c r="X53" i="1"/>
  <c r="Y19" i="1"/>
  <c r="H53" i="1"/>
  <c r="J19" i="1"/>
  <c r="AD28" i="1"/>
  <c r="AG28" i="1"/>
  <c r="AF28" i="1"/>
  <c r="X50" i="1"/>
  <c r="Y18" i="1"/>
  <c r="H50" i="1"/>
  <c r="J18" i="1"/>
  <c r="E31" i="5"/>
  <c r="E31" i="24"/>
  <c r="G31" i="1"/>
  <c r="H31" i="1"/>
  <c r="L11" i="1"/>
  <c r="N31" i="5"/>
  <c r="H176" i="1"/>
  <c r="J60" i="1"/>
  <c r="G99" i="1"/>
  <c r="H99" i="1"/>
  <c r="K34" i="1"/>
  <c r="E99" i="5"/>
  <c r="E99" i="24"/>
  <c r="N99" i="5"/>
  <c r="N11" i="1"/>
  <c r="P11" i="1"/>
  <c r="X191" i="1"/>
  <c r="Y65" i="1"/>
  <c r="H191" i="1"/>
  <c r="J65" i="1"/>
  <c r="N55" i="1"/>
  <c r="H144" i="1"/>
  <c r="K49" i="1"/>
  <c r="G33" i="1"/>
  <c r="H33" i="1"/>
  <c r="K12" i="1"/>
  <c r="E33" i="5"/>
  <c r="E33" i="24"/>
  <c r="N33" i="5"/>
  <c r="N60" i="1"/>
  <c r="N62" i="1"/>
  <c r="Q62" i="1"/>
  <c r="G153" i="1"/>
  <c r="H153" i="1"/>
  <c r="K52" i="1"/>
  <c r="E153" i="5"/>
  <c r="E153" i="24"/>
  <c r="N153" i="5"/>
  <c r="X138" i="1"/>
  <c r="Z47" i="1"/>
  <c r="N28" i="1"/>
  <c r="P28" i="1"/>
  <c r="X77" i="1"/>
  <c r="Y27" i="1"/>
  <c r="H77" i="1"/>
  <c r="J27" i="1"/>
  <c r="N65" i="1"/>
  <c r="P65" i="1"/>
  <c r="AB11" i="1"/>
  <c r="E156" i="5"/>
  <c r="E156" i="24"/>
  <c r="G156" i="1"/>
  <c r="U53" i="1"/>
  <c r="N156" i="5"/>
  <c r="N35" i="1"/>
  <c r="G142" i="1"/>
  <c r="H142" i="1"/>
  <c r="L48" i="1"/>
  <c r="E142" i="5"/>
  <c r="E142" i="24"/>
  <c r="N142" i="5"/>
  <c r="X118" i="1"/>
  <c r="AA40" i="1"/>
  <c r="X128" i="1"/>
  <c r="Y44" i="1"/>
  <c r="X125" i="1"/>
  <c r="Y43" i="1"/>
  <c r="H125" i="1"/>
  <c r="J43" i="1"/>
  <c r="R19" i="55"/>
  <c r="L19" i="55"/>
  <c r="P19" i="55"/>
  <c r="S19" i="55"/>
  <c r="N17" i="1"/>
  <c r="X55" i="1"/>
  <c r="AA19" i="1"/>
  <c r="N30" i="1"/>
  <c r="AC65" i="1"/>
  <c r="N26" i="1"/>
  <c r="P26" i="1"/>
  <c r="AD15" i="1"/>
  <c r="AG15" i="1"/>
  <c r="M33" i="55"/>
  <c r="P33" i="55"/>
  <c r="X136" i="1"/>
  <c r="AA46" i="1"/>
  <c r="P42" i="1"/>
  <c r="N42" i="1"/>
  <c r="AB51" i="1"/>
  <c r="AE51" i="1"/>
  <c r="G42" i="1"/>
  <c r="H42" i="1"/>
  <c r="K15" i="1"/>
  <c r="E42" i="5"/>
  <c r="E42" i="24"/>
  <c r="N42" i="5"/>
  <c r="AC24" i="1"/>
  <c r="AE24" i="1"/>
  <c r="N63" i="1"/>
  <c r="Q63" i="1"/>
  <c r="P63" i="1"/>
  <c r="X165" i="1"/>
  <c r="Z56" i="1"/>
  <c r="H165" i="1"/>
  <c r="K56" i="1"/>
  <c r="H56" i="1"/>
  <c r="J20" i="1"/>
  <c r="X17" i="1"/>
  <c r="Y7" i="1"/>
  <c r="H17" i="1"/>
  <c r="J7" i="1"/>
  <c r="E138" i="5"/>
  <c r="E138" i="24"/>
  <c r="G138" i="1"/>
  <c r="U47" i="1"/>
  <c r="N138" i="5"/>
  <c r="G128" i="1"/>
  <c r="U44" i="1"/>
  <c r="E128" i="5"/>
  <c r="E128" i="24"/>
  <c r="N128" i="5"/>
  <c r="X63" i="1"/>
  <c r="Z22" i="1"/>
  <c r="H63" i="1"/>
  <c r="K22" i="1"/>
  <c r="AB46" i="1"/>
  <c r="O45" i="1"/>
  <c r="E169" i="5"/>
  <c r="E169" i="24"/>
  <c r="G169" i="1"/>
  <c r="U57" i="1"/>
  <c r="N169" i="5"/>
  <c r="N82" i="5"/>
  <c r="E82" i="5"/>
  <c r="E82" i="24"/>
  <c r="G82" i="1"/>
  <c r="H82" i="1"/>
  <c r="L28" i="1"/>
  <c r="G151" i="1"/>
  <c r="H151" i="1"/>
  <c r="L51" i="1"/>
  <c r="E151" i="5"/>
  <c r="E151" i="24"/>
  <c r="N151" i="5"/>
  <c r="H168" i="1"/>
  <c r="K57" i="1"/>
  <c r="X168" i="1"/>
  <c r="Z57" i="1"/>
  <c r="N52" i="5"/>
  <c r="G52" i="1"/>
  <c r="H52" i="1"/>
  <c r="L18" i="1"/>
  <c r="E52" i="5"/>
  <c r="E52" i="24"/>
  <c r="AC13" i="1"/>
  <c r="AF13" i="1"/>
  <c r="X66" i="1"/>
  <c r="Z23" i="1"/>
  <c r="X129" i="1"/>
  <c r="Z44" i="1"/>
  <c r="H129" i="1"/>
  <c r="K44" i="1"/>
  <c r="Q47" i="1"/>
  <c r="O47" i="1"/>
  <c r="S47" i="1"/>
  <c r="N40" i="1"/>
  <c r="X173" i="1"/>
  <c r="Y59" i="1"/>
  <c r="H173" i="1"/>
  <c r="J59" i="1"/>
  <c r="X179" i="1"/>
  <c r="Y61" i="1"/>
  <c r="X171" i="1"/>
  <c r="Z58" i="1"/>
  <c r="N7" i="1"/>
  <c r="Q7" i="1"/>
  <c r="P7" i="1"/>
  <c r="S7" i="1"/>
  <c r="H28" i="1"/>
  <c r="L10" i="1"/>
  <c r="X28" i="1"/>
  <c r="AA10" i="1"/>
  <c r="AD55" i="1"/>
  <c r="AG55" i="1"/>
  <c r="H154" i="1"/>
  <c r="L52" i="1"/>
  <c r="X154" i="1"/>
  <c r="AA52" i="1"/>
  <c r="R10" i="1"/>
  <c r="M10" i="1"/>
  <c r="U7" i="1"/>
  <c r="AD13" i="1"/>
  <c r="AG13" i="1"/>
  <c r="X73" i="1"/>
  <c r="AA25" i="1"/>
  <c r="H73" i="1"/>
  <c r="L25" i="1"/>
  <c r="E66" i="5"/>
  <c r="E66" i="24"/>
  <c r="G66" i="1"/>
  <c r="H66" i="1"/>
  <c r="K23" i="1"/>
  <c r="N66" i="5"/>
  <c r="G110" i="1"/>
  <c r="U38" i="1"/>
  <c r="E110" i="5"/>
  <c r="E110" i="24"/>
  <c r="N110" i="5"/>
  <c r="X88" i="1"/>
  <c r="AA30" i="1"/>
  <c r="H88" i="1"/>
  <c r="L30" i="1"/>
  <c r="X160" i="1"/>
  <c r="AA54" i="1"/>
  <c r="X131" i="1"/>
  <c r="Y45" i="1"/>
  <c r="H131" i="1"/>
  <c r="J45" i="1"/>
  <c r="X180" i="1"/>
  <c r="Z61" i="1"/>
  <c r="H180" i="1"/>
  <c r="K61" i="1"/>
  <c r="H182" i="1"/>
  <c r="J62" i="1"/>
  <c r="M37" i="1"/>
  <c r="H137" i="1"/>
  <c r="J47" i="1"/>
  <c r="X137" i="1"/>
  <c r="Y47" i="1"/>
  <c r="U55" i="1"/>
  <c r="G22" i="1"/>
  <c r="H22" i="1"/>
  <c r="L8" i="1"/>
  <c r="E22" i="5"/>
  <c r="E22" i="24"/>
  <c r="N22" i="5"/>
  <c r="G126" i="1"/>
  <c r="U43" i="1"/>
  <c r="E126" i="5"/>
  <c r="E126" i="24"/>
  <c r="N126" i="5"/>
  <c r="O31" i="1"/>
  <c r="R31" i="1"/>
  <c r="AC31" i="1"/>
  <c r="AF31" i="1"/>
  <c r="G83" i="1"/>
  <c r="U29" i="1"/>
  <c r="E83" i="5"/>
  <c r="E83" i="24"/>
  <c r="N83" i="5"/>
  <c r="X156" i="1"/>
  <c r="Z53" i="1"/>
  <c r="AC27" i="1"/>
  <c r="E179" i="5"/>
  <c r="E179" i="24"/>
  <c r="G179" i="1"/>
  <c r="U61" i="1"/>
  <c r="N179" i="5"/>
  <c r="X23" i="1"/>
  <c r="Y9" i="1"/>
  <c r="H23" i="1"/>
  <c r="J9" i="1"/>
  <c r="AC39" i="1"/>
  <c r="X5" i="1"/>
  <c r="Y3" i="1"/>
  <c r="AB3" i="1"/>
  <c r="AE3" i="1"/>
  <c r="AH3" i="1"/>
  <c r="H5" i="1"/>
  <c r="J3" i="1"/>
  <c r="AD33" i="1"/>
  <c r="X147" i="1"/>
  <c r="Z50" i="1"/>
  <c r="H147" i="1"/>
  <c r="K50" i="1"/>
  <c r="H27" i="1"/>
  <c r="K10" i="1"/>
  <c r="X27" i="1"/>
  <c r="Z10" i="1"/>
  <c r="O58" i="1"/>
  <c r="Q58" i="1"/>
  <c r="X62" i="1"/>
  <c r="Y22" i="1"/>
  <c r="H62" i="1"/>
  <c r="J22" i="1"/>
  <c r="AD29" i="1"/>
  <c r="X110" i="1"/>
  <c r="Y38" i="1"/>
  <c r="H110" i="1"/>
  <c r="J38" i="1"/>
  <c r="H161" i="1"/>
  <c r="J55" i="1"/>
  <c r="M50" i="1"/>
  <c r="X16" i="1"/>
  <c r="AA6" i="1"/>
  <c r="H16" i="1"/>
  <c r="L6" i="1"/>
  <c r="L12" i="55"/>
  <c r="R12" i="55"/>
  <c r="L33" i="55"/>
  <c r="R33" i="55"/>
  <c r="X152" i="1"/>
  <c r="Y52" i="1"/>
  <c r="X11" i="1"/>
  <c r="Y5" i="1"/>
  <c r="AB10" i="1"/>
  <c r="R26" i="55"/>
  <c r="E113" i="5"/>
  <c r="E113" i="24"/>
  <c r="G113" i="1"/>
  <c r="N113" i="5"/>
  <c r="E7" i="5"/>
  <c r="E7" i="24"/>
  <c r="G7" i="1"/>
  <c r="H7" i="1"/>
  <c r="L3" i="1"/>
  <c r="N7" i="5"/>
  <c r="AB13" i="1"/>
  <c r="AE13" i="1"/>
  <c r="AH13" i="1"/>
  <c r="AB49" i="1"/>
  <c r="AE49" i="1"/>
  <c r="AH49" i="1"/>
  <c r="AG49" i="1"/>
  <c r="U56" i="1"/>
  <c r="M19" i="55"/>
  <c r="Q19" i="55"/>
  <c r="M40" i="55"/>
  <c r="X79" i="1"/>
  <c r="AA27" i="1"/>
  <c r="H79" i="1"/>
  <c r="L27" i="1"/>
  <c r="AC37" i="1"/>
  <c r="AD38" i="1"/>
  <c r="X113" i="1"/>
  <c r="Y39" i="1"/>
  <c r="E101" i="5"/>
  <c r="E101" i="24"/>
  <c r="G101" i="1"/>
  <c r="U35" i="1"/>
  <c r="N101" i="5"/>
  <c r="H78" i="1"/>
  <c r="K27" i="1"/>
  <c r="AB66" i="1"/>
  <c r="X25" i="1"/>
  <c r="AA9" i="1"/>
  <c r="H25" i="1"/>
  <c r="L9" i="1"/>
  <c r="N19" i="1"/>
  <c r="H74" i="1"/>
  <c r="J26" i="1"/>
  <c r="AD50" i="1"/>
  <c r="AG50" i="1"/>
  <c r="AC59" i="1"/>
  <c r="AF59" i="1"/>
  <c r="X51" i="1"/>
  <c r="Z18" i="1"/>
  <c r="H51" i="1"/>
  <c r="K18" i="1"/>
  <c r="U66" i="1"/>
  <c r="E171" i="5"/>
  <c r="E171" i="24"/>
  <c r="G171" i="1"/>
  <c r="U58" i="1"/>
  <c r="N171" i="5"/>
  <c r="AD66" i="1"/>
  <c r="AG66" i="1"/>
  <c r="AB60" i="1"/>
  <c r="AC52" i="1"/>
  <c r="G175" i="1"/>
  <c r="H175" i="1"/>
  <c r="L59" i="1"/>
  <c r="E175" i="5"/>
  <c r="E175" i="24"/>
  <c r="N175" i="5"/>
  <c r="AC55" i="1"/>
  <c r="AF55" i="1"/>
  <c r="AE55" i="1"/>
  <c r="AH55" i="1"/>
  <c r="X116" i="1"/>
  <c r="Y40" i="1"/>
  <c r="H116" i="1"/>
  <c r="J40" i="1"/>
  <c r="X115" i="1"/>
  <c r="AA39" i="1"/>
  <c r="X155" i="1"/>
  <c r="Y53" i="1"/>
  <c r="H155" i="1"/>
  <c r="J53" i="1"/>
  <c r="P45" i="1"/>
  <c r="S45" i="1"/>
  <c r="N45" i="1"/>
  <c r="Q45" i="1"/>
  <c r="X164" i="1"/>
  <c r="Y56" i="1"/>
  <c r="AB56" i="1"/>
  <c r="H164" i="1"/>
  <c r="J56" i="1"/>
  <c r="AC33" i="1"/>
  <c r="AF33" i="1"/>
  <c r="AC16" i="1"/>
  <c r="AF16" i="1"/>
  <c r="G9" i="1"/>
  <c r="H9" i="1"/>
  <c r="K4" i="1"/>
  <c r="E9" i="5"/>
  <c r="E9" i="24"/>
  <c r="N9" i="5"/>
  <c r="X126" i="1"/>
  <c r="Z43" i="1"/>
  <c r="AB54" i="1"/>
  <c r="AC45" i="1"/>
  <c r="AF45" i="1"/>
  <c r="X44" i="1"/>
  <c r="Y16" i="1"/>
  <c r="AB16" i="1"/>
  <c r="AE16" i="1"/>
  <c r="AH16" i="1"/>
  <c r="H96" i="1"/>
  <c r="K33" i="1"/>
  <c r="AD11" i="1"/>
  <c r="AG11" i="1"/>
  <c r="X100" i="1"/>
  <c r="AA34" i="1"/>
  <c r="H100" i="1"/>
  <c r="L34" i="1"/>
  <c r="O34" i="1"/>
  <c r="O49" i="1"/>
  <c r="Q49" i="1"/>
  <c r="S49" i="1"/>
  <c r="G122" i="1"/>
  <c r="U42" i="1"/>
  <c r="E122" i="5"/>
  <c r="E122" i="24"/>
  <c r="N122" i="5"/>
  <c r="AD63" i="1"/>
  <c r="X141" i="1"/>
  <c r="Z48" i="1"/>
  <c r="H141" i="1"/>
  <c r="K48" i="1"/>
  <c r="N40" i="5"/>
  <c r="E40" i="5"/>
  <c r="E40" i="24"/>
  <c r="G40" i="1"/>
  <c r="H40" i="1"/>
  <c r="L14" i="1"/>
  <c r="O14" i="1"/>
  <c r="O16" i="1"/>
  <c r="Q16" i="1"/>
  <c r="S16" i="1"/>
  <c r="X13" i="1"/>
  <c r="AA5" i="1"/>
  <c r="AD5" i="1"/>
  <c r="AE25" i="1"/>
  <c r="AC25" i="1"/>
  <c r="AB57" i="1"/>
  <c r="M25" i="1"/>
  <c r="AC8" i="1"/>
  <c r="AF8" i="1"/>
  <c r="X76" i="1"/>
  <c r="AA26" i="1"/>
  <c r="AD44" i="1"/>
  <c r="X159" i="1"/>
  <c r="Z54" i="1"/>
  <c r="H159" i="1"/>
  <c r="K54" i="1"/>
  <c r="AE34" i="1"/>
  <c r="AC34" i="1"/>
  <c r="X105" i="1"/>
  <c r="Z36" i="1"/>
  <c r="H105" i="1"/>
  <c r="K36" i="1"/>
  <c r="AB28" i="1"/>
  <c r="E6" i="5"/>
  <c r="E6" i="24"/>
  <c r="G6" i="1"/>
  <c r="N6" i="5"/>
  <c r="E11" i="5"/>
  <c r="E11" i="24"/>
  <c r="G11" i="1"/>
  <c r="H11" i="1"/>
  <c r="J5" i="1"/>
  <c r="N11" i="5"/>
  <c r="E115" i="5"/>
  <c r="E115" i="24"/>
  <c r="G115" i="1"/>
  <c r="H115" i="1"/>
  <c r="L39" i="1"/>
  <c r="O39" i="1"/>
  <c r="N115" i="5"/>
  <c r="AG14" i="1"/>
  <c r="AB14" i="1"/>
  <c r="AE14" i="1"/>
  <c r="AH14" i="1"/>
  <c r="H72" i="1"/>
  <c r="K25" i="1"/>
  <c r="AD37" i="1"/>
  <c r="AG37" i="1"/>
  <c r="AF37" i="1"/>
  <c r="U51" i="1"/>
  <c r="AG31" i="1"/>
  <c r="AB31" i="1"/>
  <c r="AE31" i="1"/>
  <c r="AH31" i="1"/>
  <c r="X70" i="1"/>
  <c r="AA24" i="1"/>
  <c r="H70" i="1"/>
  <c r="L24" i="1"/>
  <c r="AD16" i="1"/>
  <c r="H169" i="1"/>
  <c r="L57" i="1"/>
  <c r="X169" i="1"/>
  <c r="AA57" i="1"/>
  <c r="AE20" i="1"/>
  <c r="AH20" i="1"/>
  <c r="AC20" i="1"/>
  <c r="AF20" i="1"/>
  <c r="G90" i="1"/>
  <c r="H90" i="1"/>
  <c r="K31" i="1"/>
  <c r="E90" i="5"/>
  <c r="E90" i="24"/>
  <c r="N90" i="5"/>
  <c r="X151" i="1"/>
  <c r="AA51" i="1"/>
  <c r="G76" i="1"/>
  <c r="U26" i="1"/>
  <c r="E76" i="5"/>
  <c r="E76" i="24"/>
  <c r="N76" i="5"/>
  <c r="H57" i="1"/>
  <c r="K20" i="1"/>
  <c r="H20" i="1"/>
  <c r="J8" i="1"/>
  <c r="X20" i="1"/>
  <c r="Y8" i="1"/>
  <c r="E32" i="5"/>
  <c r="E32" i="24"/>
  <c r="G32" i="1"/>
  <c r="U12" i="1"/>
  <c r="N32" i="5"/>
  <c r="AC64" i="1"/>
  <c r="AF64" i="1"/>
  <c r="E189" i="5"/>
  <c r="E189" i="24"/>
  <c r="G189" i="1"/>
  <c r="N189" i="5"/>
  <c r="P39" i="1"/>
  <c r="N39" i="1"/>
  <c r="H98" i="1"/>
  <c r="J34" i="1"/>
  <c r="L5" i="55"/>
  <c r="P5" i="55"/>
  <c r="S5" i="55"/>
  <c r="R5" i="55"/>
  <c r="AC12" i="1"/>
  <c r="AF12" i="1"/>
  <c r="AE26" i="1"/>
  <c r="AH26" i="1"/>
  <c r="AC26" i="1"/>
  <c r="O22" i="1"/>
  <c r="P9" i="1"/>
  <c r="N9" i="1"/>
  <c r="U45" i="1"/>
  <c r="G39" i="1"/>
  <c r="E39" i="5"/>
  <c r="E39" i="24"/>
  <c r="N39" i="5"/>
  <c r="X61" i="1"/>
  <c r="AA21" i="1"/>
  <c r="H61" i="1"/>
  <c r="L21" i="1"/>
  <c r="U17" i="1"/>
  <c r="X101" i="1"/>
  <c r="Y35" i="1"/>
  <c r="AB35" i="1"/>
  <c r="AE35" i="1"/>
  <c r="AB62" i="1"/>
  <c r="AE62" i="1"/>
  <c r="AH62" i="1"/>
  <c r="AG62" i="1"/>
  <c r="AB37" i="1"/>
  <c r="AE37" i="1"/>
  <c r="AH37" i="1"/>
  <c r="U4" i="1"/>
  <c r="X8" i="1"/>
  <c r="Y4" i="1"/>
  <c r="H8" i="1"/>
  <c r="J4" i="1"/>
  <c r="E160" i="5"/>
  <c r="E160" i="24"/>
  <c r="G160" i="1"/>
  <c r="H160" i="1"/>
  <c r="L54" i="1"/>
  <c r="N160" i="5"/>
  <c r="G44" i="1"/>
  <c r="U16" i="1"/>
  <c r="E44" i="5"/>
  <c r="E44" i="24"/>
  <c r="N44" i="5"/>
  <c r="AC14" i="1"/>
  <c r="AF14" i="1"/>
  <c r="M11" i="1"/>
  <c r="R11" i="1"/>
  <c r="X178" i="1"/>
  <c r="AA60" i="1"/>
  <c r="AD60" i="1"/>
  <c r="AG60" i="1"/>
  <c r="H178" i="1"/>
  <c r="L60" i="1"/>
  <c r="O60" i="1"/>
  <c r="G152" i="1"/>
  <c r="E152" i="5"/>
  <c r="E152" i="24"/>
  <c r="N152" i="5"/>
  <c r="N21" i="1"/>
  <c r="P21" i="1"/>
  <c r="U65" i="1"/>
  <c r="M57" i="1"/>
  <c r="R57" i="1"/>
  <c r="N59" i="1"/>
  <c r="P59" i="1"/>
  <c r="AC3" i="1"/>
  <c r="AF3" i="1"/>
  <c r="X47" i="1"/>
  <c r="Y17" i="1"/>
  <c r="AB17" i="1"/>
  <c r="H47" i="1"/>
  <c r="J17" i="1"/>
  <c r="AC38" i="1"/>
  <c r="AF38" i="1"/>
  <c r="AC40" i="1"/>
  <c r="Q23" i="1"/>
  <c r="S23" i="1"/>
  <c r="O23" i="1"/>
  <c r="AD7" i="1"/>
  <c r="AF7" i="1"/>
  <c r="X104" i="1"/>
  <c r="Y36" i="1"/>
  <c r="AB36" i="1"/>
  <c r="H104" i="1"/>
  <c r="J36" i="1"/>
  <c r="M36" i="1"/>
  <c r="O44" i="1"/>
  <c r="S44" i="1"/>
  <c r="Q44" i="1"/>
  <c r="X122" i="1"/>
  <c r="Y42" i="1"/>
  <c r="AD3" i="1"/>
  <c r="R6" i="1"/>
  <c r="M6" i="1"/>
  <c r="X124" i="1"/>
  <c r="AA42" i="1"/>
  <c r="H124" i="1"/>
  <c r="L42" i="1"/>
  <c r="L40" i="55"/>
  <c r="P40" i="55"/>
  <c r="R40" i="55"/>
  <c r="L47" i="55"/>
  <c r="R47" i="55"/>
  <c r="H80" i="1"/>
  <c r="J28" i="1"/>
  <c r="H21" i="1"/>
  <c r="K8" i="1"/>
  <c r="AC62" i="1"/>
  <c r="AF62" i="1"/>
  <c r="X59" i="1"/>
  <c r="Y21" i="1"/>
  <c r="H59" i="1"/>
  <c r="J21" i="1"/>
  <c r="AD48" i="1"/>
  <c r="AG48" i="1"/>
  <c r="AD56" i="1"/>
  <c r="G109" i="1"/>
  <c r="H109" i="1"/>
  <c r="L37" i="1"/>
  <c r="E109" i="5"/>
  <c r="E109" i="24"/>
  <c r="N109" i="5"/>
  <c r="U8" i="1"/>
  <c r="G108" i="1"/>
  <c r="H108" i="1"/>
  <c r="K37" i="1"/>
  <c r="E108" i="5"/>
  <c r="E108" i="24"/>
  <c r="N108" i="5"/>
  <c r="X103" i="1"/>
  <c r="AA35" i="1"/>
  <c r="H103" i="1"/>
  <c r="L35" i="1"/>
  <c r="U9" i="1"/>
  <c r="AC49" i="1"/>
  <c r="AF49" i="1"/>
  <c r="M12" i="55"/>
  <c r="P12" i="55"/>
  <c r="M5" i="55"/>
  <c r="Q5" i="55"/>
  <c r="M14" i="1"/>
  <c r="R14" i="1"/>
  <c r="H127" i="1"/>
  <c r="L43" i="1"/>
  <c r="X127" i="1"/>
  <c r="AA43" i="1"/>
  <c r="AC5" i="1"/>
  <c r="H149" i="1"/>
  <c r="J51" i="1"/>
  <c r="M64" i="1"/>
  <c r="H84" i="1"/>
  <c r="K29" i="1"/>
  <c r="X84" i="1"/>
  <c r="Z29" i="1"/>
  <c r="U30" i="1"/>
  <c r="G190" i="1"/>
  <c r="H190" i="1"/>
  <c r="L64" i="1"/>
  <c r="E190" i="5"/>
  <c r="E190" i="24"/>
  <c r="N190" i="5"/>
  <c r="X86" i="1"/>
  <c r="Y30" i="1"/>
  <c r="H86" i="1"/>
  <c r="J30" i="1"/>
  <c r="X193" i="1"/>
  <c r="AA65" i="1"/>
  <c r="H193" i="1"/>
  <c r="L65" i="1"/>
  <c r="O65" i="1"/>
  <c r="AC19" i="1"/>
  <c r="AC11" i="1"/>
  <c r="AF11" i="1"/>
  <c r="AE11" i="1"/>
  <c r="AH11" i="1"/>
  <c r="O4" i="1"/>
  <c r="S4" i="1"/>
  <c r="Q4" i="1"/>
  <c r="H37" i="1"/>
  <c r="L13" i="1"/>
  <c r="H41" i="1"/>
  <c r="J15" i="1"/>
  <c r="G136" i="1"/>
  <c r="H136" i="1"/>
  <c r="L46" i="1"/>
  <c r="E136" i="5"/>
  <c r="E136" i="24"/>
  <c r="N136" i="5"/>
  <c r="E36" i="5"/>
  <c r="E36" i="24"/>
  <c r="G36" i="1"/>
  <c r="H36" i="1"/>
  <c r="K13" i="1"/>
  <c r="N36" i="5"/>
  <c r="AD58" i="1"/>
  <c r="E97" i="5"/>
  <c r="E97" i="24"/>
  <c r="G97" i="1"/>
  <c r="N97" i="5"/>
  <c r="X95" i="1"/>
  <c r="Y33" i="1"/>
  <c r="H95" i="1"/>
  <c r="J33" i="1"/>
  <c r="W29" i="13"/>
  <c r="Q56" i="13"/>
  <c r="AC63" i="1"/>
  <c r="AF63" i="1"/>
  <c r="AC15" i="1"/>
  <c r="AF15" i="1"/>
  <c r="AE15" i="1"/>
  <c r="AH15" i="1"/>
  <c r="H111" i="1"/>
  <c r="K38" i="1"/>
  <c r="Q17" i="1"/>
  <c r="S17" i="1"/>
  <c r="O17" i="1"/>
  <c r="U11" i="1"/>
  <c r="H134" i="1"/>
  <c r="J46" i="1"/>
  <c r="G13" i="1"/>
  <c r="H13" i="1"/>
  <c r="L5" i="1"/>
  <c r="E13" i="5"/>
  <c r="E13" i="24"/>
  <c r="N13" i="5"/>
  <c r="E55" i="5"/>
  <c r="E55" i="24"/>
  <c r="G55" i="1"/>
  <c r="U19" i="1"/>
  <c r="N55" i="5"/>
  <c r="X185" i="1"/>
  <c r="Y63" i="1"/>
  <c r="H185" i="1"/>
  <c r="J63" i="1"/>
  <c r="X170" i="1"/>
  <c r="Y58" i="1"/>
  <c r="H170" i="1"/>
  <c r="J58" i="1"/>
  <c r="M58" i="1"/>
  <c r="H126" i="1"/>
  <c r="K43" i="1"/>
  <c r="U23" i="1"/>
  <c r="H118" i="1"/>
  <c r="L40" i="1"/>
  <c r="O40" i="1"/>
  <c r="R36" i="1"/>
  <c r="AG3" i="1"/>
  <c r="U31" i="1"/>
  <c r="U52" i="1"/>
  <c r="R49" i="1"/>
  <c r="AG56" i="1"/>
  <c r="H122" i="1"/>
  <c r="J42" i="1"/>
  <c r="AF60" i="1"/>
  <c r="AG16" i="1"/>
  <c r="AI16" i="1"/>
  <c r="G44" i="5"/>
  <c r="M15" i="55"/>
  <c r="O15" i="55"/>
  <c r="M36" i="55"/>
  <c r="O36" i="55"/>
  <c r="AI55" i="1"/>
  <c r="G161" i="5"/>
  <c r="H161" i="5"/>
  <c r="U39" i="1"/>
  <c r="AG36" i="1"/>
  <c r="AG17" i="1"/>
  <c r="S65" i="1"/>
  <c r="U37" i="1"/>
  <c r="M43" i="55"/>
  <c r="O43" i="55"/>
  <c r="U46" i="1"/>
  <c r="R58" i="1"/>
  <c r="H83" i="1"/>
  <c r="J29" i="1"/>
  <c r="O54" i="1"/>
  <c r="O46" i="1"/>
  <c r="Q46" i="1"/>
  <c r="S46" i="1"/>
  <c r="N4" i="1"/>
  <c r="O5" i="1"/>
  <c r="R5" i="1"/>
  <c r="Q5" i="1"/>
  <c r="M5" i="1"/>
  <c r="P23" i="1"/>
  <c r="N23" i="1"/>
  <c r="AG58" i="1"/>
  <c r="AB58" i="1"/>
  <c r="AE58" i="1"/>
  <c r="AH58" i="1"/>
  <c r="U33" i="1"/>
  <c r="H97" i="1"/>
  <c r="L33" i="1"/>
  <c r="M30" i="1"/>
  <c r="M21" i="1"/>
  <c r="P6" i="1"/>
  <c r="S6" i="1"/>
  <c r="S21" i="1"/>
  <c r="Q21" i="1"/>
  <c r="O21" i="1"/>
  <c r="R21" i="1"/>
  <c r="M34" i="1"/>
  <c r="R34" i="1"/>
  <c r="H6" i="1"/>
  <c r="K3" i="1"/>
  <c r="U3" i="1"/>
  <c r="N54" i="1"/>
  <c r="Q54" i="1"/>
  <c r="P54" i="1"/>
  <c r="S54" i="1"/>
  <c r="AC48" i="1"/>
  <c r="AE48" i="1"/>
  <c r="AH48" i="1"/>
  <c r="O59" i="1"/>
  <c r="S59" i="1"/>
  <c r="Q59" i="1"/>
  <c r="P18" i="1"/>
  <c r="N18" i="1"/>
  <c r="O27" i="1"/>
  <c r="S27" i="1"/>
  <c r="Q27" i="1"/>
  <c r="AD6" i="1"/>
  <c r="AG6" i="1"/>
  <c r="AF6" i="1"/>
  <c r="M62" i="1"/>
  <c r="R62" i="1"/>
  <c r="AF30" i="1"/>
  <c r="AD30" i="1"/>
  <c r="AG30" i="1"/>
  <c r="AD25" i="1"/>
  <c r="AG25" i="1"/>
  <c r="AF25" i="1"/>
  <c r="AH25" i="1"/>
  <c r="U54" i="1"/>
  <c r="S18" i="1"/>
  <c r="O18" i="1"/>
  <c r="Q18" i="1"/>
  <c r="AE46" i="1"/>
  <c r="AH46" i="1"/>
  <c r="R20" i="1"/>
  <c r="M20" i="1"/>
  <c r="R43" i="1"/>
  <c r="M43" i="1"/>
  <c r="Q48" i="1"/>
  <c r="O48" i="1"/>
  <c r="S48" i="1"/>
  <c r="M19" i="1"/>
  <c r="R19" i="1"/>
  <c r="O50" i="1"/>
  <c r="R50" i="1"/>
  <c r="N46" i="1"/>
  <c r="P46" i="1"/>
  <c r="AB30" i="1"/>
  <c r="U50" i="1"/>
  <c r="AB21" i="1"/>
  <c r="AE21" i="1"/>
  <c r="AH21" i="1"/>
  <c r="H101" i="1"/>
  <c r="J35" i="1"/>
  <c r="Q39" i="1"/>
  <c r="U18" i="1"/>
  <c r="P31" i="1"/>
  <c r="N31" i="1"/>
  <c r="Q31" i="1"/>
  <c r="AE36" i="1"/>
  <c r="AH36" i="1"/>
  <c r="AC36" i="1"/>
  <c r="AF36" i="1"/>
  <c r="P33" i="1"/>
  <c r="N33" i="1"/>
  <c r="R53" i="1"/>
  <c r="M53" i="1"/>
  <c r="AD27" i="1"/>
  <c r="AF27" i="1"/>
  <c r="H152" i="1"/>
  <c r="J52" i="1"/>
  <c r="R22" i="1"/>
  <c r="M22" i="1"/>
  <c r="P22" i="1"/>
  <c r="S22" i="1"/>
  <c r="AC10" i="1"/>
  <c r="AE10" i="1"/>
  <c r="AH10" i="1"/>
  <c r="M47" i="1"/>
  <c r="R47" i="1"/>
  <c r="AF52" i="1"/>
  <c r="AD52" i="1"/>
  <c r="AG52" i="1"/>
  <c r="R59" i="1"/>
  <c r="M59" i="1"/>
  <c r="AC44" i="1"/>
  <c r="AF44" i="1"/>
  <c r="N56" i="1"/>
  <c r="Q56" i="1"/>
  <c r="P56" i="1"/>
  <c r="S56" i="1"/>
  <c r="M60" i="1"/>
  <c r="R60" i="1"/>
  <c r="H32" i="1"/>
  <c r="J12" i="1"/>
  <c r="AB63" i="1"/>
  <c r="AG63" i="1"/>
  <c r="N38" i="1"/>
  <c r="Q38" i="1"/>
  <c r="AB33" i="1"/>
  <c r="AE33" i="1"/>
  <c r="AH33" i="1"/>
  <c r="AG33" i="1"/>
  <c r="N13" i="1"/>
  <c r="Q13" i="1"/>
  <c r="P13" i="1"/>
  <c r="S13" i="1"/>
  <c r="U48" i="1"/>
  <c r="AD65" i="1"/>
  <c r="AF65" i="1"/>
  <c r="AC29" i="1"/>
  <c r="AF29" i="1"/>
  <c r="R51" i="1"/>
  <c r="M51" i="1"/>
  <c r="Q43" i="1"/>
  <c r="S43" i="1"/>
  <c r="O43" i="1"/>
  <c r="Q42" i="1"/>
  <c r="S42" i="1"/>
  <c r="O42" i="1"/>
  <c r="R42" i="1"/>
  <c r="AB42" i="1"/>
  <c r="M17" i="1"/>
  <c r="P17" i="1"/>
  <c r="R17" i="1"/>
  <c r="R4" i="1"/>
  <c r="M4" i="1"/>
  <c r="P4" i="1"/>
  <c r="M8" i="55"/>
  <c r="O8" i="55"/>
  <c r="S39" i="1"/>
  <c r="AE64" i="1"/>
  <c r="AH64" i="1"/>
  <c r="AF51" i="1"/>
  <c r="AH51" i="1"/>
  <c r="AD51" i="1"/>
  <c r="AG51" i="1"/>
  <c r="AI15" i="1"/>
  <c r="G41" i="5"/>
  <c r="O57" i="1"/>
  <c r="O24" i="1"/>
  <c r="Q24" i="1"/>
  <c r="AI14" i="1"/>
  <c r="U34" i="1"/>
  <c r="H76" i="1"/>
  <c r="L26" i="1"/>
  <c r="AF34" i="1"/>
  <c r="AH34" i="1"/>
  <c r="AD34" i="1"/>
  <c r="H44" i="1"/>
  <c r="J16" i="1"/>
  <c r="AB53" i="1"/>
  <c r="AE53" i="1"/>
  <c r="AH53" i="1"/>
  <c r="AG53" i="1"/>
  <c r="AB40" i="1"/>
  <c r="AE40" i="1"/>
  <c r="AH40" i="1"/>
  <c r="R26" i="1"/>
  <c r="M26" i="1"/>
  <c r="S9" i="1"/>
  <c r="Q9" i="1"/>
  <c r="O9" i="1"/>
  <c r="R9" i="1"/>
  <c r="N27" i="1"/>
  <c r="P27" i="1"/>
  <c r="H113" i="1"/>
  <c r="J39" i="1"/>
  <c r="AB52" i="1"/>
  <c r="AE52" i="1"/>
  <c r="AH52" i="1"/>
  <c r="AB22" i="1"/>
  <c r="AG22" i="1"/>
  <c r="P10" i="1"/>
  <c r="N10" i="1"/>
  <c r="U15" i="1"/>
  <c r="O8" i="1"/>
  <c r="AC61" i="1"/>
  <c r="AF61" i="1"/>
  <c r="AD54" i="1"/>
  <c r="AG54" i="1"/>
  <c r="Q52" i="1"/>
  <c r="O52" i="1"/>
  <c r="S52" i="1"/>
  <c r="AC58" i="1"/>
  <c r="AF58" i="1"/>
  <c r="AG59" i="1"/>
  <c r="AB59" i="1"/>
  <c r="AC57" i="1"/>
  <c r="AF57" i="1"/>
  <c r="AE57" i="1"/>
  <c r="AH57" i="1"/>
  <c r="N22" i="1"/>
  <c r="Q22" i="1"/>
  <c r="R7" i="1"/>
  <c r="M7" i="1"/>
  <c r="AC56" i="1"/>
  <c r="AF56" i="1"/>
  <c r="AE56" i="1"/>
  <c r="AH56" i="1"/>
  <c r="H55" i="1"/>
  <c r="L19" i="1"/>
  <c r="M22" i="55"/>
  <c r="O22" i="55"/>
  <c r="H128" i="1"/>
  <c r="J44" i="1"/>
  <c r="M27" i="1"/>
  <c r="R27" i="1"/>
  <c r="H138" i="1"/>
  <c r="K47" i="1"/>
  <c r="N52" i="1"/>
  <c r="P52" i="1"/>
  <c r="Q60" i="1"/>
  <c r="N12" i="1"/>
  <c r="P12" i="1"/>
  <c r="M65" i="1"/>
  <c r="R65" i="1"/>
  <c r="AB18" i="1"/>
  <c r="AE18" i="1"/>
  <c r="AH18" i="1"/>
  <c r="AG18" i="1"/>
  <c r="AI20" i="1"/>
  <c r="G56" i="5"/>
  <c r="U28" i="1"/>
  <c r="AB29" i="1"/>
  <c r="AE29" i="1"/>
  <c r="AH29" i="1"/>
  <c r="AG29" i="1"/>
  <c r="AB12" i="1"/>
  <c r="AG12" i="1"/>
  <c r="O13" i="1"/>
  <c r="R13" i="1"/>
  <c r="O64" i="1"/>
  <c r="R64" i="1"/>
  <c r="AF35" i="1"/>
  <c r="AD35" i="1"/>
  <c r="AG35" i="1"/>
  <c r="AH35" i="1"/>
  <c r="N8" i="1"/>
  <c r="Q8" i="1"/>
  <c r="AI62" i="1"/>
  <c r="G182" i="5"/>
  <c r="H39" i="1"/>
  <c r="K14" i="1"/>
  <c r="U14" i="1"/>
  <c r="H189" i="1"/>
  <c r="K64" i="1"/>
  <c r="U64" i="1"/>
  <c r="M8" i="1"/>
  <c r="R8" i="1"/>
  <c r="AI31" i="1"/>
  <c r="U5" i="1"/>
  <c r="P36" i="1"/>
  <c r="N36" i="1"/>
  <c r="P43" i="1"/>
  <c r="N43" i="1"/>
  <c r="AF39" i="1"/>
  <c r="AD39" i="1"/>
  <c r="AG39" i="1"/>
  <c r="AE60" i="1"/>
  <c r="AH60" i="1"/>
  <c r="R38" i="1"/>
  <c r="M38" i="1"/>
  <c r="AC50" i="1"/>
  <c r="AF50" i="1"/>
  <c r="AE50" i="1"/>
  <c r="AH50" i="1"/>
  <c r="M3" i="1"/>
  <c r="R3" i="1"/>
  <c r="AB9" i="1"/>
  <c r="AC53" i="1"/>
  <c r="AF53" i="1"/>
  <c r="AB47" i="1"/>
  <c r="AE47" i="1"/>
  <c r="AH47" i="1"/>
  <c r="AG47" i="1"/>
  <c r="AB45" i="1"/>
  <c r="AG45" i="1"/>
  <c r="AD10" i="1"/>
  <c r="AG10" i="1"/>
  <c r="AF10" i="1"/>
  <c r="AG61" i="1"/>
  <c r="AB61" i="1"/>
  <c r="N44" i="1"/>
  <c r="AH6" i="1"/>
  <c r="N34" i="1"/>
  <c r="Q34" i="1"/>
  <c r="P34" i="1"/>
  <c r="S34" i="1"/>
  <c r="N66" i="1"/>
  <c r="Q66" i="1"/>
  <c r="P66" i="1"/>
  <c r="S66" i="1"/>
  <c r="N5" i="1"/>
  <c r="M63" i="1"/>
  <c r="R63" i="1"/>
  <c r="M46" i="1"/>
  <c r="R46" i="1"/>
  <c r="M33" i="1"/>
  <c r="AD43" i="1"/>
  <c r="AG43" i="1"/>
  <c r="M28" i="1"/>
  <c r="M42" i="1"/>
  <c r="AD21" i="1"/>
  <c r="AG21" i="1"/>
  <c r="AF21" i="1"/>
  <c r="N20" i="1"/>
  <c r="Q20" i="1"/>
  <c r="Q51" i="1"/>
  <c r="O51" i="1"/>
  <c r="S51" i="1"/>
  <c r="AD57" i="1"/>
  <c r="AG57" i="1"/>
  <c r="P25" i="1"/>
  <c r="N25" i="1"/>
  <c r="AC54" i="1"/>
  <c r="AF54" i="1"/>
  <c r="AE54" i="1"/>
  <c r="AH54" i="1"/>
  <c r="AD26" i="1"/>
  <c r="AG26" i="1"/>
  <c r="AF26" i="1"/>
  <c r="AC43" i="1"/>
  <c r="AF43" i="1"/>
  <c r="M56" i="1"/>
  <c r="R56" i="1"/>
  <c r="R40" i="1"/>
  <c r="M40" i="1"/>
  <c r="AC18" i="1"/>
  <c r="AF18" i="1"/>
  <c r="Q3" i="1"/>
  <c r="O3" i="1"/>
  <c r="S3" i="1"/>
  <c r="AB38" i="1"/>
  <c r="AG38" i="1"/>
  <c r="AI3" i="1"/>
  <c r="G5" i="5"/>
  <c r="P61" i="1"/>
  <c r="N61" i="1"/>
  <c r="O10" i="1"/>
  <c r="Q10" i="1"/>
  <c r="S10" i="1"/>
  <c r="H171" i="1"/>
  <c r="K58" i="1"/>
  <c r="N15" i="1"/>
  <c r="Q15" i="1"/>
  <c r="AB43" i="1"/>
  <c r="AE43" i="1"/>
  <c r="AH43" i="1"/>
  <c r="AD40" i="1"/>
  <c r="AG40" i="1"/>
  <c r="AF40" i="1"/>
  <c r="Q65" i="1"/>
  <c r="R18" i="1"/>
  <c r="M18" i="1"/>
  <c r="AB19" i="1"/>
  <c r="AC4" i="1"/>
  <c r="AF4" i="1"/>
  <c r="R29" i="1"/>
  <c r="M29" i="1"/>
  <c r="R15" i="1"/>
  <c r="M15" i="1"/>
  <c r="P15" i="1"/>
  <c r="S15" i="1"/>
  <c r="N29" i="1"/>
  <c r="P29" i="1"/>
  <c r="AF5" i="1"/>
  <c r="AI49" i="1"/>
  <c r="G143" i="5"/>
  <c r="O35" i="1"/>
  <c r="Q35" i="1"/>
  <c r="N37" i="1"/>
  <c r="P37" i="1"/>
  <c r="O37" i="1"/>
  <c r="R37" i="1"/>
  <c r="Q37" i="1"/>
  <c r="S37" i="1"/>
  <c r="AD42" i="1"/>
  <c r="AG42" i="1"/>
  <c r="AF42" i="1"/>
  <c r="AE17" i="1"/>
  <c r="AH17" i="1"/>
  <c r="AB4" i="1"/>
  <c r="AG4" i="1"/>
  <c r="AB8" i="1"/>
  <c r="AG8" i="1"/>
  <c r="AF24" i="1"/>
  <c r="AD24" i="1"/>
  <c r="AH24" i="1"/>
  <c r="AI37" i="1"/>
  <c r="G107" i="5"/>
  <c r="AE28" i="1"/>
  <c r="AH28" i="1"/>
  <c r="N48" i="1"/>
  <c r="P48" i="1"/>
  <c r="AD9" i="1"/>
  <c r="AG9" i="1"/>
  <c r="AF9" i="1"/>
  <c r="AB39" i="1"/>
  <c r="AI13" i="1"/>
  <c r="G35" i="5"/>
  <c r="AB5" i="1"/>
  <c r="AG5" i="1"/>
  <c r="O6" i="1"/>
  <c r="Q6" i="1"/>
  <c r="R55" i="1"/>
  <c r="M55" i="1"/>
  <c r="P55" i="1"/>
  <c r="N50" i="1"/>
  <c r="Q50" i="1"/>
  <c r="P50" i="1"/>
  <c r="S50" i="1"/>
  <c r="U13" i="1"/>
  <c r="M9" i="1"/>
  <c r="H156" i="1"/>
  <c r="K53" i="1"/>
  <c r="R45" i="1"/>
  <c r="M45" i="1"/>
  <c r="S30" i="1"/>
  <c r="O30" i="1"/>
  <c r="R30" i="1"/>
  <c r="Q30" i="1"/>
  <c r="Q25" i="1"/>
  <c r="O25" i="1"/>
  <c r="R25" i="1"/>
  <c r="S25" i="1"/>
  <c r="H179" i="1"/>
  <c r="J61" i="1"/>
  <c r="Q40" i="1"/>
  <c r="AC23" i="1"/>
  <c r="AF23" i="1"/>
  <c r="AE23" i="1"/>
  <c r="AH23" i="1"/>
  <c r="P57" i="1"/>
  <c r="S57" i="1"/>
  <c r="N57" i="1"/>
  <c r="Q57" i="1"/>
  <c r="Q28" i="1"/>
  <c r="S28" i="1"/>
  <c r="O28" i="1"/>
  <c r="R28" i="1"/>
  <c r="AE22" i="1"/>
  <c r="AH22" i="1"/>
  <c r="AC22" i="1"/>
  <c r="AF22" i="1"/>
  <c r="AB7" i="1"/>
  <c r="AG7" i="1"/>
  <c r="S63" i="1"/>
  <c r="AD46" i="1"/>
  <c r="AG46" i="1"/>
  <c r="AF46" i="1"/>
  <c r="AF19" i="1"/>
  <c r="AD19" i="1"/>
  <c r="AG19" i="1"/>
  <c r="AB44" i="1"/>
  <c r="AE44" i="1"/>
  <c r="AH44" i="1"/>
  <c r="AG44" i="1"/>
  <c r="AI11" i="1"/>
  <c r="G29" i="5"/>
  <c r="AB27" i="1"/>
  <c r="AG27" i="1"/>
  <c r="AC47" i="1"/>
  <c r="AF47" i="1"/>
  <c r="U59" i="1"/>
  <c r="N49" i="1"/>
  <c r="P49" i="1"/>
  <c r="AG65" i="1"/>
  <c r="AB65" i="1"/>
  <c r="AE65" i="1"/>
  <c r="AH65" i="1"/>
  <c r="O11" i="1"/>
  <c r="Q11" i="1"/>
  <c r="S11" i="1"/>
  <c r="M24" i="1"/>
  <c r="R24" i="1"/>
  <c r="AC66" i="1"/>
  <c r="AF66" i="1"/>
  <c r="AE66" i="1"/>
  <c r="AH66" i="1"/>
  <c r="M50" i="55"/>
  <c r="O50" i="55"/>
  <c r="M29" i="55"/>
  <c r="O29" i="55"/>
  <c r="T23" i="1"/>
  <c r="AI35" i="5"/>
  <c r="S40" i="1"/>
  <c r="G161" i="24"/>
  <c r="H44" i="5"/>
  <c r="AI13" i="5"/>
  <c r="AI21" i="1"/>
  <c r="G59" i="5"/>
  <c r="G59" i="24"/>
  <c r="T48" i="1"/>
  <c r="Q46" i="13"/>
  <c r="AI36" i="1"/>
  <c r="G104" i="5"/>
  <c r="T49" i="1"/>
  <c r="AI44" i="1"/>
  <c r="G128" i="5"/>
  <c r="T40" i="1"/>
  <c r="Q43" i="13"/>
  <c r="AI25" i="1"/>
  <c r="G71" i="5"/>
  <c r="T6" i="1"/>
  <c r="W13" i="13"/>
  <c r="T11" i="1"/>
  <c r="AC5" i="13"/>
  <c r="T27" i="1"/>
  <c r="Q52" i="13"/>
  <c r="AI51" i="1"/>
  <c r="G149" i="5"/>
  <c r="G44" i="24"/>
  <c r="T55" i="1"/>
  <c r="Q26" i="13"/>
  <c r="AI26" i="1"/>
  <c r="G74" i="5"/>
  <c r="G74" i="24"/>
  <c r="T25" i="1"/>
  <c r="Q65" i="13"/>
  <c r="T36" i="1"/>
  <c r="AI35" i="1"/>
  <c r="G101" i="5"/>
  <c r="AI16" i="5"/>
  <c r="T7" i="1"/>
  <c r="Q28" i="13"/>
  <c r="AI10" i="1"/>
  <c r="G26" i="5"/>
  <c r="AI57" i="1"/>
  <c r="G167" i="5"/>
  <c r="H167" i="5"/>
  <c r="AI64" i="1"/>
  <c r="G188" i="5"/>
  <c r="H188" i="5"/>
  <c r="F71" i="5"/>
  <c r="AC46" i="13"/>
  <c r="W33" i="13"/>
  <c r="AC17" i="13"/>
  <c r="AI60" i="5"/>
  <c r="F29" i="5"/>
  <c r="AC41" i="13"/>
  <c r="Q24" i="13"/>
  <c r="K6" i="54"/>
  <c r="AC65" i="13"/>
  <c r="AC7" i="13"/>
  <c r="F104" i="5"/>
  <c r="Q25" i="13"/>
  <c r="H26" i="5"/>
  <c r="AI39" i="5"/>
  <c r="G26" i="24"/>
  <c r="AI52" i="1"/>
  <c r="D6" i="54"/>
  <c r="G71" i="24"/>
  <c r="AI15" i="5"/>
  <c r="H71" i="5"/>
  <c r="T54" i="1"/>
  <c r="W5" i="13"/>
  <c r="F65" i="5"/>
  <c r="Q9" i="13"/>
  <c r="AI20" i="5"/>
  <c r="G29" i="24"/>
  <c r="H29" i="5"/>
  <c r="H35" i="5"/>
  <c r="AI51" i="5"/>
  <c r="G35" i="24"/>
  <c r="AI63" i="5"/>
  <c r="G143" i="24"/>
  <c r="H143" i="5"/>
  <c r="T28" i="1"/>
  <c r="T13" i="1"/>
  <c r="AE59" i="1"/>
  <c r="AH59" i="1"/>
  <c r="G149" i="24"/>
  <c r="H149" i="5"/>
  <c r="AI46" i="5"/>
  <c r="T57" i="1"/>
  <c r="T51" i="1"/>
  <c r="AI65" i="1"/>
  <c r="G191" i="5"/>
  <c r="P38" i="1"/>
  <c r="S38" i="1"/>
  <c r="R12" i="1"/>
  <c r="M12" i="1"/>
  <c r="T22" i="1"/>
  <c r="AE30" i="1"/>
  <c r="AH30" i="1"/>
  <c r="T21" i="1"/>
  <c r="N53" i="1"/>
  <c r="Q53" i="1"/>
  <c r="P53" i="1"/>
  <c r="S53" i="1"/>
  <c r="AE19" i="1"/>
  <c r="AH19" i="1"/>
  <c r="AE45" i="1"/>
  <c r="AH45" i="1"/>
  <c r="P14" i="1"/>
  <c r="S14" i="1"/>
  <c r="N14" i="1"/>
  <c r="M44" i="1"/>
  <c r="P44" i="1"/>
  <c r="R44" i="1"/>
  <c r="AI40" i="1"/>
  <c r="G116" i="5"/>
  <c r="AI56" i="1"/>
  <c r="G164" i="5"/>
  <c r="D3" i="54"/>
  <c r="J3" i="54"/>
  <c r="G38" i="5"/>
  <c r="T43" i="1"/>
  <c r="H107" i="5"/>
  <c r="G107" i="24"/>
  <c r="AI19" i="5"/>
  <c r="T29" i="1"/>
  <c r="T18" i="1"/>
  <c r="H5" i="5"/>
  <c r="AI21" i="5"/>
  <c r="G5" i="24"/>
  <c r="T46" i="1"/>
  <c r="P5" i="1"/>
  <c r="S5" i="1"/>
  <c r="AI47" i="1"/>
  <c r="G137" i="5"/>
  <c r="G182" i="24"/>
  <c r="H182" i="5"/>
  <c r="AI49" i="5"/>
  <c r="AE12" i="1"/>
  <c r="AH12" i="1"/>
  <c r="AI18" i="1"/>
  <c r="G50" i="5"/>
  <c r="P47" i="1"/>
  <c r="N47" i="1"/>
  <c r="AI22" i="1"/>
  <c r="G62" i="5"/>
  <c r="M16" i="1"/>
  <c r="R16" i="1"/>
  <c r="T4" i="1"/>
  <c r="T17" i="1"/>
  <c r="T42" i="1"/>
  <c r="P60" i="1"/>
  <c r="S60" i="1"/>
  <c r="T50" i="1"/>
  <c r="R35" i="1"/>
  <c r="M35" i="1"/>
  <c r="AI46" i="1"/>
  <c r="G134" i="5"/>
  <c r="P62" i="1"/>
  <c r="S62" i="1"/>
  <c r="AF48" i="1"/>
  <c r="AI48" i="1"/>
  <c r="G140" i="5"/>
  <c r="P30" i="1"/>
  <c r="T30" i="1"/>
  <c r="R61" i="1"/>
  <c r="M61" i="1"/>
  <c r="W14" i="13"/>
  <c r="AG24" i="1"/>
  <c r="AI24" i="1"/>
  <c r="G68" i="5"/>
  <c r="H104" i="5"/>
  <c r="AI58" i="5"/>
  <c r="G104" i="24"/>
  <c r="T15" i="1"/>
  <c r="N58" i="1"/>
  <c r="P58" i="1"/>
  <c r="S58" i="1"/>
  <c r="AE38" i="1"/>
  <c r="AH38" i="1"/>
  <c r="H56" i="5"/>
  <c r="AI54" i="5"/>
  <c r="G56" i="24"/>
  <c r="T65" i="1"/>
  <c r="AI53" i="1"/>
  <c r="G155" i="5"/>
  <c r="AC43" i="13"/>
  <c r="AC66" i="13"/>
  <c r="W21" i="13"/>
  <c r="F143" i="5"/>
  <c r="Q41" i="13"/>
  <c r="AC11" i="13"/>
  <c r="AE7" i="1"/>
  <c r="AH7" i="1"/>
  <c r="AI28" i="1"/>
  <c r="G80" i="5"/>
  <c r="AI43" i="1"/>
  <c r="G125" i="5"/>
  <c r="T56" i="1"/>
  <c r="T63" i="1"/>
  <c r="H101" i="5"/>
  <c r="AI29" i="1"/>
  <c r="G83" i="5"/>
  <c r="AE61" i="1"/>
  <c r="AH61" i="1"/>
  <c r="M39" i="1"/>
  <c r="R39" i="1"/>
  <c r="AE42" i="1"/>
  <c r="AH42" i="1"/>
  <c r="P19" i="1"/>
  <c r="S19" i="1"/>
  <c r="T34" i="1"/>
  <c r="AI58" i="1"/>
  <c r="G170" i="5"/>
  <c r="T9" i="1"/>
  <c r="AE5" i="1"/>
  <c r="AH5" i="1"/>
  <c r="AE39" i="1"/>
  <c r="AH39" i="1"/>
  <c r="AE4" i="1"/>
  <c r="AH4" i="1"/>
  <c r="P24" i="1"/>
  <c r="S24" i="1"/>
  <c r="AE27" i="1"/>
  <c r="AH27" i="1"/>
  <c r="T45" i="1"/>
  <c r="AE8" i="1"/>
  <c r="AH8" i="1"/>
  <c r="AI17" i="1"/>
  <c r="G47" i="5"/>
  <c r="T37" i="1"/>
  <c r="T66" i="1"/>
  <c r="P20" i="1"/>
  <c r="S20" i="1"/>
  <c r="T44" i="1"/>
  <c r="AE9" i="1"/>
  <c r="AH9" i="1"/>
  <c r="AI50" i="1"/>
  <c r="G146" i="5"/>
  <c r="AI60" i="1"/>
  <c r="G176" i="5"/>
  <c r="D4" i="54"/>
  <c r="G89" i="5"/>
  <c r="J2" i="54"/>
  <c r="N64" i="1"/>
  <c r="P64" i="1"/>
  <c r="S64" i="1"/>
  <c r="P8" i="1"/>
  <c r="S8" i="1"/>
  <c r="AI23" i="1"/>
  <c r="G65" i="5"/>
  <c r="O19" i="1"/>
  <c r="Q19" i="1"/>
  <c r="AI54" i="1"/>
  <c r="G158" i="5"/>
  <c r="T10" i="1"/>
  <c r="AG34" i="1"/>
  <c r="AI34" i="1"/>
  <c r="G98" i="5"/>
  <c r="O26" i="1"/>
  <c r="Q26" i="1"/>
  <c r="H41" i="5"/>
  <c r="AI41" i="5"/>
  <c r="G41" i="24"/>
  <c r="AI33" i="1"/>
  <c r="G95" i="5"/>
  <c r="AE63" i="1"/>
  <c r="AH63" i="1"/>
  <c r="T59" i="1"/>
  <c r="R52" i="1"/>
  <c r="M52" i="1"/>
  <c r="AI66" i="1"/>
  <c r="G194" i="5"/>
  <c r="S31" i="1"/>
  <c r="T31" i="1"/>
  <c r="S26" i="1"/>
  <c r="AI6" i="1"/>
  <c r="N3" i="1"/>
  <c r="P3" i="1"/>
  <c r="O33" i="1"/>
  <c r="R33" i="1"/>
  <c r="Q33" i="1"/>
  <c r="S33" i="1"/>
  <c r="AI30" i="1"/>
  <c r="G86" i="5"/>
  <c r="AI59" i="1"/>
  <c r="G173" i="5"/>
  <c r="F161" i="5"/>
  <c r="AI57" i="5"/>
  <c r="Q14" i="13"/>
  <c r="H59" i="5"/>
  <c r="G101" i="24"/>
  <c r="J5" i="54"/>
  <c r="AC8" i="13"/>
  <c r="G188" i="24"/>
  <c r="F14" i="5"/>
  <c r="W8" i="13"/>
  <c r="AI45" i="5"/>
  <c r="T12" i="1"/>
  <c r="Q31" i="13"/>
  <c r="F77" i="5"/>
  <c r="AI29" i="5"/>
  <c r="F140" i="5"/>
  <c r="F140" i="24"/>
  <c r="G167" i="24"/>
  <c r="F17" i="5"/>
  <c r="F116" i="5"/>
  <c r="H74" i="5"/>
  <c r="AI38" i="1"/>
  <c r="G110" i="5"/>
  <c r="H110" i="5"/>
  <c r="T61" i="1"/>
  <c r="T26" i="1"/>
  <c r="AI9" i="1"/>
  <c r="G23" i="5"/>
  <c r="AI61" i="5"/>
  <c r="AI39" i="1"/>
  <c r="G113" i="5"/>
  <c r="H113" i="5"/>
  <c r="T39" i="1"/>
  <c r="T3" i="1"/>
  <c r="Q57" i="13"/>
  <c r="AI8" i="1"/>
  <c r="G20" i="5"/>
  <c r="AI31" i="5"/>
  <c r="T24" i="1"/>
  <c r="Q42" i="13"/>
  <c r="T47" i="1"/>
  <c r="AI19" i="1"/>
  <c r="G53" i="5"/>
  <c r="H53" i="5"/>
  <c r="T19" i="1"/>
  <c r="Q48" i="13"/>
  <c r="F86" i="5"/>
  <c r="W12" i="13"/>
  <c r="Q22" i="13"/>
  <c r="F5" i="5"/>
  <c r="Q12" i="13"/>
  <c r="F89" i="5"/>
  <c r="W39" i="13"/>
  <c r="W7" i="13"/>
  <c r="K2" i="54"/>
  <c r="AI22" i="5"/>
  <c r="H98" i="5"/>
  <c r="G98" i="24"/>
  <c r="G68" i="24"/>
  <c r="H68" i="5"/>
  <c r="AI18" i="5"/>
  <c r="F137" i="5"/>
  <c r="Q49" i="13"/>
  <c r="W40" i="13"/>
  <c r="F107" i="5"/>
  <c r="Q35" i="13"/>
  <c r="W18" i="13"/>
  <c r="Q40" i="13"/>
  <c r="F98" i="5"/>
  <c r="Q44" i="13"/>
  <c r="F83" i="5"/>
  <c r="W3" i="13"/>
  <c r="AC39" i="13"/>
  <c r="AC2" i="13"/>
  <c r="Q5" i="13"/>
  <c r="F125" i="5"/>
  <c r="AI53" i="5"/>
  <c r="G53" i="24"/>
  <c r="T5" i="1"/>
  <c r="AD58" i="5"/>
  <c r="F65" i="24"/>
  <c r="Q54" i="13"/>
  <c r="F173" i="5"/>
  <c r="F26" i="5"/>
  <c r="Q16" i="13"/>
  <c r="Q64" i="1"/>
  <c r="T64" i="1"/>
  <c r="AI55" i="5"/>
  <c r="H176" i="5"/>
  <c r="G176" i="24"/>
  <c r="K5" i="54"/>
  <c r="AC9" i="13"/>
  <c r="AC42" i="13"/>
  <c r="F128" i="5"/>
  <c r="W17" i="13"/>
  <c r="Q32" i="13"/>
  <c r="AI8" i="5"/>
  <c r="H47" i="5"/>
  <c r="G47" i="24"/>
  <c r="AI5" i="1"/>
  <c r="G11" i="5"/>
  <c r="AI42" i="1"/>
  <c r="G122" i="5"/>
  <c r="AI10" i="5"/>
  <c r="G83" i="24"/>
  <c r="H83" i="5"/>
  <c r="Q11" i="13"/>
  <c r="F185" i="5"/>
  <c r="AI47" i="5"/>
  <c r="H128" i="5"/>
  <c r="G128" i="24"/>
  <c r="H155" i="5"/>
  <c r="G155" i="24"/>
  <c r="AI62" i="5"/>
  <c r="Q8" i="13"/>
  <c r="F179" i="5"/>
  <c r="T62" i="1"/>
  <c r="Q7" i="13"/>
  <c r="W4" i="13"/>
  <c r="AC3" i="13"/>
  <c r="F8" i="5"/>
  <c r="F17" i="24"/>
  <c r="AD40" i="5"/>
  <c r="H50" i="5"/>
  <c r="G50" i="24"/>
  <c r="AI5" i="5"/>
  <c r="AC15" i="13"/>
  <c r="Q55" i="13"/>
  <c r="F134" i="5"/>
  <c r="W28" i="13"/>
  <c r="AI36" i="5"/>
  <c r="H38" i="5"/>
  <c r="G38" i="24"/>
  <c r="H116" i="5"/>
  <c r="G116" i="24"/>
  <c r="AI14" i="5"/>
  <c r="Q14" i="1"/>
  <c r="T14" i="1"/>
  <c r="AI4" i="1"/>
  <c r="G8" i="5"/>
  <c r="Q37" i="13"/>
  <c r="AC10" i="13"/>
  <c r="F59" i="5"/>
  <c r="W19" i="13"/>
  <c r="W41" i="13"/>
  <c r="Q38" i="13"/>
  <c r="F62" i="5"/>
  <c r="G191" i="24"/>
  <c r="H191" i="5"/>
  <c r="AI37" i="5"/>
  <c r="F77" i="24"/>
  <c r="AD48" i="5"/>
  <c r="AI61" i="1"/>
  <c r="G179" i="5"/>
  <c r="F104" i="24"/>
  <c r="AD24" i="5"/>
  <c r="F29" i="24"/>
  <c r="AD50" i="5"/>
  <c r="Q13" i="13"/>
  <c r="F74" i="5"/>
  <c r="D2" i="54"/>
  <c r="J6" i="54"/>
  <c r="G14" i="5"/>
  <c r="AI44" i="5"/>
  <c r="H194" i="5"/>
  <c r="G194" i="24"/>
  <c r="H158" i="5"/>
  <c r="AI30" i="5"/>
  <c r="G158" i="24"/>
  <c r="AI52" i="5"/>
  <c r="G65" i="24"/>
  <c r="H65" i="5"/>
  <c r="AI12" i="5"/>
  <c r="G146" i="24"/>
  <c r="H146" i="5"/>
  <c r="AI27" i="1"/>
  <c r="G77" i="5"/>
  <c r="AC64" i="13"/>
  <c r="W38" i="13"/>
  <c r="AC40" i="13"/>
  <c r="W6" i="13"/>
  <c r="F23" i="5"/>
  <c r="AC4" i="13"/>
  <c r="AC81" i="13"/>
  <c r="Q10" i="13"/>
  <c r="Q64" i="13"/>
  <c r="F164" i="5"/>
  <c r="AI7" i="1"/>
  <c r="G17" i="5"/>
  <c r="Q6" i="13"/>
  <c r="F191" i="5"/>
  <c r="T33" i="1"/>
  <c r="T58" i="1"/>
  <c r="AI33" i="5"/>
  <c r="H134" i="5"/>
  <c r="G134" i="24"/>
  <c r="P35" i="1"/>
  <c r="S35" i="1"/>
  <c r="T60" i="1"/>
  <c r="F116" i="24"/>
  <c r="AD34" i="5"/>
  <c r="AI45" i="1"/>
  <c r="G131" i="5"/>
  <c r="T20" i="1"/>
  <c r="Q29" i="13"/>
  <c r="F149" i="5"/>
  <c r="W15" i="13"/>
  <c r="AC13" i="13"/>
  <c r="F80" i="5"/>
  <c r="W24" i="13"/>
  <c r="Q47" i="13"/>
  <c r="W30" i="13"/>
  <c r="F158" i="5"/>
  <c r="Q59" i="13"/>
  <c r="J4" i="54"/>
  <c r="D5" i="54"/>
  <c r="G152" i="5"/>
  <c r="H95" i="5"/>
  <c r="G95" i="24"/>
  <c r="AI28" i="5"/>
  <c r="H23" i="5"/>
  <c r="F131" i="5"/>
  <c r="Q39" i="13"/>
  <c r="W20" i="13"/>
  <c r="H80" i="5"/>
  <c r="G80" i="24"/>
  <c r="AI7" i="5"/>
  <c r="AD26" i="5"/>
  <c r="F143" i="24"/>
  <c r="AI42" i="5"/>
  <c r="Q60" i="13"/>
  <c r="F146" i="5"/>
  <c r="F47" i="5"/>
  <c r="W31" i="13"/>
  <c r="Q61" i="13"/>
  <c r="AC16" i="13"/>
  <c r="AI65" i="5"/>
  <c r="H62" i="5"/>
  <c r="G62" i="24"/>
  <c r="G164" i="24"/>
  <c r="AI64" i="5"/>
  <c r="H164" i="5"/>
  <c r="AI40" i="5"/>
  <c r="G86" i="24"/>
  <c r="H86" i="5"/>
  <c r="AI17" i="5"/>
  <c r="H173" i="5"/>
  <c r="G173" i="24"/>
  <c r="T38" i="1"/>
  <c r="T52" i="1"/>
  <c r="AI63" i="1"/>
  <c r="G185" i="5"/>
  <c r="H89" i="5"/>
  <c r="G89" i="24"/>
  <c r="AI50" i="5"/>
  <c r="F194" i="5"/>
  <c r="Q34" i="13"/>
  <c r="AI27" i="5"/>
  <c r="H170" i="5"/>
  <c r="G170" i="24"/>
  <c r="F113" i="5"/>
  <c r="Q58" i="13"/>
  <c r="H125" i="5"/>
  <c r="AI34" i="5"/>
  <c r="G125" i="24"/>
  <c r="Q62" i="13"/>
  <c r="F41" i="5"/>
  <c r="W32" i="13"/>
  <c r="F161" i="24"/>
  <c r="AD41" i="5"/>
  <c r="AI6" i="5"/>
  <c r="H140" i="5"/>
  <c r="G140" i="24"/>
  <c r="F122" i="5"/>
  <c r="Q30" i="13"/>
  <c r="T16" i="1"/>
  <c r="AI12" i="1"/>
  <c r="G32" i="5"/>
  <c r="AI11" i="5"/>
  <c r="H137" i="5"/>
  <c r="G137" i="24"/>
  <c r="F50" i="5"/>
  <c r="Q27" i="13"/>
  <c r="T8" i="1"/>
  <c r="T53" i="1"/>
  <c r="W26" i="13"/>
  <c r="Q50" i="13"/>
  <c r="F167" i="5"/>
  <c r="F35" i="5"/>
  <c r="Q19" i="13"/>
  <c r="W10" i="13"/>
  <c r="AD55" i="5"/>
  <c r="AD18" i="5"/>
  <c r="F14" i="24"/>
  <c r="AD32" i="5"/>
  <c r="F71" i="24"/>
  <c r="W16" i="13"/>
  <c r="H20" i="5"/>
  <c r="F32" i="5"/>
  <c r="F68" i="5"/>
  <c r="F68" i="24"/>
  <c r="W25" i="13"/>
  <c r="G23" i="24"/>
  <c r="F53" i="5"/>
  <c r="G20" i="24"/>
  <c r="AC12" i="13"/>
  <c r="G110" i="24"/>
  <c r="AI26" i="5"/>
  <c r="AC44" i="13"/>
  <c r="G113" i="24"/>
  <c r="W22" i="13"/>
  <c r="T35" i="1"/>
  <c r="W9" i="13"/>
  <c r="Q63" i="13"/>
  <c r="F188" i="5"/>
  <c r="Q23" i="13"/>
  <c r="F20" i="5"/>
  <c r="F113" i="24"/>
  <c r="AD10" i="5"/>
  <c r="F170" i="5"/>
  <c r="Q18" i="13"/>
  <c r="F95" i="5"/>
  <c r="Q20" i="13"/>
  <c r="AI59" i="5"/>
  <c r="G14" i="24"/>
  <c r="H14" i="5"/>
  <c r="AD49" i="5"/>
  <c r="F74" i="24"/>
  <c r="AI43" i="5"/>
  <c r="H8" i="5"/>
  <c r="G8" i="24"/>
  <c r="AD44" i="5"/>
  <c r="F134" i="24"/>
  <c r="F8" i="24"/>
  <c r="AD45" i="5"/>
  <c r="Q3" i="13"/>
  <c r="F182" i="5"/>
  <c r="AI23" i="5"/>
  <c r="G11" i="24"/>
  <c r="H11" i="5"/>
  <c r="F26" i="24"/>
  <c r="AD59" i="5"/>
  <c r="AD9" i="5"/>
  <c r="F107" i="24"/>
  <c r="AD6" i="5"/>
  <c r="F89" i="24"/>
  <c r="F167" i="24"/>
  <c r="AD46" i="5"/>
  <c r="Q33" i="13"/>
  <c r="F152" i="5"/>
  <c r="K4" i="54"/>
  <c r="AD37" i="5"/>
  <c r="F149" i="24"/>
  <c r="F101" i="5"/>
  <c r="H17" i="5"/>
  <c r="AI25" i="5"/>
  <c r="G17" i="24"/>
  <c r="H122" i="5"/>
  <c r="AI32" i="5"/>
  <c r="G122" i="24"/>
  <c r="F98" i="24"/>
  <c r="AD39" i="5"/>
  <c r="AD21" i="5"/>
  <c r="F53" i="24"/>
  <c r="F5" i="24"/>
  <c r="AD63" i="5"/>
  <c r="AD38" i="5"/>
  <c r="F122" i="24"/>
  <c r="F164" i="24"/>
  <c r="AD29" i="5"/>
  <c r="AD53" i="5"/>
  <c r="F50" i="24"/>
  <c r="H32" i="5"/>
  <c r="G32" i="24"/>
  <c r="AI38" i="5"/>
  <c r="F110" i="5"/>
  <c r="Q2" i="13"/>
  <c r="W2" i="13"/>
  <c r="K2" i="13"/>
  <c r="AD62" i="5"/>
  <c r="F32" i="24"/>
  <c r="AD11" i="5"/>
  <c r="F146" i="24"/>
  <c r="F131" i="24"/>
  <c r="AD17" i="5"/>
  <c r="F56" i="5"/>
  <c r="AC82" i="13"/>
  <c r="AC45" i="13"/>
  <c r="W27" i="13"/>
  <c r="Q53" i="13"/>
  <c r="AC14" i="13"/>
  <c r="AC67" i="13"/>
  <c r="K3" i="13"/>
  <c r="F176" i="5"/>
  <c r="F191" i="24"/>
  <c r="AD19" i="5"/>
  <c r="F23" i="24"/>
  <c r="AD27" i="5"/>
  <c r="F62" i="24"/>
  <c r="AD30" i="5"/>
  <c r="F59" i="24"/>
  <c r="AD43" i="5"/>
  <c r="F38" i="5"/>
  <c r="K3" i="54"/>
  <c r="Q36" i="13"/>
  <c r="F179" i="24"/>
  <c r="AD60" i="5"/>
  <c r="AD51" i="5"/>
  <c r="F173" i="24"/>
  <c r="G179" i="24"/>
  <c r="AI9" i="5"/>
  <c r="H179" i="5"/>
  <c r="AD54" i="5"/>
  <c r="F83" i="24"/>
  <c r="AD3" i="5"/>
  <c r="F41" i="24"/>
  <c r="F47" i="24"/>
  <c r="AD31" i="5"/>
  <c r="AD8" i="5"/>
  <c r="F80" i="24"/>
  <c r="F35" i="24"/>
  <c r="AD5" i="5"/>
  <c r="AC6" i="13"/>
  <c r="W11" i="13"/>
  <c r="F155" i="5"/>
  <c r="Q21" i="13"/>
  <c r="W23" i="13"/>
  <c r="F44" i="5"/>
  <c r="Q45" i="13"/>
  <c r="AD23" i="5"/>
  <c r="F194" i="24"/>
  <c r="G185" i="24"/>
  <c r="AI66" i="5"/>
  <c r="H185" i="5"/>
  <c r="AI56" i="5"/>
  <c r="H152" i="5"/>
  <c r="G152" i="24"/>
  <c r="F158" i="24"/>
  <c r="AD36" i="5"/>
  <c r="H131" i="5"/>
  <c r="G131" i="24"/>
  <c r="AI48" i="5"/>
  <c r="H77" i="5"/>
  <c r="G77" i="24"/>
  <c r="AI24" i="5"/>
  <c r="AD47" i="5"/>
  <c r="F185" i="24"/>
  <c r="F128" i="24"/>
  <c r="AD42" i="5"/>
  <c r="Q4" i="13"/>
  <c r="F11" i="5"/>
  <c r="AD56" i="5"/>
  <c r="F125" i="24"/>
  <c r="AD52" i="5"/>
  <c r="F137" i="24"/>
  <c r="AD16" i="5"/>
  <c r="F86" i="24"/>
  <c r="AD22" i="5"/>
  <c r="Q17" i="13"/>
  <c r="AK66" i="5"/>
  <c r="AK15" i="5"/>
  <c r="AK5" i="5"/>
  <c r="AK63" i="5"/>
  <c r="H1" i="5"/>
  <c r="AK6" i="5"/>
  <c r="M22" i="34"/>
  <c r="AK38" i="5"/>
  <c r="AD28" i="5"/>
  <c r="F155" i="24"/>
  <c r="AK55" i="5"/>
  <c r="AK62" i="5"/>
  <c r="AK52" i="5"/>
  <c r="F170" i="24"/>
  <c r="AD35" i="5"/>
  <c r="AD20" i="5"/>
  <c r="F188" i="24"/>
  <c r="AK9" i="5"/>
  <c r="AK42" i="5"/>
  <c r="AK57" i="5"/>
  <c r="AK23" i="5"/>
  <c r="AK36" i="5"/>
  <c r="AK65" i="5"/>
  <c r="F11" i="24"/>
  <c r="AD12" i="5"/>
  <c r="AK10" i="5"/>
  <c r="AK21" i="5"/>
  <c r="AK33" i="5"/>
  <c r="AK56" i="5"/>
  <c r="AK64" i="5"/>
  <c r="AK18" i="5"/>
  <c r="AK58" i="5"/>
  <c r="AK40" i="5"/>
  <c r="AD13" i="5"/>
  <c r="F38" i="24"/>
  <c r="AK51" i="5"/>
  <c r="F110" i="24"/>
  <c r="AD15" i="5"/>
  <c r="AK20" i="5"/>
  <c r="AK14" i="5"/>
  <c r="AK54" i="5"/>
  <c r="AK37" i="5"/>
  <c r="AK24" i="5"/>
  <c r="AK29" i="5"/>
  <c r="AK48" i="5"/>
  <c r="AK61" i="5"/>
  <c r="F44" i="24"/>
  <c r="AD61" i="5"/>
  <c r="AK60" i="5"/>
  <c r="AK35" i="5"/>
  <c r="M21" i="34"/>
  <c r="AK46" i="5"/>
  <c r="AK34" i="5"/>
  <c r="AK19" i="5"/>
  <c r="AK39" i="5"/>
  <c r="AK16" i="5"/>
  <c r="AK41" i="5"/>
  <c r="AK7" i="5"/>
  <c r="AK11" i="5"/>
  <c r="AK50" i="5"/>
  <c r="AD4" i="5"/>
  <c r="F182" i="24"/>
  <c r="AK26" i="5"/>
  <c r="AK30" i="5"/>
  <c r="AK27" i="5"/>
  <c r="AK8" i="5"/>
  <c r="F176" i="24"/>
  <c r="AD7" i="5"/>
  <c r="AD25" i="5"/>
  <c r="F56" i="24"/>
  <c r="F152" i="24"/>
  <c r="AD57" i="5"/>
  <c r="AK59" i="5"/>
  <c r="AK45" i="5"/>
  <c r="AK13" i="5"/>
  <c r="AK44" i="5"/>
  <c r="AK53" i="5"/>
  <c r="AK47" i="5"/>
  <c r="AK12" i="5"/>
  <c r="AK28" i="5"/>
  <c r="AK17" i="5"/>
  <c r="AK32" i="5"/>
  <c r="AK25" i="5"/>
  <c r="AD2" i="5"/>
  <c r="F101" i="24"/>
  <c r="AK22" i="5"/>
  <c r="AK43" i="5"/>
  <c r="F95" i="24"/>
  <c r="AD33" i="5"/>
  <c r="AK31" i="5"/>
  <c r="AD14" i="5"/>
  <c r="F20" i="24"/>
  <c r="AK49" i="5"/>
  <c r="AF11" i="5"/>
  <c r="I146" i="5"/>
  <c r="AF57" i="5"/>
  <c r="AF50" i="5"/>
  <c r="I29" i="5"/>
  <c r="AF46" i="5"/>
  <c r="I167" i="5"/>
  <c r="AF43" i="5"/>
  <c r="I59" i="5"/>
  <c r="AF22" i="5"/>
  <c r="I68" i="5"/>
  <c r="AF47" i="5"/>
  <c r="I185" i="5"/>
  <c r="AF37" i="5"/>
  <c r="I149" i="5"/>
  <c r="AF21" i="5"/>
  <c r="I53" i="5"/>
  <c r="AF31" i="5"/>
  <c r="I47" i="5"/>
  <c r="AF42" i="5"/>
  <c r="AF34" i="5"/>
  <c r="I116" i="5"/>
  <c r="AF13" i="5"/>
  <c r="AF18" i="5"/>
  <c r="AF41" i="5"/>
  <c r="I161" i="5"/>
  <c r="AF32" i="5"/>
  <c r="I71" i="5"/>
  <c r="AF55" i="5"/>
  <c r="I140" i="5"/>
  <c r="AF66" i="5"/>
  <c r="I92" i="5"/>
  <c r="AF48" i="5"/>
  <c r="I77" i="5"/>
  <c r="AF40" i="5"/>
  <c r="I17" i="5"/>
  <c r="AF16" i="5"/>
  <c r="I86" i="5"/>
  <c r="AF35" i="5"/>
  <c r="I170" i="5"/>
  <c r="AF53" i="5"/>
  <c r="I50" i="5"/>
  <c r="G5" i="54"/>
  <c r="I152" i="5"/>
  <c r="AF24" i="5"/>
  <c r="I104" i="5"/>
  <c r="AF49" i="5"/>
  <c r="I74" i="5"/>
  <c r="AF36" i="5"/>
  <c r="I158" i="5"/>
  <c r="AF33" i="5"/>
  <c r="I95" i="5"/>
  <c r="AF4" i="5"/>
  <c r="I182" i="5"/>
  <c r="AF61" i="5"/>
  <c r="I44" i="5"/>
  <c r="AF14" i="5"/>
  <c r="I20" i="5"/>
  <c r="AF59" i="5"/>
  <c r="I26" i="5"/>
  <c r="AF2" i="5"/>
  <c r="I101" i="5"/>
  <c r="AF23" i="5"/>
  <c r="I194" i="5"/>
  <c r="AF52" i="5"/>
  <c r="I137" i="5"/>
  <c r="AF39" i="5"/>
  <c r="I98" i="5"/>
  <c r="AF58" i="5"/>
  <c r="I65" i="5"/>
  <c r="AF38" i="5"/>
  <c r="I122" i="5"/>
  <c r="AF62" i="5"/>
  <c r="I32" i="5"/>
  <c r="AF8" i="5"/>
  <c r="I80" i="5"/>
  <c r="AF17" i="5"/>
  <c r="I131" i="5"/>
  <c r="AF45" i="5"/>
  <c r="I8" i="5"/>
  <c r="AF3" i="5"/>
  <c r="I41" i="5"/>
  <c r="AF25" i="5"/>
  <c r="I56" i="5"/>
  <c r="AF15" i="5"/>
  <c r="I110" i="5"/>
  <c r="AF10" i="5"/>
  <c r="I113" i="5"/>
  <c r="AF27" i="5"/>
  <c r="I23" i="5"/>
  <c r="AF44" i="5"/>
  <c r="I134" i="5"/>
  <c r="AF7" i="5"/>
  <c r="I176" i="5"/>
  <c r="AF5" i="5"/>
  <c r="I35" i="5"/>
  <c r="AF26" i="5"/>
  <c r="I143" i="5"/>
  <c r="AF64" i="5"/>
  <c r="I119" i="5"/>
  <c r="AF29" i="5"/>
  <c r="I164" i="5"/>
  <c r="AF54" i="5"/>
  <c r="I83" i="5"/>
  <c r="AF60" i="5"/>
  <c r="I179" i="5"/>
  <c r="AF65" i="5"/>
  <c r="I2" i="5"/>
  <c r="AF6" i="5"/>
  <c r="AF19" i="5"/>
  <c r="I191" i="5"/>
  <c r="AF51" i="5"/>
  <c r="I173" i="5"/>
  <c r="AF12" i="5"/>
  <c r="I11" i="5"/>
  <c r="AF30" i="5"/>
  <c r="I62" i="5"/>
  <c r="AF20" i="5"/>
  <c r="I188" i="5"/>
  <c r="AF9" i="5"/>
  <c r="I107" i="5"/>
  <c r="AF28" i="5"/>
  <c r="I155" i="5"/>
  <c r="AF63" i="5"/>
  <c r="I5" i="5"/>
  <c r="AF56" i="5"/>
  <c r="I125" i="5"/>
  <c r="G3" i="54"/>
  <c r="I38" i="5"/>
  <c r="G2" i="54"/>
  <c r="I14" i="5"/>
  <c r="I89" i="5"/>
  <c r="G4" i="54"/>
  <c r="I128" i="5"/>
  <c r="G6" i="54"/>
</calcChain>
</file>

<file path=xl/comments1.xml><?xml version="1.0" encoding="utf-8"?>
<comments xmlns="http://schemas.openxmlformats.org/spreadsheetml/2006/main">
  <authors>
    <author>Chris Griffin</author>
  </authors>
  <commentList>
    <comment ref="A1" authorId="0" shapeId="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authors>
    <author>Chris Griffin</author>
  </authors>
  <commentList>
    <comment ref="A11" authorId="0" shapeId="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authors>
    <author>Chris Griffin</author>
  </authors>
  <commentList>
    <comment ref="B22" authorId="0" shapeId="0">
      <text>
        <r>
          <rPr>
            <b/>
            <sz val="9"/>
            <color indexed="9"/>
            <rFont val="Tahoma"/>
            <family val="2"/>
          </rPr>
          <t>Add the total of any deductions to prize find due to prior non-payment and add details here:-</t>
        </r>
      </text>
    </comment>
  </commentList>
</comments>
</file>

<file path=xl/sharedStrings.xml><?xml version="1.0" encoding="utf-8"?>
<sst xmlns="http://schemas.openxmlformats.org/spreadsheetml/2006/main" count="2373" uniqueCount="663">
  <si>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</si>
  <si>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</si>
  <si>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</si>
  <si>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</si>
  <si>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</si>
  <si>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</si>
  <si>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</si>
  <si>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</si>
  <si>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</si>
  <si>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</si>
  <si>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</si>
  <si>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</si>
  <si>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</si>
  <si>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</si>
  <si>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</si>
  <si>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</si>
  <si>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</si>
  <si>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</si>
  <si>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</si>
  <si>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</si>
  <si>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</si>
  <si>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Watford</t>
  </si>
  <si>
    <t>Bolton</t>
  </si>
  <si>
    <t>Away team</t>
  </si>
  <si>
    <t>Home win odds</t>
  </si>
  <si>
    <t>Draw odds</t>
  </si>
  <si>
    <t>Away odds</t>
  </si>
  <si>
    <t>Prediction</t>
  </si>
  <si>
    <t>fractional</t>
  </si>
  <si>
    <t>decimal</t>
  </si>
  <si>
    <t>Score</t>
  </si>
  <si>
    <t>stake</t>
  </si>
  <si>
    <t>Date</t>
  </si>
  <si>
    <t>Odds</t>
  </si>
  <si>
    <t>Middlesbro</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</si>
  <si>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</si>
  <si>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</si>
  <si>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</si>
  <si>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</si>
  <si>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</si>
  <si>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</si>
  <si>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</si>
  <si>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</si>
  <si>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</si>
  <si>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</si>
  <si>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</si>
  <si>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</si>
  <si>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</si>
  <si>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</si>
  <si>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</si>
  <si>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</si>
  <si>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</si>
  <si>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</si>
  <si>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</si>
  <si>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</si>
  <si>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</si>
  <si>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</si>
  <si>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</si>
  <si>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</si>
  <si>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Bet up?</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</si>
  <si>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</si>
  <si>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</si>
  <si>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</si>
  <si>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</si>
  <si>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</si>
  <si>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</si>
  <si>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</si>
  <si>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</si>
  <si>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</si>
  <si>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</si>
  <si>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</si>
  <si>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</si>
  <si>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</si>
  <si>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</si>
  <si>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</si>
  <si>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</si>
  <si>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</si>
  <si>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</si>
  <si>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</si>
  <si>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</si>
  <si>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</si>
  <si>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</si>
  <si>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</si>
  <si>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</si>
  <si>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</si>
  <si>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</si>
  <si>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</si>
  <si>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</si>
  <si>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</si>
  <si>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</si>
  <si>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</si>
  <si>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</si>
  <si>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</si>
  <si>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</si>
  <si>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</si>
  <si>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</si>
  <si>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</si>
  <si>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</si>
  <si>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</si>
  <si>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</si>
  <si>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</si>
  <si>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</si>
  <si>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</si>
  <si>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</si>
  <si>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</si>
  <si>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</si>
  <si>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</si>
  <si>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</si>
  <si>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</si>
  <si>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</si>
  <si>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</si>
  <si>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</si>
  <si>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</si>
  <si>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</si>
  <si>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</si>
  <si>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</si>
  <si>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</si>
  <si>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</si>
  <si>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</si>
  <si>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</si>
  <si>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</si>
  <si>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</si>
  <si>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</si>
  <si>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</si>
  <si>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</si>
  <si>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</si>
  <si>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</si>
  <si>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</si>
  <si>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</si>
  <si>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</si>
  <si>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</si>
  <si>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</si>
  <si>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</si>
  <si>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Fixtures in preliminary round</t>
  </si>
  <si>
    <t>Prelim</t>
  </si>
  <si>
    <t>Current Round</t>
  </si>
  <si>
    <t>Draw #</t>
  </si>
  <si>
    <t>Entrants</t>
  </si>
  <si>
    <t>R1 (64)</t>
  </si>
  <si>
    <t>R2 (32)</t>
  </si>
  <si>
    <t>R3 (16)</t>
  </si>
  <si>
    <t>QF</t>
  </si>
  <si>
    <t>SF</t>
  </si>
  <si>
    <t>Cup Round</t>
  </si>
  <si>
    <t>Preliminary</t>
  </si>
  <si>
    <t>Preliminary Rep</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</si>
  <si>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</si>
  <si>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</si>
  <si>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</si>
  <si>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</si>
  <si>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</si>
  <si>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</si>
  <si>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</si>
  <si>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</si>
  <si>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</si>
  <si>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</si>
  <si>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</si>
  <si>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</si>
  <si>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</si>
  <si>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</si>
  <si>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</si>
  <si>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</si>
  <si>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</si>
  <si>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</si>
  <si>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</si>
  <si>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</si>
  <si>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</si>
  <si>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</si>
  <si>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</si>
  <si>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</si>
  <si>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</si>
  <si>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semi-finalists</t>
  </si>
  <si>
    <t>Cup payouts</t>
  </si>
  <si>
    <t>Balance</t>
  </si>
  <si>
    <t>End of season place prices</t>
  </si>
  <si>
    <t>Result</t>
  </si>
  <si>
    <t>Fraction</t>
  </si>
  <si>
    <t>Decimal</t>
  </si>
  <si>
    <t>Off</t>
  </si>
  <si>
    <t>Bet1</t>
  </si>
  <si>
    <t>Bet2</t>
  </si>
  <si>
    <t>Bet3</t>
  </si>
  <si>
    <t>Max</t>
  </si>
  <si>
    <t>Pred1</t>
  </si>
  <si>
    <t>Pred2</t>
  </si>
  <si>
    <t>Pred3</t>
  </si>
  <si>
    <t>Cup
Prize</t>
  </si>
  <si>
    <t>Name</t>
  </si>
  <si>
    <t>Popular bets</t>
  </si>
  <si>
    <t>got 3 correct</t>
  </si>
  <si>
    <t>got 2 correct</t>
  </si>
  <si>
    <t>got 1 correct</t>
  </si>
  <si>
    <t>Comp</t>
  </si>
  <si>
    <t>Tottenham</t>
  </si>
  <si>
    <t>Sunderland</t>
  </si>
  <si>
    <t>Bristol City Draw</t>
  </si>
  <si>
    <t>9/4</t>
  </si>
  <si>
    <t>6/4</t>
  </si>
  <si>
    <t>21/10</t>
  </si>
  <si>
    <t>Single 1</t>
  </si>
  <si>
    <t>Single 2</t>
  </si>
  <si>
    <t>Single 3</t>
  </si>
  <si>
    <t>Double 1</t>
  </si>
  <si>
    <t>Double 2</t>
  </si>
  <si>
    <t>Double 3</t>
  </si>
  <si>
    <t>Treble</t>
  </si>
  <si>
    <t xml:space="preserve">Odds - </t>
  </si>
  <si>
    <t>Correct?</t>
  </si>
  <si>
    <t>x</t>
  </si>
  <si>
    <t>√</t>
  </si>
  <si>
    <t>`</t>
  </si>
  <si>
    <t>Final placing payouts</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</si>
  <si>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</si>
  <si>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</si>
  <si>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</si>
  <si>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</si>
  <si>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</si>
  <si>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</si>
  <si>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</si>
  <si>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</si>
  <si>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</si>
  <si>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</si>
  <si>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</si>
  <si>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</si>
  <si>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</si>
  <si>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</si>
  <si>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</si>
  <si>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</si>
  <si>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</si>
  <si>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</si>
  <si>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</si>
  <si>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</si>
  <si>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</si>
  <si>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</si>
  <si>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</si>
  <si>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</si>
  <si>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</si>
  <si>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</si>
  <si>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</si>
  <si>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</si>
  <si>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</si>
  <si>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</si>
  <si>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</si>
  <si>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</si>
  <si>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</si>
  <si>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Down (0)</t>
  </si>
  <si>
    <t>Up (1)</t>
  </si>
  <si>
    <t>10</t>
  </si>
  <si>
    <t>11</t>
  </si>
  <si>
    <t>12</t>
  </si>
  <si>
    <t>13</t>
  </si>
  <si>
    <t>14</t>
  </si>
  <si>
    <t>15</t>
  </si>
  <si>
    <t>16</t>
  </si>
  <si>
    <t>17</t>
  </si>
  <si>
    <t>18</t>
  </si>
  <si>
    <t>19</t>
  </si>
  <si>
    <t>20</t>
  </si>
  <si>
    <t>*</t>
  </si>
  <si>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</si>
  <si>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</si>
  <si>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</si>
  <si>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</si>
  <si>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</si>
  <si>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</si>
  <si>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</si>
  <si>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</si>
  <si>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</si>
  <si>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</si>
  <si>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</si>
  <si>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</si>
  <si>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</si>
  <si>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</si>
  <si>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</si>
  <si>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</si>
  <si>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</si>
  <si>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</si>
  <si>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</si>
  <si>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</si>
  <si>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</si>
  <si>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</si>
  <si>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</si>
  <si>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</si>
  <si>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</si>
  <si>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</si>
  <si>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</si>
  <si>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</si>
  <si>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</si>
  <si>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</si>
  <si>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</si>
  <si>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</si>
  <si>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</si>
  <si>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</si>
  <si>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</si>
  <si>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</si>
  <si>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</si>
  <si>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</si>
  <si>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</si>
  <si>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</si>
  <si>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</si>
  <si>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</si>
  <si>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</si>
  <si>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</si>
  <si>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</si>
  <si>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</si>
  <si>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Promotion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</si>
  <si>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</si>
  <si>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</si>
  <si>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</si>
  <si>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</si>
  <si>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</si>
  <si>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</si>
  <si>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</si>
  <si>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</si>
  <si>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</si>
  <si>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</si>
  <si>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</si>
  <si>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</si>
  <si>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</si>
  <si>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</si>
  <si>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</si>
  <si>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</si>
  <si>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</si>
  <si>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John Brown</t>
  </si>
  <si>
    <t>Steve Carter</t>
  </si>
  <si>
    <t>Paul Fiddler</t>
  </si>
  <si>
    <t>Paul Hooton</t>
  </si>
  <si>
    <t>Graham Miller</t>
  </si>
  <si>
    <t>Martin Molyneux</t>
  </si>
  <si>
    <t>John Robinson</t>
  </si>
  <si>
    <t>Mark Saunders</t>
  </si>
  <si>
    <t>Aaron Sudell</t>
  </si>
  <si>
    <t>Andy White</t>
  </si>
  <si>
    <t>Sally Williams</t>
  </si>
  <si>
    <t>Paul Adderley</t>
  </si>
  <si>
    <t>Dan Baxter</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</si>
  <si>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</si>
  <si>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</si>
  <si>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</si>
  <si>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</si>
  <si>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</si>
  <si>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</si>
  <si>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</si>
  <si>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</si>
  <si>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</si>
  <si>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</si>
  <si>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</si>
  <si>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</si>
  <si>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</si>
  <si>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</si>
  <si>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</si>
  <si>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</si>
  <si>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</si>
  <si>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</si>
  <si>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</si>
  <si>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</si>
  <si>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</si>
  <si>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</si>
  <si>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</si>
  <si>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</si>
  <si>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</si>
  <si>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</si>
  <si>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Phil Brown</t>
  </si>
  <si>
    <t>Chris Luck</t>
  </si>
  <si>
    <t>Phil Miller</t>
  </si>
  <si>
    <t>Paul Ridgeway</t>
  </si>
  <si>
    <t>Antony Robinson</t>
  </si>
  <si>
    <t>Alick Rocca</t>
  </si>
  <si>
    <t>Stephen Troop</t>
  </si>
  <si>
    <t>Weekend of…</t>
  </si>
  <si>
    <t>3in! Week No.</t>
  </si>
  <si>
    <t>Double Week</t>
  </si>
  <si>
    <t>8</t>
  </si>
  <si>
    <t>9</t>
  </si>
  <si>
    <t>1</t>
  </si>
  <si>
    <t>2</t>
  </si>
  <si>
    <t>3</t>
  </si>
  <si>
    <t>4</t>
  </si>
  <si>
    <t>5</t>
  </si>
  <si>
    <t>6</t>
  </si>
  <si>
    <t>7</t>
  </si>
  <si>
    <t>Weekly actions</t>
  </si>
  <si>
    <t>Total
Won</t>
  </si>
  <si>
    <t>League
Place
Prize</t>
  </si>
  <si>
    <t>… failed to submit</t>
  </si>
  <si>
    <t>1/20</t>
  </si>
  <si>
    <t>A6</t>
  </si>
  <si>
    <t>B6</t>
  </si>
  <si>
    <t>C6</t>
  </si>
  <si>
    <t>D6</t>
  </si>
  <si>
    <t>Ste Bentley</t>
  </si>
  <si>
    <t>Tom Robinson</t>
  </si>
  <si>
    <t>James Bell</t>
  </si>
  <si>
    <t>D4</t>
  </si>
  <si>
    <t>Div A top 6 places (35%/25/18/12/7/3)</t>
  </si>
  <si>
    <t>Div B top 6 places (35%/25/18/12/7/3)</t>
  </si>
  <si>
    <t>Div C top 6 places (35%/25/18/12/7/3)</t>
  </si>
  <si>
    <t>Div D top 6 places (35%/25/18/12/7/3)</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</si>
  <si>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</si>
  <si>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</si>
  <si>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</si>
  <si>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</si>
  <si>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</si>
  <si>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</si>
  <si>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</si>
  <si>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</si>
  <si>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</si>
  <si>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</si>
  <si>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</si>
  <si>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</si>
  <si>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</si>
  <si>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</si>
  <si>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</si>
  <si>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</si>
  <si>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</si>
  <si>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</si>
  <si>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</si>
  <si>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</si>
  <si>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</si>
  <si>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</si>
  <si>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</si>
  <si>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</si>
  <si>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</si>
  <si>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</si>
  <si>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</si>
  <si>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</si>
  <si>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got 0 correct, of which…</t>
  </si>
  <si>
    <t xml:space="preserve">Mini Leagues </t>
  </si>
  <si>
    <t>Total
Correct</t>
  </si>
  <si>
    <t>Week
Rank</t>
  </si>
  <si>
    <t>Wigan</t>
  </si>
  <si>
    <t>This Week
Actual Score</t>
  </si>
  <si>
    <t>This Week
Max Score</t>
  </si>
  <si>
    <t>Rank</t>
  </si>
  <si>
    <t>Max Score
This Week</t>
  </si>
  <si>
    <t>Season
So Far</t>
  </si>
  <si>
    <t>Long Shot</t>
  </si>
  <si>
    <r>
      <t xml:space="preserve">Top Nap </t>
    </r>
    <r>
      <rPr>
        <b/>
        <sz val="10"/>
        <color indexed="17"/>
        <rFont val="Calibri"/>
        <family val="2"/>
      </rPr>
      <t>↑</t>
    </r>
  </si>
  <si>
    <r>
      <t xml:space="preserve">Coupon-Buster </t>
    </r>
    <r>
      <rPr>
        <b/>
        <sz val="10"/>
        <color indexed="10"/>
        <rFont val="Calibri"/>
        <family val="2"/>
      </rPr>
      <t>↓</t>
    </r>
  </si>
  <si>
    <t>Barnsley</t>
  </si>
  <si>
    <t>Burton</t>
  </si>
  <si>
    <t>Leeds</t>
  </si>
  <si>
    <t>Accrington</t>
  </si>
  <si>
    <t>Liverpool</t>
  </si>
  <si>
    <t>Newcastle</t>
  </si>
  <si>
    <t>Current</t>
  </si>
  <si>
    <t>-7.00</t>
  </si>
  <si>
    <t xml:space="preserve">Wk 19: </t>
  </si>
  <si>
    <t>Odds -</t>
  </si>
  <si>
    <t>Bury</t>
  </si>
  <si>
    <t>Liam Wah</t>
  </si>
  <si>
    <t>Ben Rosser</t>
  </si>
  <si>
    <t>Dave Orrell</t>
  </si>
  <si>
    <t>Graeme Holmes</t>
  </si>
  <si>
    <t>Ian Bentley</t>
  </si>
  <si>
    <t>David Dunn</t>
  </si>
  <si>
    <t>Ian James</t>
  </si>
  <si>
    <t>Ashley Houghton</t>
  </si>
  <si>
    <t>Gerard Ventom</t>
  </si>
  <si>
    <t>John Ronan</t>
  </si>
  <si>
    <t>Nick Blocksidge</t>
  </si>
  <si>
    <t>Martin Tarbuck</t>
  </si>
  <si>
    <t>Lee Jeffrey</t>
  </si>
  <si>
    <t>Alfie Davies</t>
  </si>
  <si>
    <t>Ian Davies</t>
  </si>
  <si>
    <t>Dave Bell</t>
  </si>
  <si>
    <t>League
Placing</t>
  </si>
  <si>
    <t>Weekly
Prize</t>
  </si>
  <si>
    <t>Resigned?</t>
  </si>
  <si>
    <t>Y</t>
  </si>
  <si>
    <t>D14</t>
  </si>
  <si>
    <t>D15</t>
  </si>
  <si>
    <t>D16</t>
  </si>
  <si>
    <t>D17</t>
  </si>
  <si>
    <t>D18</t>
  </si>
  <si>
    <t>D19</t>
  </si>
  <si>
    <t>D20</t>
  </si>
  <si>
    <t>Season PL32 (Autumn 2019)</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</si>
  <si>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</si>
  <si>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</si>
  <si>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</si>
  <si>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</si>
  <si>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</si>
  <si>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</si>
  <si>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</si>
  <si>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</si>
  <si>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</si>
  <si>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</si>
  <si>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</si>
  <si>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</si>
  <si>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</si>
  <si>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</si>
  <si>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</si>
  <si>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</si>
  <si>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</si>
  <si>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</si>
  <si>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</si>
  <si>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</si>
  <si>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</si>
  <si>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</si>
  <si>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</si>
  <si>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</si>
  <si>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</si>
  <si>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</si>
  <si>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</si>
  <si>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</si>
  <si>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</si>
  <si>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</si>
  <si>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</si>
  <si>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</si>
  <si>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</si>
  <si>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</si>
  <si>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</si>
  <si>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</si>
  <si>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</si>
  <si>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</si>
  <si>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Luton</t>
  </si>
  <si>
    <t>Scunthorpe</t>
  </si>
  <si>
    <t>Wimbledon</t>
  </si>
  <si>
    <t>Tranmere</t>
  </si>
  <si>
    <t>Blackpool</t>
  </si>
  <si>
    <t>Doncaster</t>
  </si>
  <si>
    <t>Shrewsbury</t>
  </si>
  <si>
    <t>Carlisle</t>
  </si>
  <si>
    <t>Portsmouth</t>
  </si>
  <si>
    <t>League 1</t>
  </si>
  <si>
    <t>Gillingham</t>
  </si>
  <si>
    <t>Coventry</t>
  </si>
  <si>
    <t>League 2</t>
  </si>
  <si>
    <t>Grimsby</t>
  </si>
  <si>
    <t>Colchester</t>
  </si>
  <si>
    <t>Macclesfield</t>
  </si>
  <si>
    <t>Crawley</t>
  </si>
  <si>
    <t>Cambridge</t>
  </si>
  <si>
    <t>Curr
Carry Over</t>
  </si>
  <si>
    <t>Curr End Season
Balance</t>
  </si>
  <si>
    <t>Next
Div</t>
  </si>
  <si>
    <t>Next
Owed</t>
  </si>
  <si>
    <t>Next
Paid</t>
  </si>
  <si>
    <t>Pre-Next
Pay-outs</t>
  </si>
  <si>
    <t>Gareth Fallows</t>
  </si>
  <si>
    <t>X</t>
  </si>
  <si>
    <t>N</t>
  </si>
  <si>
    <t xml:space="preserve">Count of 65 </t>
  </si>
  <si>
    <t>Prev
Div</t>
  </si>
  <si>
    <t>Prev
Pos</t>
  </si>
  <si>
    <t>Prev
Score</t>
  </si>
  <si>
    <t>Season
Score</t>
  </si>
  <si>
    <t>Week
? of 3</t>
  </si>
  <si>
    <t>League
Place Prize</t>
  </si>
  <si>
    <t>Brough-
Forward</t>
  </si>
  <si>
    <t>Number of Entrants</t>
  </si>
  <si>
    <t>Season PL33 (Spring 2019)</t>
  </si>
  <si>
    <t>Bravest Max!</t>
  </si>
  <si>
    <t>This Week
Correct</t>
  </si>
  <si>
    <t>Mardest Max!</t>
  </si>
  <si>
    <t>Bradford</t>
  </si>
  <si>
    <t>Southend</t>
  </si>
  <si>
    <t>Plymouth</t>
  </si>
  <si>
    <t>MK Dons</t>
  </si>
  <si>
    <t>Exeter</t>
  </si>
  <si>
    <t>Northampton</t>
  </si>
  <si>
    <t>Forest Green</t>
  </si>
  <si>
    <t>Port Vale</t>
  </si>
  <si>
    <t>Crewe</t>
  </si>
  <si>
    <t>Morecambe</t>
  </si>
  <si>
    <t>Stevenage</t>
  </si>
  <si>
    <t>Count of Points</t>
  </si>
  <si>
    <t>Oxford</t>
  </si>
  <si>
    <t>Walsall</t>
  </si>
  <si>
    <t>Notts Co</t>
  </si>
  <si>
    <t>Yeovil</t>
  </si>
  <si>
    <t>Bristol R</t>
  </si>
  <si>
    <t>Rochdale</t>
  </si>
  <si>
    <t>Swindon</t>
  </si>
  <si>
    <t>Replay</t>
  </si>
  <si>
    <t>#N/A</t>
  </si>
  <si>
    <t>(blank)</t>
  </si>
  <si>
    <t>Week 1</t>
  </si>
  <si>
    <t>Week 2</t>
  </si>
  <si>
    <t>Act Score
This Week</t>
  </si>
  <si>
    <t>Cheltenham</t>
  </si>
  <si>
    <t>Lincoln</t>
  </si>
  <si>
    <t>Mansfield</t>
  </si>
  <si>
    <t>Champ</t>
  </si>
  <si>
    <t>West Brom</t>
  </si>
  <si>
    <t>Birmingham</t>
  </si>
  <si>
    <t>Premier</t>
  </si>
  <si>
    <t>Brighton</t>
  </si>
  <si>
    <t>Southampton</t>
  </si>
  <si>
    <t>Wolves</t>
  </si>
  <si>
    <t>Bournemouth</t>
  </si>
  <si>
    <t>Palace</t>
  </si>
  <si>
    <t>Huddersfield</t>
  </si>
  <si>
    <t>Everton</t>
  </si>
  <si>
    <t>Derby</t>
  </si>
  <si>
    <t>Rotherham</t>
  </si>
  <si>
    <t>Swansea</t>
  </si>
  <si>
    <t>Ipswich</t>
  </si>
  <si>
    <t>Hull</t>
  </si>
  <si>
    <t>Millwall</t>
  </si>
  <si>
    <t>Norwich</t>
  </si>
  <si>
    <t>QPR</t>
  </si>
  <si>
    <t>Reading</t>
  </si>
  <si>
    <t>Preston</t>
  </si>
  <si>
    <t>Sheff U</t>
  </si>
  <si>
    <t>Bristol C</t>
  </si>
  <si>
    <t>Stoke</t>
  </si>
  <si>
    <t>Sheff W</t>
  </si>
  <si>
    <t>Villa</t>
  </si>
  <si>
    <t>Blackburn</t>
  </si>
  <si>
    <t>Brentford</t>
  </si>
  <si>
    <t>Fleetwood</t>
  </si>
  <si>
    <t>Charlton</t>
  </si>
  <si>
    <t>Wycombe</t>
  </si>
  <si>
    <t>Oldham</t>
  </si>
  <si>
    <t>Newport</t>
  </si>
  <si>
    <t>Peterborough</t>
  </si>
  <si>
    <t>Arsenal</t>
  </si>
  <si>
    <t>Cardiff</t>
  </si>
  <si>
    <t>Fulham</t>
  </si>
  <si>
    <t>Man U</t>
  </si>
  <si>
    <t>West Ham</t>
  </si>
  <si>
    <t>Spurs</t>
  </si>
  <si>
    <t>Burnley</t>
  </si>
  <si>
    <t>Chelsea</t>
  </si>
  <si>
    <t>Notts co</t>
  </si>
  <si>
    <t>Reading draw</t>
  </si>
  <si>
    <t>Charlton draw</t>
  </si>
  <si>
    <t>Plymouth draw</t>
  </si>
  <si>
    <t>Wycombe draw</t>
  </si>
  <si>
    <t>Everton draw</t>
  </si>
  <si>
    <t>Chelsea draw</t>
  </si>
  <si>
    <t>Brentford draw</t>
  </si>
  <si>
    <t>Everton Draw</t>
  </si>
  <si>
    <t>Wolves Draw</t>
  </si>
  <si>
    <t>Cardiff Draw</t>
  </si>
  <si>
    <t>Newcastle Draw</t>
  </si>
  <si>
    <t>Wigan draw</t>
  </si>
  <si>
    <t>Forest Green draw</t>
  </si>
  <si>
    <t>MK Dons draw</t>
  </si>
  <si>
    <t>Blackburn draw</t>
  </si>
  <si>
    <t>Forest Green Draw</t>
  </si>
  <si>
    <t>Reading Draw</t>
  </si>
  <si>
    <t>Villa Draw</t>
  </si>
  <si>
    <t>Arsenal Draw</t>
  </si>
  <si>
    <t>Newcastle draw</t>
  </si>
  <si>
    <t>Arsenal draw</t>
  </si>
  <si>
    <t>Derby draw</t>
  </si>
  <si>
    <t>Ipswich draw</t>
  </si>
  <si>
    <t>Bournemouth draw</t>
  </si>
  <si>
    <t>Cardiff draw</t>
  </si>
  <si>
    <t>Macclesfield draw</t>
  </si>
  <si>
    <t>Villa draw</t>
  </si>
  <si>
    <t>Forest</t>
  </si>
  <si>
    <t>League Standings after Week 20</t>
  </si>
  <si>
    <t>Weekly Top 12 for Week 20</t>
  </si>
  <si>
    <t>Steve Baxter (2 in)</t>
  </si>
  <si>
    <t>Dave Bell (0 in)</t>
  </si>
  <si>
    <t>Wigan (13/10)</t>
  </si>
  <si>
    <t>Cardiff (9/5)</t>
  </si>
  <si>
    <t>Arsenal draw (19/5) - K Carter\J Walsh</t>
  </si>
  <si>
    <t>Promotion/Prize Places (Top 6) In Division after Week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</si>
</sst>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8" formatCode="&quot;£&quot;#,##0.00;[Red]\-&quot;£&quot;#,##0.00"/>
    <numFmt numFmtId="172" formatCode="&quot;£&quot;#,##0.00"/>
    <numFmt numFmtId="178" formatCode="#\ ??/100"/>
    <numFmt numFmtId="179" formatCode="&quot;£&quot;#,##0"/>
    <numFmt numFmtId="181" formatCode="d/m/yy;@"/>
    <numFmt numFmtId="182" formatCode="dddd\,\ dd"/>
    <numFmt numFmtId="189" formatCode="ddd\,\ d\ mmm"/>
    <numFmt numFmtId="190" formatCode="ddd\ dd\ mmm"/>
    <numFmt numFmtId="191" formatCode="0.00_ ;[Red]\-0.00\ "/>
    <numFmt numFmtId="192" formatCode="#,##0.00_ ;[Red]\-#,##0.00\ "/>
    <numFmt numFmtId="193" formatCode="#,##0_ ;[Red]\-#,##0\ "/>
    <numFmt numFmtId="194" formatCode="0_ ;[Red]\-0\ "/>
    <numFmt numFmtId="195" formatCode="d\-mmm"/>
    <numFmt numFmtId="198" formatCode="0.000"/>
    <numFmt numFmtId="202" formatCode="ddd\,\ dd\ mmmm"/>
  </numFmts>
  <fonts count="71" x14ac:knownFonts="1">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sz val="8"/>
      <name val="Tahoma"/>
      <family val="2"/>
    </font>
    <font>
      <b/>
      <sz val="9"/>
      <color indexed="9"/>
      <name val="Tahoma"/>
      <family val="2"/>
    </font>
    <font>
      <sz val="10"/>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6"/>
      <name val="Arial"/>
      <family val="2"/>
    </font>
    <font>
      <b/>
      <sz val="10"/>
      <color indexed="17"/>
      <name val="Calibri"/>
      <family val="2"/>
    </font>
    <font>
      <b/>
      <sz val="10"/>
      <color indexed="10"/>
      <name val="Calibri"/>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10"/>
      <color theme="6" tint="-0.249977111117893"/>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rgb="FF7030A0"/>
      <name val="Tahoma"/>
      <family val="2"/>
    </font>
    <font>
      <sz val="14"/>
      <color rgb="FFFFFF00"/>
      <name val="Tahoma"/>
      <family val="2"/>
    </font>
    <font>
      <sz val="10"/>
      <color theme="1"/>
      <name val="Tahoma"/>
      <family val="2"/>
    </font>
    <font>
      <sz val="10"/>
      <color theme="0" tint="-0.499984740745262"/>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sz val="9"/>
      <color theme="9" tint="0.79998168889431442"/>
      <name val="Arial"/>
      <family val="2"/>
    </font>
    <font>
      <sz val="9"/>
      <color theme="9" tint="0.79998168889431442"/>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s>
  <fills count="26">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
      <patternFill patternType="solid">
        <fgColor rgb="FF00B0F0"/>
        <bgColor indexed="64"/>
      </patternFill>
    </fill>
    <fill>
      <patternFill patternType="solid">
        <fgColor theme="0" tint="-0.34998626667073579"/>
        <bgColor indexed="64"/>
      </patternFill>
    </fill>
  </fills>
  <borders count="9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right/>
      <top style="thin">
        <color rgb="FF999999"/>
      </top>
      <bottom/>
      <diagonal/>
    </border>
    <border>
      <left style="thin">
        <color rgb="FF7030A0"/>
      </left>
      <right style="thin">
        <color rgb="FF7030A0"/>
      </right>
      <top/>
      <bottom style="thin">
        <color rgb="FF7030A0"/>
      </bottom>
      <diagonal/>
    </border>
    <border>
      <left/>
      <right/>
      <top style="thin">
        <color rgb="FF999999"/>
      </top>
      <bottom style="thin">
        <color rgb="FF999999"/>
      </bottom>
      <diagonal/>
    </border>
    <border>
      <left style="thin">
        <color rgb="FF7030A0"/>
      </left>
      <right/>
      <top/>
      <bottom style="thin">
        <color rgb="FF7030A0"/>
      </bottom>
      <diagonal/>
    </border>
    <border>
      <left/>
      <right style="thin">
        <color rgb="FF7030A0"/>
      </right>
      <top/>
      <bottom style="thin">
        <color rgb="FF7030A0"/>
      </bottom>
      <diagonal/>
    </border>
  </borders>
  <cellStyleXfs count="2">
    <xf numFmtId="0" fontId="0" fillId="0" borderId="0"/>
    <xf numFmtId="0" fontId="2" fillId="0" borderId="0" applyNumberFormat="0" applyFill="0" applyBorder="0" applyAlignment="0" applyProtection="0">
      <alignment vertical="top"/>
      <protection locked="0"/>
    </xf>
  </cellStyleXfs>
  <cellXfs count="723">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178" fontId="0" fillId="0" borderId="0" xfId="0" applyNumberFormat="1" applyAlignment="1">
      <alignment horizontal="center"/>
    </xf>
    <xf numFmtId="0" fontId="4" fillId="0" borderId="0" xfId="0" applyFont="1"/>
    <xf numFmtId="181"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82" fontId="4" fillId="0" borderId="0" xfId="0" applyNumberFormat="1" applyFont="1"/>
    <xf numFmtId="182" fontId="0" fillId="0" borderId="0" xfId="0" applyNumberFormat="1"/>
    <xf numFmtId="0" fontId="4" fillId="0" borderId="0" xfId="0" applyFont="1" applyAlignment="1">
      <alignment horizontal="left"/>
    </xf>
    <xf numFmtId="189" fontId="0" fillId="0" borderId="0" xfId="0" applyNumberFormat="1" applyAlignment="1">
      <alignment horizontal="left"/>
    </xf>
    <xf numFmtId="190"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89" fontId="4" fillId="3" borderId="0" xfId="0" applyNumberFormat="1" applyFont="1" applyFill="1" applyAlignment="1">
      <alignment horizontal="left"/>
    </xf>
    <xf numFmtId="181"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89"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6" borderId="3" xfId="0" applyFont="1" applyFill="1" applyBorder="1"/>
    <xf numFmtId="0" fontId="4" fillId="6" borderId="4" xfId="0" applyFont="1" applyFill="1" applyBorder="1"/>
    <xf numFmtId="0" fontId="4" fillId="6" borderId="5" xfId="0" applyFont="1" applyFill="1" applyBorder="1"/>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2" fontId="4" fillId="8" borderId="0" xfId="0" applyNumberFormat="1" applyFont="1" applyFill="1"/>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91" fontId="5" fillId="0" borderId="0" xfId="0" applyNumberFormat="1" applyFont="1" applyAlignment="1">
      <alignment horizontal="center"/>
    </xf>
    <xf numFmtId="8" fontId="5" fillId="0" borderId="0" xfId="0" applyNumberFormat="1" applyFont="1" applyAlignment="1">
      <alignment horizontal="center"/>
    </xf>
    <xf numFmtId="192" fontId="5" fillId="0" borderId="0" xfId="0" applyNumberFormat="1" applyFont="1" applyAlignment="1">
      <alignment horizontal="center"/>
    </xf>
    <xf numFmtId="193"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23" fillId="9" borderId="15" xfId="0" applyFont="1" applyFill="1" applyBorder="1" applyAlignment="1">
      <alignment horizontal="center" wrapText="1"/>
    </xf>
    <xf numFmtId="0" fontId="24" fillId="9" borderId="70"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5" fillId="10" borderId="14" xfId="0" applyFont="1" applyFill="1" applyBorder="1" applyAlignment="1">
      <alignment horizontal="left"/>
    </xf>
    <xf numFmtId="2" fontId="25"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91" fontId="4" fillId="0" borderId="14" xfId="0" applyNumberFormat="1" applyFont="1" applyBorder="1"/>
    <xf numFmtId="0" fontId="4" fillId="0" borderId="9" xfId="0" applyFont="1" applyBorder="1" applyAlignment="1">
      <alignment horizontal="center"/>
    </xf>
    <xf numFmtId="0" fontId="4" fillId="0" borderId="13" xfId="0" applyFont="1" applyBorder="1"/>
    <xf numFmtId="0" fontId="7" fillId="8" borderId="0" xfId="0" applyFont="1" applyFill="1"/>
    <xf numFmtId="191" fontId="7" fillId="8" borderId="0" xfId="0" applyNumberFormat="1" applyFont="1" applyFill="1"/>
    <xf numFmtId="0" fontId="0" fillId="8" borderId="0" xfId="0" applyFill="1"/>
    <xf numFmtId="0" fontId="0" fillId="8" borderId="0" xfId="0" applyFill="1" applyAlignment="1">
      <alignment horizontal="left"/>
    </xf>
    <xf numFmtId="0" fontId="7" fillId="8" borderId="0" xfId="0" applyFont="1" applyFill="1" applyAlignment="1">
      <alignment horizontal="center"/>
    </xf>
    <xf numFmtId="191"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4" fillId="8" borderId="0" xfId="0" applyFont="1" applyFill="1"/>
    <xf numFmtId="0" fontId="26" fillId="9" borderId="70" xfId="1" applyFont="1" applyFill="1" applyBorder="1" applyAlignment="1" applyProtection="1"/>
    <xf numFmtId="191" fontId="4" fillId="8" borderId="0" xfId="0" applyNumberFormat="1" applyFont="1" applyFill="1"/>
    <xf numFmtId="191" fontId="0" fillId="8" borderId="0" xfId="0" applyNumberFormat="1" applyFill="1"/>
    <xf numFmtId="0" fontId="4" fillId="8" borderId="0" xfId="0" applyFont="1" applyFill="1" applyAlignment="1">
      <alignment horizontal="center"/>
    </xf>
    <xf numFmtId="0" fontId="4" fillId="8" borderId="6" xfId="0" applyFont="1" applyFill="1" applyBorder="1"/>
    <xf numFmtId="0" fontId="24" fillId="9" borderId="14" xfId="0" applyFont="1" applyFill="1" applyBorder="1"/>
    <xf numFmtId="0" fontId="4" fillId="8" borderId="0" xfId="0" applyFont="1" applyFill="1"/>
    <xf numFmtId="0" fontId="4" fillId="8" borderId="0" xfId="0" applyFont="1" applyFill="1" applyAlignment="1">
      <alignment horizontal="left"/>
    </xf>
    <xf numFmtId="189" fontId="4" fillId="8" borderId="0" xfId="0" applyNumberFormat="1" applyFont="1" applyFill="1" applyAlignment="1">
      <alignment horizontal="left"/>
    </xf>
    <xf numFmtId="189" fontId="4" fillId="8" borderId="0" xfId="0" applyNumberFormat="1" applyFont="1" applyFill="1" applyAlignment="1">
      <alignment horizontal="left"/>
    </xf>
    <xf numFmtId="191" fontId="4" fillId="8" borderId="14" xfId="0" applyNumberFormat="1" applyFont="1" applyFill="1" applyBorder="1"/>
    <xf numFmtId="0" fontId="0" fillId="0" borderId="6" xfId="0" applyBorder="1"/>
    <xf numFmtId="0" fontId="0" fillId="0" borderId="10" xfId="0" applyBorder="1"/>
    <xf numFmtId="179" fontId="0" fillId="0" borderId="10" xfId="0" applyNumberFormat="1" applyBorder="1"/>
    <xf numFmtId="6" fontId="0" fillId="0" borderId="10" xfId="0" applyNumberFormat="1" applyBorder="1"/>
    <xf numFmtId="0" fontId="0" fillId="0" borderId="11" xfId="0" applyBorder="1"/>
    <xf numFmtId="179" fontId="0" fillId="0" borderId="13" xfId="0" applyNumberFormat="1" applyBorder="1"/>
    <xf numFmtId="194" fontId="5" fillId="0" borderId="0" xfId="0" applyNumberFormat="1" applyFont="1" applyAlignment="1">
      <alignment horizontal="center"/>
    </xf>
    <xf numFmtId="0" fontId="4" fillId="0" borderId="6" xfId="0" applyFont="1" applyBorder="1"/>
    <xf numFmtId="0" fontId="1" fillId="0" borderId="6" xfId="0" applyFont="1" applyBorder="1"/>
    <xf numFmtId="179" fontId="1" fillId="0" borderId="10" xfId="0" applyNumberFormat="1" applyFont="1" applyBorder="1"/>
    <xf numFmtId="6" fontId="1" fillId="0" borderId="10" xfId="0" applyNumberFormat="1" applyFont="1" applyBorder="1"/>
    <xf numFmtId="0" fontId="24"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0" fontId="4" fillId="8" borderId="0" xfId="0" applyFont="1" applyFill="1" applyAlignment="1">
      <alignment horizontal="center"/>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7"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24" fillId="9" borderId="0" xfId="0" applyFont="1" applyFill="1" applyAlignment="1">
      <alignment horizontal="left" vertical="center"/>
    </xf>
    <xf numFmtId="0" fontId="24" fillId="9" borderId="0" xfId="0" applyFont="1" applyFill="1" applyAlignment="1">
      <alignment horizontal="left" vertical="center"/>
    </xf>
    <xf numFmtId="49" fontId="24" fillId="9" borderId="19" xfId="0" applyNumberFormat="1" applyFont="1" applyFill="1" applyBorder="1" applyAlignment="1">
      <alignment horizontal="center" vertical="center"/>
    </xf>
    <xf numFmtId="2" fontId="24" fillId="9" borderId="0" xfId="0" applyNumberFormat="1" applyFont="1" applyFill="1" applyAlignment="1">
      <alignment horizontal="center" vertical="center"/>
    </xf>
    <xf numFmtId="0" fontId="24" fillId="9" borderId="0" xfId="0" applyFont="1" applyFill="1" applyAlignment="1">
      <alignment horizontal="center" vertical="center"/>
    </xf>
    <xf numFmtId="0" fontId="24" fillId="9" borderId="0" xfId="0" applyFont="1" applyFill="1" applyAlignment="1">
      <alignment horizontal="right" vertical="center"/>
    </xf>
    <xf numFmtId="2" fontId="0" fillId="11" borderId="0" xfId="0" applyNumberFormat="1" applyFill="1" applyAlignment="1">
      <alignment horizont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24" fillId="9" borderId="14" xfId="0" applyFont="1" applyFill="1" applyBorder="1" applyAlignment="1">
      <alignment horizontal="left"/>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0" fontId="4" fillId="8" borderId="19" xfId="0" applyFont="1" applyFill="1" applyBorder="1" applyAlignment="1">
      <alignment horizontal="center"/>
    </xf>
    <xf numFmtId="2" fontId="4" fillId="8" borderId="19" xfId="0" applyNumberFormat="1" applyFont="1" applyFill="1" applyBorder="1" applyAlignment="1">
      <alignment horizontal="center"/>
    </xf>
    <xf numFmtId="40" fontId="5" fillId="0" borderId="0" xfId="0" applyNumberFormat="1" applyFont="1" applyAlignment="1">
      <alignment horizontal="center"/>
    </xf>
    <xf numFmtId="191" fontId="0" fillId="0" borderId="0" xfId="0" applyNumberFormat="1" applyAlignment="1">
      <alignment horizontal="center"/>
    </xf>
    <xf numFmtId="191" fontId="4" fillId="0" borderId="0" xfId="0" applyNumberFormat="1" applyFont="1" applyAlignment="1">
      <alignment horizontal="center"/>
    </xf>
    <xf numFmtId="2" fontId="27" fillId="8" borderId="0" xfId="0" applyNumberFormat="1" applyFont="1" applyFill="1" applyAlignment="1">
      <alignment horizontal="center"/>
    </xf>
    <xf numFmtId="2" fontId="4" fillId="8" borderId="19" xfId="0" applyNumberFormat="1" applyFont="1" applyFill="1" applyBorder="1" applyAlignment="1">
      <alignment horizontal="left"/>
    </xf>
    <xf numFmtId="2" fontId="28"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195" fontId="29" fillId="8" borderId="0" xfId="0" applyNumberFormat="1" applyFont="1" applyFill="1" applyAlignment="1">
      <alignment horizontal="left"/>
    </xf>
    <xf numFmtId="0" fontId="23" fillId="9" borderId="16" xfId="0" applyFont="1" applyFill="1" applyBorder="1" applyAlignment="1">
      <alignment horizontal="left" vertical="center"/>
    </xf>
    <xf numFmtId="0" fontId="23" fillId="9" borderId="14" xfId="0" applyFont="1" applyFill="1" applyBorder="1" applyAlignment="1">
      <alignment vertical="center"/>
    </xf>
    <xf numFmtId="0" fontId="23" fillId="9" borderId="14" xfId="0" applyFont="1" applyFill="1" applyBorder="1" applyAlignment="1">
      <alignment horizontal="right" vertical="center"/>
    </xf>
    <xf numFmtId="0" fontId="30" fillId="8" borderId="14" xfId="0" applyFont="1" applyFill="1" applyBorder="1" applyAlignment="1">
      <alignment vertical="center" shrinkToFit="1"/>
    </xf>
    <xf numFmtId="0" fontId="0" fillId="0" borderId="0" xfId="0" applyAlignment="1">
      <alignment horizontal="left" vertical="center"/>
    </xf>
    <xf numFmtId="0" fontId="30" fillId="8" borderId="14" xfId="0" applyFont="1" applyFill="1" applyBorder="1" applyAlignment="1">
      <alignment vertical="center"/>
    </xf>
    <xf numFmtId="0" fontId="31" fillId="8" borderId="14" xfId="0" applyFont="1" applyFill="1" applyBorder="1" applyAlignment="1">
      <alignment horizontal="center" vertical="center"/>
    </xf>
    <xf numFmtId="1" fontId="30" fillId="8" borderId="14" xfId="0" applyNumberFormat="1" applyFont="1" applyFill="1" applyBorder="1" applyAlignment="1">
      <alignment horizontal="center" vertical="center"/>
    </xf>
    <xf numFmtId="0" fontId="30" fillId="8" borderId="14" xfId="0" applyFont="1" applyFill="1" applyBorder="1" applyAlignment="1">
      <alignment horizontal="center" vertical="center"/>
    </xf>
    <xf numFmtId="0" fontId="31" fillId="8" borderId="14" xfId="0" applyFont="1" applyFill="1" applyBorder="1" applyAlignment="1">
      <alignment vertical="center" shrinkToFit="1"/>
    </xf>
    <xf numFmtId="0" fontId="31" fillId="0" borderId="14" xfId="0" applyFont="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9" fillId="8" borderId="0" xfId="0" applyNumberFormat="1" applyFont="1" applyFill="1" applyAlignment="1">
      <alignment horizontal="left"/>
    </xf>
    <xf numFmtId="0" fontId="23" fillId="9" borderId="14" xfId="0" applyFont="1" applyFill="1" applyBorder="1" applyAlignment="1">
      <alignment horizontal="left" vertical="center"/>
    </xf>
    <xf numFmtId="0" fontId="0" fillId="8" borderId="0" xfId="0" applyFill="1"/>
    <xf numFmtId="0" fontId="24" fillId="8" borderId="0" xfId="0" applyFont="1" applyFill="1" applyAlignment="1">
      <alignment horizontal="left"/>
    </xf>
    <xf numFmtId="190" fontId="0" fillId="8" borderId="0" xfId="0" applyNumberFormat="1" applyFill="1" applyAlignment="1">
      <alignment horizontal="left"/>
    </xf>
    <xf numFmtId="190" fontId="4" fillId="8" borderId="0" xfId="0" applyNumberFormat="1" applyFont="1" applyFill="1" applyAlignment="1">
      <alignment horizontal="left"/>
    </xf>
    <xf numFmtId="190" fontId="0" fillId="8" borderId="0" xfId="0" applyNumberFormat="1" applyFill="1" applyAlignment="1">
      <alignment horizontal="left"/>
    </xf>
    <xf numFmtId="191"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32"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33" fillId="5" borderId="14" xfId="0" applyFont="1" applyFill="1" applyBorder="1" applyAlignment="1">
      <alignment horizontal="center"/>
    </xf>
    <xf numFmtId="1" fontId="0" fillId="3" borderId="0" xfId="0" applyNumberFormat="1" applyFill="1" applyAlignment="1">
      <alignment horizontal="left"/>
    </xf>
    <xf numFmtId="0" fontId="34" fillId="9" borderId="9" xfId="0" applyFont="1" applyFill="1" applyBorder="1"/>
    <xf numFmtId="179" fontId="35" fillId="9" borderId="10" xfId="0" applyNumberFormat="1" applyFont="1" applyFill="1" applyBorder="1"/>
    <xf numFmtId="6" fontId="10" fillId="0" borderId="10" xfId="0" applyNumberFormat="1" applyFont="1" applyBorder="1"/>
    <xf numFmtId="0" fontId="35"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0" fontId="24" fillId="9" borderId="21" xfId="0" applyFont="1" applyFill="1" applyBorder="1" applyAlignment="1">
      <alignment horizontal="left" vertical="center"/>
    </xf>
    <xf numFmtId="0" fontId="24" fillId="9" borderId="22" xfId="0" applyFont="1" applyFill="1" applyBorder="1" applyAlignment="1">
      <alignment horizontal="left" vertical="center"/>
    </xf>
    <xf numFmtId="0" fontId="25" fillId="10" borderId="14" xfId="0" applyFont="1" applyFill="1" applyBorder="1" applyAlignment="1">
      <alignment horizontal="left" vertical="center"/>
    </xf>
    <xf numFmtId="190" fontId="25" fillId="10" borderId="14" xfId="0" applyNumberFormat="1" applyFont="1" applyFill="1" applyBorder="1" applyAlignment="1">
      <alignment horizontal="left" vertical="center"/>
    </xf>
    <xf numFmtId="190" fontId="25" fillId="10" borderId="14" xfId="0" applyNumberFormat="1" applyFont="1" applyFill="1" applyBorder="1" applyAlignment="1">
      <alignment horizontal="center" vertical="center"/>
    </xf>
    <xf numFmtId="190" fontId="0" fillId="0" borderId="14" xfId="0" applyNumberFormat="1" applyBorder="1" applyAlignment="1">
      <alignment horizontal="left" vertical="center"/>
    </xf>
    <xf numFmtId="190" fontId="4" fillId="0" borderId="14" xfId="0" applyNumberFormat="1" applyFont="1" applyBorder="1" applyAlignment="1">
      <alignment horizontal="left" vertical="center"/>
    </xf>
    <xf numFmtId="191" fontId="4" fillId="0" borderId="0" xfId="0" applyNumberFormat="1" applyFont="1"/>
    <xf numFmtId="198" fontId="4" fillId="0" borderId="0" xfId="0" applyNumberFormat="1" applyFont="1" applyAlignment="1">
      <alignment horizontal="center"/>
    </xf>
    <xf numFmtId="198" fontId="0" fillId="0" borderId="0" xfId="0" applyNumberFormat="1" applyAlignment="1">
      <alignment horizontal="center"/>
    </xf>
    <xf numFmtId="198" fontId="0" fillId="0" borderId="0" xfId="0" applyNumberFormat="1"/>
    <xf numFmtId="198" fontId="4" fillId="0" borderId="0" xfId="0" applyNumberFormat="1" applyFont="1"/>
    <xf numFmtId="198" fontId="4" fillId="5" borderId="0" xfId="0" quotePrefix="1" applyNumberFormat="1" applyFont="1" applyFill="1" applyAlignment="1">
      <alignment horizontal="center"/>
    </xf>
    <xf numFmtId="198" fontId="0" fillId="5" borderId="0" xfId="0" applyNumberFormat="1" applyFill="1" applyAlignment="1">
      <alignment horizontal="center"/>
    </xf>
    <xf numFmtId="198" fontId="0" fillId="12" borderId="0" xfId="0" applyNumberFormat="1" applyFill="1" applyAlignment="1">
      <alignment horizontal="center"/>
    </xf>
    <xf numFmtId="198" fontId="0" fillId="13" borderId="0" xfId="0" applyNumberFormat="1" applyFill="1" applyAlignment="1">
      <alignment horizontal="center"/>
    </xf>
    <xf numFmtId="0" fontId="28" fillId="0" borderId="6" xfId="0" applyFont="1" applyBorder="1"/>
    <xf numFmtId="179" fontId="28"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23" xfId="0" applyNumberFormat="1" applyFont="1" applyFill="1" applyBorder="1" applyAlignment="1">
      <alignment horizontal="left"/>
    </xf>
    <xf numFmtId="0" fontId="4" fillId="4" borderId="24" xfId="0" applyFont="1" applyFill="1" applyBorder="1" applyAlignment="1">
      <alignment horizontal="left"/>
    </xf>
    <xf numFmtId="0" fontId="4" fillId="4" borderId="25" xfId="0" applyFont="1" applyFill="1" applyBorder="1" applyAlignment="1">
      <alignment horizontal="center"/>
    </xf>
    <xf numFmtId="2" fontId="4" fillId="4" borderId="26" xfId="0" applyNumberFormat="1" applyFont="1" applyFill="1" applyBorder="1" applyAlignment="1">
      <alignment horizontal="center"/>
    </xf>
    <xf numFmtId="0" fontId="4" fillId="4" borderId="27" xfId="0" applyFont="1" applyFill="1" applyBorder="1" applyAlignment="1">
      <alignment horizontal="center"/>
    </xf>
    <xf numFmtId="2" fontId="27" fillId="4" borderId="28" xfId="0" applyNumberFormat="1" applyFont="1" applyFill="1" applyBorder="1" applyAlignment="1">
      <alignment vertical="center"/>
    </xf>
    <xf numFmtId="2" fontId="4" fillId="4" borderId="18" xfId="0" applyNumberFormat="1" applyFont="1" applyFill="1" applyBorder="1" applyAlignment="1">
      <alignment vertical="center"/>
    </xf>
    <xf numFmtId="0" fontId="4" fillId="4" borderId="29" xfId="0" applyFont="1" applyFill="1" applyBorder="1" applyAlignment="1">
      <alignment horizontal="left"/>
    </xf>
    <xf numFmtId="0" fontId="4" fillId="4" borderId="25" xfId="0" applyFont="1" applyFill="1" applyBorder="1" applyAlignment="1">
      <alignment horizontal="center"/>
    </xf>
    <xf numFmtId="2" fontId="4" fillId="4" borderId="25" xfId="0" applyNumberFormat="1" applyFont="1" applyFill="1" applyBorder="1" applyAlignment="1">
      <alignment horizontal="center"/>
    </xf>
    <xf numFmtId="0" fontId="4" fillId="4" borderId="30" xfId="0" applyFont="1" applyFill="1" applyBorder="1" applyAlignment="1">
      <alignment horizontal="center"/>
    </xf>
    <xf numFmtId="0" fontId="27" fillId="4" borderId="0" xfId="0" applyFont="1" applyFill="1" applyAlignment="1">
      <alignment horizontal="center"/>
    </xf>
    <xf numFmtId="0" fontId="4" fillId="4" borderId="31" xfId="0" applyFont="1" applyFill="1" applyBorder="1" applyAlignment="1">
      <alignment horizontal="center"/>
    </xf>
    <xf numFmtId="0" fontId="4" fillId="4" borderId="32" xfId="0" applyFont="1" applyFill="1" applyBorder="1" applyAlignment="1">
      <alignment horizontal="left"/>
    </xf>
    <xf numFmtId="0" fontId="4" fillId="4" borderId="33" xfId="0" applyFont="1" applyFill="1" applyBorder="1" applyAlignment="1">
      <alignment horizontal="center"/>
    </xf>
    <xf numFmtId="2" fontId="4" fillId="4" borderId="33" xfId="0" applyNumberFormat="1" applyFont="1" applyFill="1" applyBorder="1" applyAlignment="1">
      <alignment horizontal="center"/>
    </xf>
    <xf numFmtId="0" fontId="4" fillId="4" borderId="24" xfId="0" applyFont="1" applyFill="1" applyBorder="1" applyAlignment="1">
      <alignment horizontal="left"/>
    </xf>
    <xf numFmtId="0" fontId="4" fillId="4" borderId="27" xfId="0" applyFont="1" applyFill="1" applyBorder="1" applyAlignment="1">
      <alignment horizontal="center"/>
    </xf>
    <xf numFmtId="0" fontId="27" fillId="4" borderId="0" xfId="0" applyFont="1" applyFill="1" applyAlignment="1">
      <alignment horizontal="center"/>
    </xf>
    <xf numFmtId="0" fontId="4" fillId="4" borderId="31" xfId="0" applyFont="1" applyFill="1" applyBorder="1" applyAlignment="1">
      <alignment horizontal="center"/>
    </xf>
    <xf numFmtId="0" fontId="4" fillId="4" borderId="34" xfId="0" applyFont="1" applyFill="1" applyBorder="1" applyAlignment="1">
      <alignment horizontal="center"/>
    </xf>
    <xf numFmtId="0" fontId="27" fillId="4" borderId="19" xfId="0" applyFont="1" applyFill="1" applyBorder="1" applyAlignment="1">
      <alignment horizontal="center"/>
    </xf>
    <xf numFmtId="0" fontId="4" fillId="4" borderId="35" xfId="0" applyFont="1" applyFill="1" applyBorder="1" applyAlignment="1">
      <alignment horizontal="center"/>
    </xf>
    <xf numFmtId="0" fontId="4" fillId="4" borderId="36" xfId="0" applyFont="1" applyFill="1" applyBorder="1" applyAlignment="1">
      <alignment horizontal="center" vertical="center"/>
    </xf>
    <xf numFmtId="198" fontId="4" fillId="4" borderId="37" xfId="0" applyNumberFormat="1" applyFont="1" applyFill="1" applyBorder="1" applyAlignment="1">
      <alignment horizontal="center"/>
    </xf>
    <xf numFmtId="0" fontId="4" fillId="4" borderId="38" xfId="0" applyFont="1" applyFill="1" applyBorder="1" applyAlignment="1">
      <alignment horizontal="center"/>
    </xf>
    <xf numFmtId="2" fontId="4" fillId="4" borderId="38" xfId="0" applyNumberFormat="1" applyFont="1" applyFill="1" applyBorder="1" applyAlignment="1">
      <alignment horizontal="center"/>
    </xf>
    <xf numFmtId="0" fontId="4" fillId="4" borderId="39" xfId="0" applyFont="1" applyFill="1" applyBorder="1" applyAlignment="1">
      <alignment horizontal="center" vertical="center"/>
    </xf>
    <xf numFmtId="198" fontId="4" fillId="4" borderId="40" xfId="0" applyNumberFormat="1" applyFont="1" applyFill="1" applyBorder="1" applyAlignment="1">
      <alignment horizontal="center"/>
    </xf>
    <xf numFmtId="0" fontId="4" fillId="4" borderId="41" xfId="0" applyFont="1" applyFill="1" applyBorder="1" applyAlignment="1">
      <alignment horizontal="center" vertical="center"/>
    </xf>
    <xf numFmtId="198" fontId="4" fillId="4" borderId="42" xfId="0" applyNumberFormat="1" applyFont="1" applyFill="1" applyBorder="1" applyAlignment="1">
      <alignment horizontal="center"/>
    </xf>
    <xf numFmtId="2" fontId="4" fillId="4" borderId="43" xfId="0" applyNumberFormat="1" applyFont="1" applyFill="1" applyBorder="1" applyAlignment="1">
      <alignment horizontal="center"/>
    </xf>
    <xf numFmtId="0" fontId="4" fillId="4" borderId="44" xfId="0" applyFont="1" applyFill="1" applyBorder="1" applyAlignment="1">
      <alignment horizontal="center"/>
    </xf>
    <xf numFmtId="0" fontId="4" fillId="4" borderId="43" xfId="0" applyFont="1" applyFill="1" applyBorder="1" applyAlignment="1">
      <alignment horizontal="center"/>
    </xf>
    <xf numFmtId="0" fontId="36" fillId="0" borderId="0" xfId="0" applyFont="1" applyAlignment="1">
      <alignment horizontal="center"/>
    </xf>
    <xf numFmtId="2" fontId="36" fillId="8" borderId="0" xfId="0" applyNumberFormat="1" applyFont="1" applyFill="1" applyAlignment="1">
      <alignment horizontal="center"/>
    </xf>
    <xf numFmtId="2" fontId="36" fillId="0" borderId="0" xfId="0" applyNumberFormat="1" applyFont="1" applyAlignment="1">
      <alignment horizontal="center"/>
    </xf>
    <xf numFmtId="191" fontId="0" fillId="0" borderId="0" xfId="0" applyNumberFormat="1"/>
    <xf numFmtId="0" fontId="0" fillId="4" borderId="20" xfId="0" applyFill="1" applyBorder="1" applyAlignment="1">
      <alignment horizontal="center"/>
    </xf>
    <xf numFmtId="0" fontId="24" fillId="9" borderId="45" xfId="0" applyFont="1" applyFill="1" applyBorder="1" applyAlignment="1">
      <alignment horizontal="left" vertical="center"/>
    </xf>
    <xf numFmtId="49" fontId="24" fillId="9" borderId="46" xfId="0" applyNumberFormat="1" applyFont="1" applyFill="1" applyBorder="1" applyAlignment="1">
      <alignment horizontal="center" vertical="center"/>
    </xf>
    <xf numFmtId="2" fontId="24" fillId="9" borderId="47" xfId="0" applyNumberFormat="1" applyFont="1" applyFill="1" applyBorder="1" applyAlignment="1">
      <alignment horizontal="center" vertical="center"/>
    </xf>
    <xf numFmtId="0" fontId="24" fillId="9" borderId="48" xfId="0" applyFont="1" applyFill="1" applyBorder="1" applyAlignment="1">
      <alignment horizontal="center" vertical="center"/>
    </xf>
    <xf numFmtId="0" fontId="24" fillId="9" borderId="31" xfId="0" applyFont="1" applyFill="1" applyBorder="1" applyAlignment="1">
      <alignment horizontal="right" vertical="center"/>
    </xf>
    <xf numFmtId="0" fontId="1" fillId="2" borderId="49" xfId="0" applyFont="1" applyFill="1" applyBorder="1" applyAlignment="1">
      <alignment horizontal="left" vertical="center"/>
    </xf>
    <xf numFmtId="0" fontId="1" fillId="4" borderId="50" xfId="0" applyFont="1" applyFill="1" applyBorder="1" applyAlignment="1">
      <alignment horizontal="center" vertical="center"/>
    </xf>
    <xf numFmtId="198" fontId="1" fillId="4" borderId="51" xfId="0" applyNumberFormat="1" applyFont="1" applyFill="1" applyBorder="1" applyAlignment="1">
      <alignment horizontal="center" vertical="center"/>
    </xf>
    <xf numFmtId="0" fontId="1" fillId="4" borderId="49" xfId="0" applyFont="1" applyFill="1" applyBorder="1" applyAlignment="1">
      <alignment horizontal="center" vertical="center"/>
    </xf>
    <xf numFmtId="0" fontId="1" fillId="8" borderId="0" xfId="0" applyFont="1" applyFill="1" applyAlignment="1">
      <alignment horizontal="center" vertical="center"/>
    </xf>
    <xf numFmtId="0" fontId="4" fillId="6" borderId="3" xfId="0" applyFont="1" applyFill="1" applyBorder="1" applyAlignment="1">
      <alignment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7" fillId="8" borderId="0" xfId="0" applyNumberFormat="1" applyFont="1" applyFill="1" applyAlignment="1">
      <alignment horizontal="center" vertical="center"/>
    </xf>
    <xf numFmtId="1" fontId="25" fillId="8" borderId="0" xfId="0" applyNumberFormat="1" applyFont="1" applyFill="1" applyAlignment="1">
      <alignment horizontal="center" vertical="center"/>
    </xf>
    <xf numFmtId="191" fontId="0" fillId="0" borderId="0" xfId="0" applyNumberFormat="1" applyAlignment="1">
      <alignment horizontal="right"/>
    </xf>
    <xf numFmtId="0" fontId="24"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6"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191" fontId="0" fillId="8" borderId="0" xfId="0" applyNumberFormat="1" applyFill="1" applyAlignment="1">
      <alignment horizontal="right"/>
    </xf>
    <xf numFmtId="0" fontId="4" fillId="0" borderId="8" xfId="0" applyFont="1" applyBorder="1"/>
    <xf numFmtId="0" fontId="38" fillId="8" borderId="0" xfId="0" applyFont="1" applyFill="1" applyAlignment="1">
      <alignment vertical="center" wrapText="1"/>
    </xf>
    <xf numFmtId="0" fontId="16" fillId="8" borderId="0" xfId="0" applyFont="1" applyFill="1" applyAlignment="1">
      <alignment wrapText="1"/>
    </xf>
    <xf numFmtId="0" fontId="16" fillId="8" borderId="0" xfId="0" applyFont="1" applyFill="1" applyAlignment="1">
      <alignment vertical="center" wrapText="1"/>
    </xf>
    <xf numFmtId="0" fontId="39" fillId="8" borderId="0" xfId="0" applyFont="1" applyFill="1" applyAlignment="1">
      <alignment vertical="center" wrapText="1"/>
    </xf>
    <xf numFmtId="0" fontId="40" fillId="8" borderId="0" xfId="0" applyFont="1" applyFill="1" applyAlignment="1">
      <alignment vertical="center" wrapText="1"/>
    </xf>
    <xf numFmtId="0" fontId="41" fillId="8" borderId="0" xfId="0" applyFont="1" applyFill="1" applyAlignment="1">
      <alignment vertical="center" wrapText="1"/>
    </xf>
    <xf numFmtId="0" fontId="42" fillId="8" borderId="0" xfId="0" applyFont="1" applyFill="1" applyAlignment="1">
      <alignment vertical="center" wrapText="1"/>
    </xf>
    <xf numFmtId="0" fontId="39" fillId="8" borderId="14" xfId="0" applyFont="1" applyFill="1" applyBorder="1" applyAlignment="1">
      <alignment vertical="center" wrapText="1"/>
    </xf>
    <xf numFmtId="0" fontId="38" fillId="8" borderId="14" xfId="0" applyFont="1" applyFill="1" applyBorder="1" applyAlignment="1">
      <alignment vertical="center" wrapText="1"/>
    </xf>
    <xf numFmtId="0" fontId="0" fillId="0" borderId="14" xfId="0" applyBorder="1"/>
    <xf numFmtId="190" fontId="25" fillId="8" borderId="0" xfId="0" applyNumberFormat="1" applyFont="1" applyFill="1" applyAlignment="1">
      <alignment horizontal="left" vertical="center"/>
    </xf>
    <xf numFmtId="190" fontId="19" fillId="0" borderId="14" xfId="0" applyNumberFormat="1" applyFont="1" applyBorder="1" applyAlignment="1">
      <alignment horizontal="center" vertical="center"/>
    </xf>
    <xf numFmtId="0" fontId="34" fillId="9" borderId="16" xfId="0" applyFont="1" applyFill="1" applyBorder="1" applyAlignment="1">
      <alignment horizontal="left" vertical="center"/>
    </xf>
    <xf numFmtId="0" fontId="24" fillId="9" borderId="14" xfId="0" applyFont="1" applyFill="1" applyBorder="1" applyAlignment="1">
      <alignment horizontal="right"/>
    </xf>
    <xf numFmtId="2" fontId="43" fillId="4" borderId="52" xfId="0" applyNumberFormat="1" applyFont="1" applyFill="1" applyBorder="1" applyAlignment="1">
      <alignment horizontal="left"/>
    </xf>
    <xf numFmtId="2" fontId="43" fillId="4" borderId="53" xfId="0" applyNumberFormat="1" applyFont="1" applyFill="1" applyBorder="1" applyAlignment="1">
      <alignment horizontal="left"/>
    </xf>
    <xf numFmtId="0" fontId="23" fillId="9" borderId="16" xfId="0" applyFont="1" applyFill="1" applyBorder="1" applyAlignment="1">
      <alignment horizontal="center" vertical="center" shrinkToFit="1"/>
    </xf>
    <xf numFmtId="0" fontId="23" fillId="9" borderId="14" xfId="0" applyFont="1" applyFill="1" applyBorder="1" applyAlignment="1">
      <alignment horizontal="center" vertical="center"/>
    </xf>
    <xf numFmtId="0" fontId="34" fillId="9" borderId="0" xfId="0" applyFont="1" applyFill="1" applyAlignment="1">
      <alignment horizontal="left" vertical="center"/>
    </xf>
    <xf numFmtId="190" fontId="25" fillId="10" borderId="0" xfId="0" applyNumberFormat="1" applyFont="1" applyFill="1" applyAlignment="1">
      <alignment horizontal="left" vertical="center"/>
    </xf>
    <xf numFmtId="0" fontId="1" fillId="14" borderId="49" xfId="0" applyFont="1" applyFill="1" applyBorder="1" applyAlignment="1">
      <alignment horizontal="left" vertical="center"/>
    </xf>
    <xf numFmtId="0" fontId="4" fillId="14" borderId="38" xfId="0" applyFont="1" applyFill="1" applyBorder="1"/>
    <xf numFmtId="0" fontId="4" fillId="14" borderId="43" xfId="0" applyFont="1" applyFill="1" applyBorder="1"/>
    <xf numFmtId="8" fontId="30" fillId="0" borderId="14" xfId="0" applyNumberFormat="1" applyFont="1" applyBorder="1" applyAlignment="1">
      <alignment horizontal="left" vertical="center"/>
    </xf>
    <xf numFmtId="191" fontId="0" fillId="8" borderId="0" xfId="0" applyNumberFormat="1" applyFill="1" applyAlignment="1">
      <alignment horizontal="center"/>
    </xf>
    <xf numFmtId="172" fontId="0" fillId="0" borderId="0" xfId="0" applyNumberFormat="1"/>
    <xf numFmtId="0" fontId="23" fillId="9" borderId="15" xfId="0" applyFont="1" applyFill="1" applyBorder="1" applyAlignment="1">
      <alignment horizontal="left" wrapText="1"/>
    </xf>
    <xf numFmtId="49" fontId="44" fillId="10" borderId="14" xfId="0" applyNumberFormat="1" applyFont="1" applyFill="1" applyBorder="1" applyAlignment="1">
      <alignment horizontal="left"/>
    </xf>
    <xf numFmtId="49" fontId="5" fillId="0" borderId="0" xfId="0" applyNumberFormat="1" applyFont="1" applyAlignment="1">
      <alignment horizontal="left"/>
    </xf>
    <xf numFmtId="8" fontId="5" fillId="15" borderId="14" xfId="0" applyNumberFormat="1" applyFont="1" applyFill="1" applyBorder="1" applyAlignment="1">
      <alignment horizontal="right"/>
    </xf>
    <xf numFmtId="172" fontId="5" fillId="15" borderId="14" xfId="0" applyNumberFormat="1" applyFont="1" applyFill="1" applyBorder="1" applyAlignment="1">
      <alignment horizontal="right"/>
    </xf>
    <xf numFmtId="192"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91" fontId="5" fillId="17" borderId="14" xfId="0" applyNumberFormat="1" applyFont="1" applyFill="1" applyBorder="1" applyAlignment="1">
      <alignment horizontal="right"/>
    </xf>
    <xf numFmtId="0" fontId="5" fillId="17" borderId="14" xfId="0" applyFont="1" applyFill="1" applyBorder="1" applyAlignment="1">
      <alignment horizontal="right"/>
    </xf>
    <xf numFmtId="8" fontId="5" fillId="17" borderId="14" xfId="0" applyNumberFormat="1" applyFont="1" applyFill="1" applyBorder="1" applyAlignment="1">
      <alignment horizontal="right"/>
    </xf>
    <xf numFmtId="193" fontId="5" fillId="16" borderId="14" xfId="0" applyNumberFormat="1" applyFont="1" applyFill="1" applyBorder="1" applyAlignment="1">
      <alignment horizontal="right"/>
    </xf>
    <xf numFmtId="194" fontId="5" fillId="17" borderId="14" xfId="0" applyNumberFormat="1" applyFont="1" applyFill="1" applyBorder="1" applyAlignment="1">
      <alignment horizontal="right"/>
    </xf>
    <xf numFmtId="191" fontId="5" fillId="8" borderId="14" xfId="0" applyNumberFormat="1" applyFont="1" applyFill="1" applyBorder="1" applyAlignment="1">
      <alignment horizontal="right"/>
    </xf>
    <xf numFmtId="191" fontId="5" fillId="0" borderId="0" xfId="0" applyNumberFormat="1" applyFont="1" applyAlignment="1">
      <alignment horizontal="right"/>
    </xf>
    <xf numFmtId="1" fontId="5" fillId="18"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9" borderId="54" xfId="0" applyFill="1" applyBorder="1" applyAlignment="1">
      <alignment horizontal="center"/>
    </xf>
    <xf numFmtId="0" fontId="4" fillId="19" borderId="54" xfId="0" applyFont="1" applyFill="1" applyBorder="1" applyAlignment="1">
      <alignment horizontal="center"/>
    </xf>
    <xf numFmtId="0" fontId="0" fillId="20" borderId="54" xfId="0" applyFill="1" applyBorder="1" applyAlignment="1">
      <alignment horizontal="center"/>
    </xf>
    <xf numFmtId="0" fontId="4" fillId="20" borderId="54" xfId="0" applyFont="1" applyFill="1" applyBorder="1" applyAlignment="1">
      <alignment horizontal="center"/>
    </xf>
    <xf numFmtId="0" fontId="0" fillId="20" borderId="2" xfId="0" applyFill="1" applyBorder="1" applyAlignment="1">
      <alignment horizontal="center"/>
    </xf>
    <xf numFmtId="191" fontId="0" fillId="0" borderId="52" xfId="0" applyNumberFormat="1" applyBorder="1" applyAlignment="1">
      <alignment horizontal="center"/>
    </xf>
    <xf numFmtId="191" fontId="4" fillId="0" borderId="52" xfId="0" applyNumberFormat="1" applyFont="1" applyBorder="1" applyAlignment="1">
      <alignment horizontal="center"/>
    </xf>
    <xf numFmtId="191" fontId="0" fillId="0" borderId="55" xfId="0" applyNumberFormat="1" applyBorder="1" applyAlignment="1">
      <alignment horizontal="center"/>
    </xf>
    <xf numFmtId="0" fontId="23" fillId="9" borderId="18" xfId="0" applyFont="1" applyFill="1" applyBorder="1" applyAlignment="1">
      <alignment horizontal="center" wrapText="1"/>
    </xf>
    <xf numFmtId="40" fontId="23" fillId="9" borderId="15" xfId="0" applyNumberFormat="1" applyFont="1" applyFill="1" applyBorder="1" applyAlignment="1">
      <alignment horizontal="right" wrapText="1"/>
    </xf>
    <xf numFmtId="40" fontId="23" fillId="9" borderId="56"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4" fillId="0" borderId="0" xfId="0" applyNumberFormat="1" applyFont="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8" fontId="4" fillId="0" borderId="57" xfId="0" applyNumberFormat="1" applyFont="1" applyBorder="1" applyAlignment="1">
      <alignment horizontal="right"/>
    </xf>
    <xf numFmtId="0" fontId="0" fillId="8" borderId="54" xfId="0" applyFill="1" applyBorder="1" applyAlignment="1">
      <alignment horizontal="center"/>
    </xf>
    <xf numFmtId="0" fontId="4" fillId="8" borderId="54" xfId="0" applyFont="1" applyFill="1" applyBorder="1" applyAlignment="1">
      <alignment horizontal="center"/>
    </xf>
    <xf numFmtId="0" fontId="0" fillId="8" borderId="2" xfId="0" applyFill="1" applyBorder="1" applyAlignment="1">
      <alignment horizontal="center"/>
    </xf>
    <xf numFmtId="0" fontId="0" fillId="8" borderId="1" xfId="0" applyFill="1" applyBorder="1" applyAlignment="1">
      <alignment horizontal="center"/>
    </xf>
    <xf numFmtId="0" fontId="4" fillId="21" borderId="54" xfId="0" applyFont="1" applyFill="1" applyBorder="1" applyAlignment="1">
      <alignment horizontal="center"/>
    </xf>
    <xf numFmtId="0" fontId="0" fillId="8" borderId="14" xfId="0" applyFill="1" applyBorder="1"/>
    <xf numFmtId="0" fontId="0" fillId="19" borderId="14" xfId="0" applyFill="1" applyBorder="1"/>
    <xf numFmtId="0" fontId="0" fillId="20" borderId="14" xfId="0" applyFill="1" applyBorder="1"/>
    <xf numFmtId="0" fontId="0" fillId="22" borderId="14" xfId="0" applyFill="1" applyBorder="1"/>
    <xf numFmtId="0" fontId="0" fillId="21" borderId="14" xfId="0" applyFill="1" applyBorder="1"/>
    <xf numFmtId="0" fontId="0" fillId="23" borderId="14" xfId="0" applyFill="1" applyBorder="1"/>
    <xf numFmtId="0" fontId="0" fillId="8" borderId="13" xfId="0" applyFill="1" applyBorder="1"/>
    <xf numFmtId="191" fontId="23" fillId="9" borderId="58" xfId="0" applyNumberFormat="1" applyFont="1" applyFill="1" applyBorder="1" applyAlignment="1">
      <alignment horizontal="center" wrapText="1"/>
    </xf>
    <xf numFmtId="191" fontId="23" fillId="9" borderId="15" xfId="0" applyNumberFormat="1" applyFont="1" applyFill="1" applyBorder="1" applyAlignment="1">
      <alignment horizontal="center" wrapText="1"/>
    </xf>
    <xf numFmtId="1" fontId="23"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23" fillId="9" borderId="56"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7" xfId="0" applyNumberFormat="1" applyBorder="1" applyAlignment="1">
      <alignment horizontal="center"/>
    </xf>
    <xf numFmtId="0" fontId="23" fillId="9" borderId="14" xfId="0" applyFont="1" applyFill="1" applyBorder="1" applyAlignment="1">
      <alignment horizontal="right" vertical="center" wrapText="1"/>
    </xf>
    <xf numFmtId="0" fontId="23" fillId="9" borderId="14" xfId="0" applyFont="1" applyFill="1" applyBorder="1" applyAlignment="1">
      <alignment horizontal="center" vertical="center" wrapText="1"/>
    </xf>
    <xf numFmtId="0" fontId="25" fillId="0" borderId="15" xfId="0" applyFont="1" applyBorder="1" applyAlignment="1">
      <alignment horizontal="center"/>
    </xf>
    <xf numFmtId="0" fontId="25" fillId="0" borderId="0" xfId="0" applyFont="1" applyAlignment="1">
      <alignment horizontal="center"/>
    </xf>
    <xf numFmtId="0" fontId="25" fillId="0" borderId="20" xfId="0" applyFont="1" applyBorder="1" applyAlignment="1">
      <alignment horizontal="center"/>
    </xf>
    <xf numFmtId="0" fontId="44" fillId="10" borderId="14" xfId="0" applyFont="1" applyFill="1" applyBorder="1" applyAlignment="1">
      <alignment horizontal="left"/>
    </xf>
    <xf numFmtId="0" fontId="5" fillId="0" borderId="0" xfId="0" applyFont="1" applyAlignment="1">
      <alignment horizontal="left"/>
    </xf>
    <xf numFmtId="1" fontId="0" fillId="0" borderId="14" xfId="0" applyNumberFormat="1" applyBorder="1" applyAlignment="1">
      <alignment horizontal="center" vertical="center"/>
    </xf>
    <xf numFmtId="1" fontId="4" fillId="0" borderId="14" xfId="0" applyNumberFormat="1" applyFont="1" applyBorder="1" applyAlignment="1">
      <alignment horizontal="center" vertical="center"/>
    </xf>
    <xf numFmtId="202" fontId="24" fillId="9" borderId="14" xfId="0" applyNumberFormat="1" applyFont="1" applyFill="1" applyBorder="1" applyAlignment="1">
      <alignment horizontal="left" vertical="center"/>
    </xf>
    <xf numFmtId="0" fontId="0" fillId="0" borderId="15" xfId="0" applyBorder="1" applyAlignment="1">
      <alignment horizontal="left"/>
    </xf>
    <xf numFmtId="191" fontId="0" fillId="0" borderId="59" xfId="0" applyNumberFormat="1" applyBorder="1" applyAlignment="1">
      <alignment horizontal="center"/>
    </xf>
    <xf numFmtId="1" fontId="0" fillId="0" borderId="15" xfId="0" applyNumberFormat="1" applyBorder="1" applyAlignment="1">
      <alignment horizontal="center"/>
    </xf>
    <xf numFmtId="191" fontId="0" fillId="0" borderId="15" xfId="0" applyNumberFormat="1" applyBorder="1" applyAlignment="1">
      <alignment horizontal="center"/>
    </xf>
    <xf numFmtId="1" fontId="0" fillId="0" borderId="56" xfId="0" applyNumberFormat="1" applyBorder="1" applyAlignment="1">
      <alignment horizontal="center"/>
    </xf>
    <xf numFmtId="8" fontId="0" fillId="0" borderId="15" xfId="0" applyNumberFormat="1" applyBorder="1" applyAlignment="1">
      <alignment horizontal="right"/>
    </xf>
    <xf numFmtId="8" fontId="30" fillId="0" borderId="5" xfId="0" applyNumberFormat="1" applyFont="1" applyBorder="1" applyAlignment="1">
      <alignment horizontal="left" vertical="center"/>
    </xf>
    <xf numFmtId="0" fontId="45" fillId="0" borderId="5" xfId="0" applyFont="1" applyBorder="1" applyAlignment="1">
      <alignment vertical="center" shrinkToFit="1"/>
    </xf>
    <xf numFmtId="8" fontId="30" fillId="0" borderId="71" xfId="0" applyNumberFormat="1" applyFont="1" applyBorder="1" applyAlignment="1">
      <alignment horizontal="left" vertical="center"/>
    </xf>
    <xf numFmtId="0" fontId="31" fillId="0" borderId="71" xfId="0" applyFont="1" applyBorder="1" applyAlignment="1">
      <alignment vertical="center" shrinkToFit="1"/>
    </xf>
    <xf numFmtId="0" fontId="29" fillId="8" borderId="16" xfId="0" applyFont="1" applyFill="1" applyBorder="1" applyAlignment="1">
      <alignment horizontal="right" vertical="center" wrapText="1" shrinkToFit="1"/>
    </xf>
    <xf numFmtId="0" fontId="29" fillId="8" borderId="14" xfId="0" applyFont="1" applyFill="1" applyBorder="1" applyAlignment="1">
      <alignment horizontal="center" vertical="center" wrapText="1" shrinkToFit="1"/>
    </xf>
    <xf numFmtId="191" fontId="31" fillId="8" borderId="14" xfId="0" applyNumberFormat="1" applyFont="1" applyFill="1" applyBorder="1" applyAlignment="1">
      <alignment horizontal="right" vertical="center"/>
    </xf>
    <xf numFmtId="191" fontId="31" fillId="8" borderId="5" xfId="0" applyNumberFormat="1" applyFont="1" applyFill="1" applyBorder="1" applyAlignment="1">
      <alignment horizontal="right" vertical="center"/>
    </xf>
    <xf numFmtId="1" fontId="30" fillId="8" borderId="5" xfId="0" applyNumberFormat="1" applyFont="1" applyFill="1" applyBorder="1" applyAlignment="1">
      <alignment horizontal="center" vertical="center"/>
    </xf>
    <xf numFmtId="0" fontId="31" fillId="8" borderId="5" xfId="0" applyFont="1" applyFill="1" applyBorder="1" applyAlignment="1">
      <alignment vertical="center" shrinkToFit="1"/>
    </xf>
    <xf numFmtId="191" fontId="31" fillId="8" borderId="71" xfId="0" applyNumberFormat="1" applyFont="1" applyFill="1" applyBorder="1" applyAlignment="1">
      <alignment horizontal="right" vertical="center"/>
    </xf>
    <xf numFmtId="1" fontId="30" fillId="8" borderId="71" xfId="0" applyNumberFormat="1" applyFont="1" applyFill="1" applyBorder="1" applyAlignment="1">
      <alignment horizontal="center" vertical="center"/>
    </xf>
    <xf numFmtId="0" fontId="31" fillId="8" borderId="71" xfId="0" applyFont="1" applyFill="1" applyBorder="1" applyAlignment="1">
      <alignment vertical="center" shrinkToFit="1"/>
    </xf>
    <xf numFmtId="0" fontId="6" fillId="18" borderId="14" xfId="0" applyFont="1" applyFill="1" applyBorder="1" applyAlignment="1">
      <alignment horizontal="right" vertical="top"/>
    </xf>
    <xf numFmtId="0" fontId="46" fillId="10" borderId="14" xfId="0" applyFont="1" applyFill="1" applyBorder="1" applyAlignment="1">
      <alignment horizontal="left" vertical="top"/>
    </xf>
    <xf numFmtId="49" fontId="46" fillId="10" borderId="14" xfId="0" applyNumberFormat="1" applyFont="1" applyFill="1" applyBorder="1" applyAlignment="1">
      <alignment horizontal="left" vertical="top"/>
    </xf>
    <xf numFmtId="0" fontId="6" fillId="15" borderId="14" xfId="0" applyFont="1" applyFill="1" applyBorder="1" applyAlignment="1">
      <alignment horizontal="right" vertical="top" wrapText="1"/>
    </xf>
    <xf numFmtId="8" fontId="6" fillId="15" borderId="14" xfId="0" applyNumberFormat="1" applyFont="1" applyFill="1" applyBorder="1" applyAlignment="1">
      <alignment horizontal="right" vertical="top" wrapText="1"/>
    </xf>
    <xf numFmtId="172" fontId="6" fillId="15" borderId="14" xfId="0" applyNumberFormat="1" applyFont="1" applyFill="1" applyBorder="1" applyAlignment="1">
      <alignment horizontal="right" vertical="top" wrapText="1"/>
    </xf>
    <xf numFmtId="192"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91" fontId="6" fillId="17" borderId="14" xfId="0" applyNumberFormat="1" applyFont="1" applyFill="1" applyBorder="1" applyAlignment="1">
      <alignment horizontal="right" vertical="top"/>
    </xf>
    <xf numFmtId="0" fontId="6" fillId="17" borderId="14" xfId="0" applyFont="1" applyFill="1" applyBorder="1" applyAlignment="1">
      <alignment horizontal="right" vertical="top"/>
    </xf>
    <xf numFmtId="8" fontId="6" fillId="17" borderId="14" xfId="0" applyNumberFormat="1" applyFont="1" applyFill="1" applyBorder="1" applyAlignment="1">
      <alignment horizontal="right" vertical="top"/>
    </xf>
    <xf numFmtId="193" fontId="6" fillId="16" borderId="14" xfId="0" applyNumberFormat="1" applyFont="1" applyFill="1" applyBorder="1" applyAlignment="1">
      <alignment horizontal="right" vertical="top"/>
    </xf>
    <xf numFmtId="194" fontId="6" fillId="17"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5" fillId="8" borderId="0" xfId="0" applyFont="1" applyFill="1" applyAlignment="1">
      <alignment horizontal="left"/>
    </xf>
    <xf numFmtId="0" fontId="25" fillId="0" borderId="0" xfId="0" applyFont="1" applyAlignment="1">
      <alignment horizontal="left"/>
    </xf>
    <xf numFmtId="0" fontId="25" fillId="8" borderId="0" xfId="0" applyFont="1" applyFill="1" applyAlignment="1">
      <alignment horizontal="left" vertical="center"/>
    </xf>
    <xf numFmtId="0" fontId="25" fillId="8" borderId="0" xfId="0" applyFont="1" applyFill="1" applyAlignment="1">
      <alignment horizontal="left" vertical="center"/>
    </xf>
    <xf numFmtId="0" fontId="30" fillId="8" borderId="3" xfId="0" applyFont="1" applyFill="1" applyBorder="1" applyAlignment="1">
      <alignment horizontal="center" vertical="center"/>
    </xf>
    <xf numFmtId="0" fontId="31" fillId="8" borderId="72" xfId="0" applyFont="1" applyFill="1" applyBorder="1" applyAlignment="1">
      <alignment horizontal="center" vertical="center"/>
    </xf>
    <xf numFmtId="0" fontId="30" fillId="8" borderId="72" xfId="0" applyFont="1" applyFill="1" applyBorder="1" applyAlignment="1">
      <alignment horizontal="center" vertical="center"/>
    </xf>
    <xf numFmtId="0" fontId="0" fillId="0" borderId="73" xfId="0" pivotButton="1" applyBorder="1"/>
    <xf numFmtId="0" fontId="0" fillId="0" borderId="74" xfId="0" applyBorder="1"/>
    <xf numFmtId="0" fontId="0" fillId="0" borderId="75" xfId="0" applyBorder="1"/>
    <xf numFmtId="0" fontId="0" fillId="0" borderId="73" xfId="0" applyBorder="1"/>
    <xf numFmtId="0" fontId="0" fillId="0" borderId="76" xfId="0" applyBorder="1"/>
    <xf numFmtId="0" fontId="0" fillId="0" borderId="76" xfId="0" applyBorder="1"/>
    <xf numFmtId="0" fontId="0" fillId="0" borderId="77" xfId="0" applyBorder="1"/>
    <xf numFmtId="0" fontId="0" fillId="0" borderId="78" xfId="0" applyBorder="1"/>
    <xf numFmtId="0" fontId="0" fillId="0" borderId="79" xfId="0" applyBorder="1"/>
    <xf numFmtId="0" fontId="0" fillId="0" borderId="80" xfId="0" applyBorder="1"/>
    <xf numFmtId="0" fontId="4" fillId="19" borderId="60" xfId="0" applyFont="1" applyFill="1" applyBorder="1" applyAlignment="1">
      <alignment horizontal="center"/>
    </xf>
    <xf numFmtId="0" fontId="25" fillId="0" borderId="61" xfId="0" applyFont="1" applyBorder="1" applyAlignment="1">
      <alignment horizontal="center"/>
    </xf>
    <xf numFmtId="0" fontId="0" fillId="0" borderId="61" xfId="0" applyBorder="1" applyAlignment="1">
      <alignment horizontal="left"/>
    </xf>
    <xf numFmtId="191" fontId="0" fillId="0" borderId="62" xfId="0" applyNumberFormat="1" applyBorder="1" applyAlignment="1">
      <alignment horizontal="center"/>
    </xf>
    <xf numFmtId="1" fontId="0" fillId="0" borderId="61" xfId="0" applyNumberFormat="1" applyBorder="1" applyAlignment="1">
      <alignment horizontal="center"/>
    </xf>
    <xf numFmtId="191" fontId="0" fillId="0" borderId="61" xfId="0" applyNumberFormat="1" applyBorder="1" applyAlignment="1">
      <alignment horizontal="center"/>
    </xf>
    <xf numFmtId="1" fontId="0" fillId="0" borderId="63" xfId="0" applyNumberFormat="1" applyBorder="1" applyAlignment="1">
      <alignment horizontal="center"/>
    </xf>
    <xf numFmtId="8" fontId="0" fillId="0" borderId="61" xfId="0" applyNumberFormat="1" applyBorder="1" applyAlignment="1">
      <alignment horizontal="right"/>
    </xf>
    <xf numFmtId="8" fontId="4" fillId="0" borderId="61" xfId="0" applyNumberFormat="1" applyFont="1" applyBorder="1" applyAlignment="1">
      <alignment horizontal="right"/>
    </xf>
    <xf numFmtId="0" fontId="25" fillId="0" borderId="64" xfId="0" applyFont="1" applyBorder="1" applyAlignment="1">
      <alignment horizontal="center"/>
    </xf>
    <xf numFmtId="0" fontId="0" fillId="0" borderId="64" xfId="0" applyBorder="1" applyAlignment="1">
      <alignment horizontal="left"/>
    </xf>
    <xf numFmtId="191" fontId="0" fillId="0" borderId="65" xfId="0" applyNumberFormat="1" applyBorder="1" applyAlignment="1">
      <alignment horizontal="center"/>
    </xf>
    <xf numFmtId="1" fontId="0" fillId="0" borderId="64" xfId="0" applyNumberFormat="1" applyBorder="1" applyAlignment="1">
      <alignment horizontal="center"/>
    </xf>
    <xf numFmtId="191" fontId="0" fillId="0" borderId="64" xfId="0" applyNumberFormat="1" applyBorder="1" applyAlignment="1">
      <alignment horizontal="center"/>
    </xf>
    <xf numFmtId="1" fontId="0" fillId="0" borderId="66" xfId="0" applyNumberFormat="1" applyBorder="1" applyAlignment="1">
      <alignment horizontal="center"/>
    </xf>
    <xf numFmtId="8" fontId="0" fillId="0" borderId="64" xfId="0" applyNumberFormat="1" applyBorder="1" applyAlignment="1">
      <alignment horizontal="right"/>
    </xf>
    <xf numFmtId="8" fontId="4" fillId="0" borderId="64" xfId="0" applyNumberFormat="1" applyFont="1" applyBorder="1" applyAlignment="1">
      <alignment horizontal="right"/>
    </xf>
    <xf numFmtId="0" fontId="4" fillId="20" borderId="67" xfId="0" applyFont="1" applyFill="1" applyBorder="1" applyAlignment="1">
      <alignment horizontal="center"/>
    </xf>
    <xf numFmtId="0" fontId="0" fillId="0" borderId="64" xfId="0" applyBorder="1" applyAlignment="1">
      <alignment horizontal="center"/>
    </xf>
    <xf numFmtId="0" fontId="0" fillId="19" borderId="60" xfId="0" applyFill="1" applyBorder="1" applyAlignment="1">
      <alignment horizontal="center"/>
    </xf>
    <xf numFmtId="0" fontId="0" fillId="0" borderId="61" xfId="0" applyBorder="1" applyAlignment="1">
      <alignment horizontal="center"/>
    </xf>
    <xf numFmtId="0" fontId="0" fillId="20" borderId="67" xfId="0" applyFill="1" applyBorder="1" applyAlignment="1">
      <alignment horizontal="center"/>
    </xf>
    <xf numFmtId="0" fontId="24" fillId="9" borderId="0" xfId="0" applyFont="1" applyFill="1" applyAlignment="1">
      <alignment horizontal="right"/>
    </xf>
    <xf numFmtId="0" fontId="24" fillId="9" borderId="0" xfId="0" applyFont="1" applyFill="1" applyAlignment="1">
      <alignment horizontal="left"/>
    </xf>
    <xf numFmtId="6" fontId="24" fillId="9" borderId="0" xfId="0" applyNumberFormat="1" applyFont="1" applyFill="1"/>
    <xf numFmtId="172" fontId="24" fillId="9" borderId="0" xfId="0" applyNumberFormat="1" applyFont="1" applyFill="1"/>
    <xf numFmtId="194" fontId="0" fillId="8" borderId="0" xfId="0" applyNumberFormat="1" applyFill="1" applyAlignment="1">
      <alignment horizontal="left"/>
    </xf>
    <xf numFmtId="194" fontId="0" fillId="0" borderId="0" xfId="0" applyNumberFormat="1" applyAlignment="1">
      <alignment horizontal="left"/>
    </xf>
    <xf numFmtId="172" fontId="0" fillId="0" borderId="10" xfId="0" applyNumberFormat="1" applyBorder="1"/>
    <xf numFmtId="0" fontId="34" fillId="9" borderId="70" xfId="0" applyFont="1" applyFill="1" applyBorder="1" applyAlignment="1">
      <alignment vertical="center"/>
    </xf>
    <xf numFmtId="0" fontId="47" fillId="11" borderId="81" xfId="0" applyFont="1" applyFill="1" applyBorder="1" applyAlignment="1">
      <alignment vertical="center"/>
    </xf>
    <xf numFmtId="0" fontId="47" fillId="11" borderId="82" xfId="0" applyFont="1" applyFill="1" applyBorder="1" applyAlignment="1">
      <alignment vertical="center"/>
    </xf>
    <xf numFmtId="0" fontId="47" fillId="11" borderId="83" xfId="0" applyFont="1" applyFill="1" applyBorder="1" applyAlignment="1">
      <alignment vertical="center"/>
    </xf>
    <xf numFmtId="0" fontId="48" fillId="8" borderId="0" xfId="1" applyFont="1" applyFill="1" applyAlignment="1" applyProtection="1"/>
    <xf numFmtId="0" fontId="48" fillId="0" borderId="0" xfId="1" applyFont="1" applyAlignment="1" applyProtection="1"/>
    <xf numFmtId="0" fontId="48" fillId="8" borderId="0" xfId="1" applyFont="1" applyFill="1" applyAlignment="1" applyProtection="1">
      <alignment wrapText="1"/>
    </xf>
    <xf numFmtId="2" fontId="2" fillId="0" borderId="0" xfId="1" applyNumberFormat="1" applyAlignment="1" applyProtection="1">
      <alignment horizontal="center" vertical="center"/>
    </xf>
    <xf numFmtId="0" fontId="49" fillId="9" borderId="0" xfId="0" applyFont="1" applyFill="1" applyAlignment="1">
      <alignment vertical="center"/>
    </xf>
    <xf numFmtId="191" fontId="31" fillId="0" borderId="14" xfId="0" applyNumberFormat="1" applyFont="1" applyBorder="1" applyAlignment="1">
      <alignment horizontal="right" vertical="center"/>
    </xf>
    <xf numFmtId="191" fontId="45" fillId="0" borderId="5" xfId="0" applyNumberFormat="1" applyFont="1" applyBorder="1" applyAlignment="1">
      <alignment horizontal="right" vertical="center"/>
    </xf>
    <xf numFmtId="0" fontId="4" fillId="8" borderId="0" xfId="0" applyFont="1" applyFill="1" applyAlignment="1">
      <alignment horizontal="center" vertical="center"/>
    </xf>
    <xf numFmtId="0" fontId="24" fillId="9" borderId="14" xfId="0" applyFont="1" applyFill="1" applyBorder="1" applyAlignment="1">
      <alignment vertical="center"/>
    </xf>
    <xf numFmtId="0" fontId="0" fillId="8" borderId="14" xfId="0" applyFill="1" applyBorder="1" applyAlignment="1">
      <alignment vertical="center"/>
    </xf>
    <xf numFmtId="191" fontId="0" fillId="8" borderId="14" xfId="0" applyNumberFormat="1" applyFill="1" applyBorder="1" applyAlignment="1">
      <alignment vertical="center"/>
    </xf>
    <xf numFmtId="1" fontId="0" fillId="8" borderId="14" xfId="0" applyNumberFormat="1" applyFill="1" applyBorder="1" applyAlignment="1">
      <alignment vertical="center"/>
    </xf>
    <xf numFmtId="1" fontId="27" fillId="8" borderId="0" xfId="0" applyNumberFormat="1" applyFont="1" applyFill="1" applyAlignment="1">
      <alignment horizontal="center" vertical="center"/>
    </xf>
    <xf numFmtId="1" fontId="50" fillId="8" borderId="0" xfId="0" applyNumberFormat="1" applyFont="1" applyFill="1" applyAlignment="1">
      <alignment horizontal="center" vertical="center"/>
    </xf>
    <xf numFmtId="0" fontId="1" fillId="8" borderId="0" xfId="0" applyFont="1" applyFill="1" applyAlignment="1">
      <alignment horizontal="center"/>
    </xf>
    <xf numFmtId="0" fontId="51" fillId="9" borderId="14" xfId="0" applyFont="1" applyFill="1" applyBorder="1" applyAlignment="1">
      <alignment horizontal="right" vertical="center" wrapText="1"/>
    </xf>
    <xf numFmtId="191" fontId="1" fillId="4" borderId="28" xfId="0" applyNumberFormat="1" applyFont="1" applyFill="1" applyBorder="1" applyAlignment="1">
      <alignment vertical="center"/>
    </xf>
    <xf numFmtId="1" fontId="27" fillId="8" borderId="0" xfId="0" applyNumberFormat="1" applyFont="1" applyFill="1" applyAlignment="1">
      <alignment horizontal="center" vertical="center" wrapText="1"/>
    </xf>
    <xf numFmtId="0" fontId="24" fillId="9" borderId="45" xfId="0" applyFont="1" applyFill="1" applyBorder="1" applyAlignment="1">
      <alignment horizontal="right" vertical="center" wrapText="1"/>
    </xf>
    <xf numFmtId="191" fontId="0" fillId="8" borderId="14" xfId="0" applyNumberFormat="1" applyFill="1" applyBorder="1" applyAlignment="1">
      <alignment horizontal="right" vertical="center"/>
    </xf>
    <xf numFmtId="0" fontId="1" fillId="19" borderId="14" xfId="0" quotePrefix="1" applyFont="1" applyFill="1" applyBorder="1" applyAlignment="1">
      <alignment horizontal="center" vertical="center"/>
    </xf>
    <xf numFmtId="0" fontId="52" fillId="8" borderId="18" xfId="0" applyFont="1" applyFill="1" applyBorder="1" applyAlignment="1">
      <alignment vertical="center"/>
    </xf>
    <xf numFmtId="0" fontId="53" fillId="8" borderId="14" xfId="0" applyFont="1" applyFill="1" applyBorder="1" applyAlignment="1">
      <alignment horizontal="center" vertical="center"/>
    </xf>
    <xf numFmtId="0" fontId="54" fillId="8" borderId="0" xfId="0" applyFont="1" applyFill="1" applyAlignment="1">
      <alignment horizontal="right" vertical="center"/>
    </xf>
    <xf numFmtId="0" fontId="25" fillId="8" borderId="0" xfId="0" applyFont="1" applyFill="1" applyAlignment="1">
      <alignment horizontal="center"/>
    </xf>
    <xf numFmtId="0" fontId="53" fillId="8" borderId="0" xfId="0" applyFont="1" applyFill="1" applyAlignment="1">
      <alignment horizontal="right"/>
    </xf>
    <xf numFmtId="2" fontId="25"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5" fillId="8" borderId="0" xfId="0" applyFont="1" applyFill="1" applyAlignment="1">
      <alignment horizontal="center"/>
    </xf>
    <xf numFmtId="0" fontId="1" fillId="8" borderId="54" xfId="0" applyFont="1" applyFill="1" applyBorder="1" applyAlignment="1">
      <alignment horizontal="center"/>
    </xf>
    <xf numFmtId="0" fontId="1" fillId="19" borderId="1" xfId="0" applyFont="1" applyFill="1" applyBorder="1" applyAlignment="1">
      <alignment horizontal="center"/>
    </xf>
    <xf numFmtId="2" fontId="1" fillId="8" borderId="54" xfId="0" applyNumberFormat="1" applyFont="1" applyFill="1" applyBorder="1" applyAlignment="1">
      <alignment horizontal="center"/>
    </xf>
    <xf numFmtId="2" fontId="1" fillId="19" borderId="2" xfId="0" applyNumberFormat="1" applyFont="1" applyFill="1" applyBorder="1" applyAlignment="1">
      <alignment horizontal="center"/>
    </xf>
    <xf numFmtId="0" fontId="25" fillId="8" borderId="0" xfId="0" applyFont="1" applyFill="1"/>
    <xf numFmtId="0" fontId="50" fillId="8" borderId="0" xfId="0" applyFont="1" applyFill="1" applyAlignment="1">
      <alignment horizontal="center"/>
    </xf>
    <xf numFmtId="2" fontId="50" fillId="8" borderId="0" xfId="0" applyNumberFormat="1" applyFont="1" applyFill="1" applyAlignment="1">
      <alignment horizontal="center"/>
    </xf>
    <xf numFmtId="0" fontId="25" fillId="8" borderId="0" xfId="0" applyFont="1" applyFill="1"/>
    <xf numFmtId="0" fontId="25" fillId="0" borderId="0" xfId="0" applyFont="1"/>
    <xf numFmtId="0" fontId="4" fillId="5" borderId="7" xfId="0" applyFont="1" applyFill="1" applyBorder="1" applyAlignment="1">
      <alignment horizontal="center" wrapText="1"/>
    </xf>
    <xf numFmtId="2" fontId="54" fillId="8" borderId="14" xfId="0" applyNumberFormat="1" applyFont="1" applyFill="1" applyBorder="1" applyAlignment="1">
      <alignment horizontal="center" vertical="center"/>
    </xf>
    <xf numFmtId="2" fontId="22" fillId="19" borderId="14" xfId="0" applyNumberFormat="1" applyFont="1" applyFill="1" applyBorder="1" applyAlignment="1">
      <alignment horizontal="center" vertical="center"/>
    </xf>
    <xf numFmtId="2" fontId="0" fillId="8" borderId="0" xfId="0" applyNumberFormat="1" applyFill="1" applyAlignment="1">
      <alignment horizontal="right"/>
    </xf>
    <xf numFmtId="2" fontId="0" fillId="0" borderId="0" xfId="0" applyNumberFormat="1" applyAlignment="1">
      <alignment horizontal="right"/>
    </xf>
    <xf numFmtId="191" fontId="55" fillId="11" borderId="14" xfId="0" applyNumberFormat="1" applyFont="1" applyFill="1" applyBorder="1" applyAlignment="1">
      <alignment horizontal="right" vertical="center" wrapText="1"/>
    </xf>
    <xf numFmtId="191" fontId="55" fillId="11" borderId="14" xfId="0" applyNumberFormat="1" applyFont="1" applyFill="1" applyBorder="1" applyAlignment="1">
      <alignment horizontal="center" vertical="center"/>
    </xf>
    <xf numFmtId="194" fontId="56" fillId="9" borderId="14" xfId="0" applyNumberFormat="1" applyFont="1" applyFill="1" applyBorder="1" applyAlignment="1">
      <alignment horizontal="left" vertical="center"/>
    </xf>
    <xf numFmtId="191" fontId="55" fillId="24" borderId="14" xfId="0" applyNumberFormat="1" applyFont="1" applyFill="1" applyBorder="1" applyAlignment="1">
      <alignment horizontal="right" vertical="center" wrapText="1"/>
    </xf>
    <xf numFmtId="191" fontId="57" fillId="8" borderId="14" xfId="0" applyNumberFormat="1" applyFont="1" applyFill="1" applyBorder="1" applyAlignment="1">
      <alignment horizontal="right"/>
    </xf>
    <xf numFmtId="191" fontId="57" fillId="8" borderId="14" xfId="0" applyNumberFormat="1" applyFont="1" applyFill="1" applyBorder="1" applyAlignment="1">
      <alignment horizontal="center"/>
    </xf>
    <xf numFmtId="0" fontId="57" fillId="8" borderId="14" xfId="0" applyFont="1" applyFill="1" applyBorder="1" applyAlignment="1">
      <alignment horizontal="left"/>
    </xf>
    <xf numFmtId="194" fontId="57" fillId="8" borderId="14" xfId="0" applyNumberFormat="1" applyFont="1" applyFill="1" applyBorder="1" applyAlignment="1">
      <alignment horizontal="left"/>
    </xf>
    <xf numFmtId="2" fontId="13" fillId="8" borderId="14" xfId="0" applyNumberFormat="1" applyFont="1" applyFill="1" applyBorder="1" applyAlignment="1">
      <alignment horizontal="right"/>
    </xf>
    <xf numFmtId="191" fontId="13" fillId="8" borderId="14" xfId="0" applyNumberFormat="1" applyFont="1" applyFill="1" applyBorder="1" applyAlignment="1">
      <alignment horizontal="right"/>
    </xf>
    <xf numFmtId="2" fontId="57" fillId="8" borderId="14" xfId="0" applyNumberFormat="1" applyFont="1" applyFill="1" applyBorder="1" applyAlignment="1">
      <alignment horizontal="right"/>
    </xf>
    <xf numFmtId="2" fontId="0" fillId="8" borderId="14" xfId="0" applyNumberFormat="1" applyFill="1" applyBorder="1" applyAlignment="1">
      <alignment horizontal="right"/>
    </xf>
    <xf numFmtId="191" fontId="0" fillId="8" borderId="14" xfId="0" applyNumberFormat="1" applyFill="1" applyBorder="1" applyAlignment="1">
      <alignment horizontal="right"/>
    </xf>
    <xf numFmtId="2" fontId="58" fillId="25" borderId="14" xfId="0" applyNumberFormat="1" applyFont="1" applyFill="1" applyBorder="1" applyAlignment="1">
      <alignment horizontal="right"/>
    </xf>
    <xf numFmtId="2" fontId="36" fillId="8" borderId="0" xfId="0" applyNumberFormat="1" applyFont="1" applyFill="1" applyAlignment="1">
      <alignment horizontal="right"/>
    </xf>
    <xf numFmtId="2" fontId="36" fillId="0" borderId="0" xfId="0" applyNumberFormat="1" applyFont="1" applyAlignment="1">
      <alignment horizontal="right"/>
    </xf>
    <xf numFmtId="2" fontId="36" fillId="25" borderId="14" xfId="0" applyNumberFormat="1" applyFont="1" applyFill="1" applyBorder="1" applyAlignment="1">
      <alignment horizontal="right"/>
    </xf>
    <xf numFmtId="2" fontId="36" fillId="25" borderId="0" xfId="0" applyNumberFormat="1" applyFont="1" applyFill="1" applyAlignment="1">
      <alignment horizontal="right"/>
    </xf>
    <xf numFmtId="191" fontId="59" fillId="9" borderId="14" xfId="0" applyNumberFormat="1" applyFont="1" applyFill="1" applyBorder="1" applyAlignment="1">
      <alignment horizontal="center" vertical="center" wrapText="1"/>
    </xf>
    <xf numFmtId="191" fontId="55" fillId="11" borderId="14" xfId="0" applyNumberFormat="1" applyFont="1" applyFill="1" applyBorder="1" applyAlignment="1">
      <alignment horizontal="center" vertical="center" wrapText="1"/>
    </xf>
    <xf numFmtId="2" fontId="59" fillId="9" borderId="14" xfId="0" applyNumberFormat="1" applyFont="1" applyFill="1" applyBorder="1" applyAlignment="1">
      <alignment horizontal="right" vertical="center" wrapText="1"/>
    </xf>
    <xf numFmtId="2" fontId="58" fillId="25" borderId="14" xfId="0" applyNumberFormat="1" applyFont="1" applyFill="1" applyBorder="1" applyAlignment="1">
      <alignment horizontal="right" vertical="center" wrapText="1"/>
    </xf>
    <xf numFmtId="0" fontId="0" fillId="0" borderId="57" xfId="0" applyBorder="1"/>
    <xf numFmtId="0" fontId="0" fillId="0" borderId="31" xfId="0" applyBorder="1" applyAlignment="1">
      <alignment horizontal="center"/>
    </xf>
    <xf numFmtId="0" fontId="4" fillId="9" borderId="0" xfId="0" applyFont="1" applyFill="1"/>
    <xf numFmtId="0" fontId="60" fillId="9" borderId="84" xfId="0" applyFont="1" applyFill="1" applyBorder="1"/>
    <xf numFmtId="0" fontId="61" fillId="8" borderId="84" xfId="0" applyFont="1" applyFill="1" applyBorder="1" applyAlignment="1">
      <alignment shrinkToFit="1"/>
    </xf>
    <xf numFmtId="0" fontId="61" fillId="8" borderId="85" xfId="0" applyFont="1" applyFill="1" applyBorder="1" applyAlignment="1">
      <alignment shrinkToFit="1"/>
    </xf>
    <xf numFmtId="0" fontId="61" fillId="8" borderId="86" xfId="0" applyFont="1" applyFill="1" applyBorder="1" applyAlignment="1">
      <alignment shrinkToFit="1"/>
    </xf>
    <xf numFmtId="0" fontId="61" fillId="8" borderId="84" xfId="0" applyFont="1" applyFill="1" applyBorder="1" applyAlignment="1">
      <alignment vertical="center" shrinkToFit="1"/>
    </xf>
    <xf numFmtId="191" fontId="62" fillId="8" borderId="84" xfId="0" applyNumberFormat="1" applyFont="1" applyFill="1" applyBorder="1" applyAlignment="1">
      <alignment vertical="center" shrinkToFit="1"/>
    </xf>
    <xf numFmtId="0" fontId="61" fillId="8" borderId="87" xfId="0" applyFont="1" applyFill="1" applyBorder="1" applyAlignment="1">
      <alignment vertical="center" shrinkToFit="1"/>
    </xf>
    <xf numFmtId="0" fontId="61" fillId="8" borderId="85" xfId="0" applyFont="1" applyFill="1" applyBorder="1" applyAlignment="1">
      <alignment vertical="center" shrinkToFit="1"/>
    </xf>
    <xf numFmtId="191" fontId="62" fillId="8" borderId="85" xfId="0" applyNumberFormat="1" applyFont="1" applyFill="1" applyBorder="1" applyAlignment="1">
      <alignment vertical="center" shrinkToFit="1"/>
    </xf>
    <xf numFmtId="0" fontId="61" fillId="8" borderId="88" xfId="0" applyFont="1" applyFill="1" applyBorder="1" applyAlignment="1">
      <alignment vertical="center" shrinkToFit="1"/>
    </xf>
    <xf numFmtId="0" fontId="63" fillId="8" borderId="86" xfId="0" applyFont="1" applyFill="1" applyBorder="1" applyAlignment="1">
      <alignment vertical="center" shrinkToFit="1"/>
    </xf>
    <xf numFmtId="0" fontId="63" fillId="8" borderId="84" xfId="0" applyFont="1" applyFill="1" applyBorder="1" applyAlignment="1">
      <alignment vertical="center" shrinkToFit="1"/>
    </xf>
    <xf numFmtId="191" fontId="64" fillId="8" borderId="86" xfId="0" applyNumberFormat="1" applyFont="1" applyFill="1" applyBorder="1" applyAlignment="1">
      <alignment vertical="center" shrinkToFit="1"/>
    </xf>
    <xf numFmtId="0" fontId="63" fillId="8" borderId="89" xfId="0" applyFont="1" applyFill="1" applyBorder="1" applyAlignment="1">
      <alignment vertical="center" shrinkToFit="1"/>
    </xf>
    <xf numFmtId="0" fontId="63" fillId="8" borderId="90" xfId="0" applyFont="1" applyFill="1" applyBorder="1" applyAlignment="1">
      <alignment vertical="center" shrinkToFit="1"/>
    </xf>
    <xf numFmtId="191" fontId="64" fillId="8" borderId="84" xfId="0" applyNumberFormat="1" applyFont="1" applyFill="1" applyBorder="1" applyAlignment="1">
      <alignment vertical="center" shrinkToFit="1"/>
    </xf>
    <xf numFmtId="0" fontId="63" fillId="8" borderId="87" xfId="0" applyFont="1" applyFill="1" applyBorder="1" applyAlignment="1">
      <alignment vertical="center" shrinkToFit="1"/>
    </xf>
    <xf numFmtId="0" fontId="63" fillId="8" borderId="91" xfId="0" applyFont="1" applyFill="1" applyBorder="1" applyAlignment="1">
      <alignment vertical="center" shrinkToFit="1"/>
    </xf>
    <xf numFmtId="191" fontId="64" fillId="8" borderId="85" xfId="0" applyNumberFormat="1" applyFont="1" applyFill="1" applyBorder="1" applyAlignment="1">
      <alignment vertical="center" shrinkToFit="1"/>
    </xf>
    <xf numFmtId="0" fontId="63" fillId="8" borderId="88" xfId="0" applyFont="1" applyFill="1" applyBorder="1" applyAlignment="1">
      <alignment vertical="center" shrinkToFit="1"/>
    </xf>
    <xf numFmtId="0" fontId="63" fillId="8" borderId="92" xfId="0" applyFont="1" applyFill="1" applyBorder="1" applyAlignment="1">
      <alignment vertical="center" shrinkToFit="1"/>
    </xf>
    <xf numFmtId="191" fontId="63" fillId="8" borderId="84" xfId="0" applyNumberFormat="1" applyFont="1" applyFill="1" applyBorder="1" applyAlignment="1">
      <alignment vertical="center" shrinkToFit="1"/>
    </xf>
    <xf numFmtId="0" fontId="64" fillId="8" borderId="84" xfId="0" applyFont="1" applyFill="1" applyBorder="1" applyAlignment="1">
      <alignment vertical="center" shrinkToFit="1"/>
    </xf>
    <xf numFmtId="0" fontId="0" fillId="0" borderId="80" xfId="0" pivotButton="1" applyBorder="1"/>
    <xf numFmtId="0" fontId="0" fillId="0" borderId="80" xfId="0" applyBorder="1"/>
    <xf numFmtId="2" fontId="58" fillId="0" borderId="14" xfId="0" applyNumberFormat="1" applyFont="1" applyBorder="1" applyAlignment="1">
      <alignment horizontal="right" vertical="center" wrapText="1"/>
    </xf>
    <xf numFmtId="2" fontId="58" fillId="0" borderId="14" xfId="0" applyNumberFormat="1" applyFont="1" applyBorder="1" applyAlignment="1">
      <alignment horizontal="right"/>
    </xf>
    <xf numFmtId="191"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0" fontId="4" fillId="0" borderId="20" xfId="0" applyFont="1" applyBorder="1" applyAlignment="1">
      <alignment horizontal="center"/>
    </xf>
    <xf numFmtId="2" fontId="23" fillId="9" borderId="68" xfId="0" applyNumberFormat="1" applyFont="1" applyFill="1" applyBorder="1" applyAlignment="1">
      <alignment horizontal="right" wrapText="1"/>
    </xf>
    <xf numFmtId="2" fontId="25" fillId="0" borderId="15" xfId="0" applyNumberFormat="1" applyFont="1" applyBorder="1" applyAlignment="1">
      <alignment horizontal="right"/>
    </xf>
    <xf numFmtId="2" fontId="25" fillId="0" borderId="0" xfId="0" applyNumberFormat="1" applyFont="1" applyAlignment="1">
      <alignment horizontal="right"/>
    </xf>
    <xf numFmtId="2" fontId="25" fillId="0" borderId="64" xfId="0" applyNumberFormat="1" applyFont="1" applyBorder="1" applyAlignment="1">
      <alignment horizontal="right"/>
    </xf>
    <xf numFmtId="2" fontId="25" fillId="0" borderId="20" xfId="0" applyNumberFormat="1" applyFont="1" applyBorder="1" applyAlignment="1">
      <alignment horizontal="right"/>
    </xf>
    <xf numFmtId="2" fontId="25" fillId="0" borderId="61"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4" fontId="25" fillId="0" borderId="56" xfId="0" applyNumberFormat="1" applyFont="1" applyBorder="1" applyAlignment="1">
      <alignment horizontal="right"/>
    </xf>
    <xf numFmtId="4" fontId="25" fillId="0" borderId="31" xfId="0" applyNumberFormat="1" applyFont="1" applyBorder="1" applyAlignment="1">
      <alignment horizontal="right"/>
    </xf>
    <xf numFmtId="4" fontId="25" fillId="0" borderId="66" xfId="0" applyNumberFormat="1" applyFont="1" applyBorder="1" applyAlignment="1">
      <alignment horizontal="right"/>
    </xf>
    <xf numFmtId="4" fontId="25" fillId="0" borderId="57" xfId="0" applyNumberFormat="1" applyFont="1" applyBorder="1" applyAlignment="1">
      <alignment horizontal="right"/>
    </xf>
    <xf numFmtId="4" fontId="25" fillId="0" borderId="63" xfId="0" applyNumberFormat="1" applyFont="1" applyBorder="1" applyAlignment="1">
      <alignment horizontal="right"/>
    </xf>
    <xf numFmtId="2" fontId="31" fillId="8" borderId="14" xfId="0" applyNumberFormat="1" applyFont="1" applyFill="1" applyBorder="1" applyAlignment="1">
      <alignment horizontal="center" vertical="center"/>
    </xf>
    <xf numFmtId="1" fontId="24" fillId="9" borderId="45"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2" fontId="65" fillId="15" borderId="14" xfId="0" applyNumberFormat="1" applyFont="1" applyFill="1" applyBorder="1" applyAlignment="1">
      <alignment horizontal="right" vertical="top" wrapText="1"/>
    </xf>
    <xf numFmtId="2" fontId="66" fillId="15" borderId="14" xfId="0" applyNumberFormat="1" applyFont="1" applyFill="1" applyBorder="1" applyAlignment="1">
      <alignment horizontal="right"/>
    </xf>
    <xf numFmtId="2" fontId="66" fillId="0" borderId="0" xfId="0" applyNumberFormat="1" applyFont="1" applyAlignment="1">
      <alignment horizontal="center"/>
    </xf>
    <xf numFmtId="0" fontId="67" fillId="9" borderId="16" xfId="0" applyFont="1" applyFill="1" applyBorder="1" applyAlignment="1">
      <alignment horizontal="left" vertical="center"/>
    </xf>
    <xf numFmtId="0" fontId="67" fillId="9" borderId="21" xfId="0" applyFont="1" applyFill="1" applyBorder="1" applyAlignment="1">
      <alignment horizontal="left" vertical="center"/>
    </xf>
    <xf numFmtId="0" fontId="67" fillId="9" borderId="22" xfId="0" applyFont="1" applyFill="1" applyBorder="1" applyAlignment="1">
      <alignment horizontal="left" vertical="center"/>
    </xf>
    <xf numFmtId="0" fontId="1" fillId="6" borderId="49" xfId="0" applyFont="1" applyFill="1" applyBorder="1" applyAlignment="1">
      <alignment horizontal="left" vertical="center"/>
    </xf>
    <xf numFmtId="2" fontId="4" fillId="4" borderId="23" xfId="0" applyNumberFormat="1" applyFont="1" applyFill="1" applyBorder="1" applyAlignment="1">
      <alignment horizontal="left" vertical="center"/>
    </xf>
    <xf numFmtId="0" fontId="4" fillId="4" borderId="24" xfId="0" applyFont="1" applyFill="1" applyBorder="1" applyAlignment="1">
      <alignment horizontal="left" vertical="center"/>
    </xf>
    <xf numFmtId="0" fontId="4" fillId="4" borderId="25" xfId="0" applyFont="1" applyFill="1" applyBorder="1" applyAlignment="1">
      <alignment horizontal="center" vertical="center"/>
    </xf>
    <xf numFmtId="2" fontId="4" fillId="4" borderId="26" xfId="0" applyNumberFormat="1" applyFont="1" applyFill="1" applyBorder="1" applyAlignment="1">
      <alignment horizontal="center" vertical="center"/>
    </xf>
    <xf numFmtId="0" fontId="4" fillId="2" borderId="38" xfId="0" applyFont="1" applyFill="1" applyBorder="1" applyAlignment="1">
      <alignment vertical="center"/>
    </xf>
    <xf numFmtId="198" fontId="4" fillId="4" borderId="37" xfId="0" applyNumberFormat="1" applyFont="1" applyFill="1" applyBorder="1" applyAlignment="1">
      <alignment horizontal="center" vertical="center"/>
    </xf>
    <xf numFmtId="0" fontId="4" fillId="4" borderId="38" xfId="0" applyFont="1" applyFill="1" applyBorder="1" applyAlignment="1">
      <alignment horizontal="center" vertical="center"/>
    </xf>
    <xf numFmtId="2" fontId="4" fillId="4" borderId="38" xfId="0" applyNumberFormat="1" applyFont="1" applyFill="1" applyBorder="1" applyAlignment="1">
      <alignment horizontal="center" vertical="center"/>
    </xf>
    <xf numFmtId="0" fontId="4" fillId="6" borderId="38" xfId="0" applyFont="1" applyFill="1" applyBorder="1" applyAlignment="1">
      <alignment vertical="center"/>
    </xf>
    <xf numFmtId="2" fontId="43" fillId="4" borderId="52" xfId="0" applyNumberFormat="1" applyFont="1" applyFill="1" applyBorder="1" applyAlignment="1">
      <alignment horizontal="left" vertical="center"/>
    </xf>
    <xf numFmtId="0" fontId="4" fillId="4" borderId="29" xfId="0" applyFont="1" applyFill="1" applyBorder="1" applyAlignment="1">
      <alignment horizontal="left" vertical="center"/>
    </xf>
    <xf numFmtId="0" fontId="4" fillId="4" borderId="25" xfId="0" applyFont="1" applyFill="1" applyBorder="1" applyAlignment="1">
      <alignment horizontal="center" vertical="center"/>
    </xf>
    <xf numFmtId="2" fontId="4" fillId="4" borderId="25" xfId="0" applyNumberFormat="1" applyFont="1" applyFill="1" applyBorder="1" applyAlignment="1">
      <alignment horizontal="center" vertical="center"/>
    </xf>
    <xf numFmtId="191"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98" fontId="4" fillId="4" borderId="40" xfId="0" applyNumberFormat="1" applyFont="1" applyFill="1" applyBorder="1" applyAlignment="1">
      <alignment horizontal="center" vertical="center"/>
    </xf>
    <xf numFmtId="2" fontId="43" fillId="4" borderId="53" xfId="0" applyNumberFormat="1" applyFont="1" applyFill="1" applyBorder="1" applyAlignment="1">
      <alignment horizontal="left" vertical="center"/>
    </xf>
    <xf numFmtId="0" fontId="4" fillId="4" borderId="32" xfId="0" applyFont="1" applyFill="1" applyBorder="1" applyAlignment="1">
      <alignment horizontal="left" vertical="center"/>
    </xf>
    <xf numFmtId="0" fontId="4" fillId="4" borderId="33" xfId="0" applyFont="1" applyFill="1" applyBorder="1" applyAlignment="1">
      <alignment horizontal="center" vertical="center"/>
    </xf>
    <xf numFmtId="2" fontId="4" fillId="4" borderId="33" xfId="0" applyNumberFormat="1" applyFont="1" applyFill="1" applyBorder="1" applyAlignment="1">
      <alignment horizontal="center" vertical="center"/>
    </xf>
    <xf numFmtId="0" fontId="4" fillId="2" borderId="43" xfId="0" applyFont="1" applyFill="1" applyBorder="1" applyAlignment="1">
      <alignment vertical="center"/>
    </xf>
    <xf numFmtId="198" fontId="4" fillId="4" borderId="42" xfId="0" applyNumberFormat="1" applyFont="1" applyFill="1" applyBorder="1" applyAlignment="1">
      <alignment horizontal="center" vertical="center"/>
    </xf>
    <xf numFmtId="2" fontId="4" fillId="4" borderId="43" xfId="0" applyNumberFormat="1" applyFont="1" applyFill="1" applyBorder="1" applyAlignment="1">
      <alignment horizontal="center" vertical="center"/>
    </xf>
    <xf numFmtId="0" fontId="4" fillId="6" borderId="43" xfId="0" applyFont="1" applyFill="1" applyBorder="1" applyAlignment="1">
      <alignment vertical="center"/>
    </xf>
    <xf numFmtId="0" fontId="4" fillId="4" borderId="24" xfId="0" applyFont="1" applyFill="1" applyBorder="1" applyAlignment="1">
      <alignment horizontal="left" vertical="center"/>
    </xf>
    <xf numFmtId="0" fontId="4" fillId="4" borderId="44" xfId="0" applyFont="1" applyFill="1" applyBorder="1" applyAlignment="1">
      <alignment horizontal="center" vertical="center"/>
    </xf>
    <xf numFmtId="0" fontId="4" fillId="4" borderId="31" xfId="0" applyFont="1" applyFill="1" applyBorder="1" applyAlignment="1">
      <alignment horizontal="center" vertical="center"/>
    </xf>
    <xf numFmtId="191" fontId="1" fillId="4" borderId="19" xfId="0" applyNumberFormat="1" applyFont="1" applyFill="1" applyBorder="1" applyAlignment="1">
      <alignment horizontal="center" vertical="center"/>
    </xf>
    <xf numFmtId="0" fontId="4" fillId="4" borderId="35" xfId="0" applyFont="1" applyFill="1" applyBorder="1" applyAlignment="1">
      <alignment horizontal="center" vertical="center"/>
    </xf>
    <xf numFmtId="0" fontId="4" fillId="4" borderId="43" xfId="0" applyFont="1" applyFill="1" applyBorder="1" applyAlignment="1">
      <alignment horizontal="center" vertical="center"/>
    </xf>
    <xf numFmtId="0" fontId="4" fillId="8" borderId="0" xfId="0" applyFont="1" applyFill="1" applyAlignment="1">
      <alignment horizontal="center" vertical="center"/>
    </xf>
    <xf numFmtId="0" fontId="1"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34" xfId="0" applyFont="1" applyFill="1" applyBorder="1" applyAlignment="1">
      <alignment horizontal="center" vertical="center"/>
    </xf>
    <xf numFmtId="0" fontId="0" fillId="0" borderId="73" xfId="0" applyBorder="1"/>
    <xf numFmtId="0" fontId="0" fillId="0" borderId="93" xfId="0" applyBorder="1"/>
    <xf numFmtId="0" fontId="0" fillId="0" borderId="77" xfId="0" applyBorder="1"/>
    <xf numFmtId="0" fontId="0" fillId="0" borderId="79" xfId="0" applyBorder="1"/>
    <xf numFmtId="191" fontId="31" fillId="0" borderId="71" xfId="0" quotePrefix="1" applyNumberFormat="1" applyFont="1" applyBorder="1" applyAlignment="1">
      <alignment horizontal="right" vertical="center"/>
    </xf>
    <xf numFmtId="0" fontId="35" fillId="9" borderId="18" xfId="0" applyFont="1" applyFill="1" applyBorder="1" applyAlignment="1">
      <alignment horizontal="center" vertical="center" wrapText="1"/>
    </xf>
    <xf numFmtId="14" fontId="0" fillId="8" borderId="0" xfId="0" applyNumberFormat="1" applyFill="1"/>
    <xf numFmtId="0" fontId="23" fillId="9" borderId="94" xfId="0" applyFont="1" applyFill="1" applyBorder="1" applyAlignment="1">
      <alignment vertical="center"/>
    </xf>
    <xf numFmtId="0" fontId="25"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91" fontId="0" fillId="0" borderId="0" xfId="0" applyNumberFormat="1" applyBorder="1" applyAlignment="1">
      <alignment horizontal="center"/>
    </xf>
    <xf numFmtId="191" fontId="4" fillId="0" borderId="0" xfId="0" applyNumberFormat="1" applyFont="1" applyBorder="1" applyAlignment="1">
      <alignment horizontal="center"/>
    </xf>
    <xf numFmtId="2" fontId="25"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6" xfId="0" applyNumberFormat="1" applyBorder="1"/>
    <xf numFmtId="0" fontId="0" fillId="0" borderId="78" xfId="0" applyNumberFormat="1" applyBorder="1"/>
    <xf numFmtId="0" fontId="0" fillId="0" borderId="80" xfId="0" applyNumberFormat="1" applyBorder="1"/>
    <xf numFmtId="0" fontId="0" fillId="0" borderId="73" xfId="0" applyNumberFormat="1" applyBorder="1"/>
    <xf numFmtId="0" fontId="0" fillId="0" borderId="93" xfId="0" applyNumberFormat="1" applyBorder="1"/>
    <xf numFmtId="0" fontId="0" fillId="0" borderId="77" xfId="0" applyNumberFormat="1" applyBorder="1"/>
    <xf numFmtId="0" fontId="0" fillId="0" borderId="0" xfId="0" applyNumberFormat="1"/>
    <xf numFmtId="0" fontId="0" fillId="0" borderId="79" xfId="0" applyNumberFormat="1" applyBorder="1"/>
    <xf numFmtId="0" fontId="0" fillId="0" borderId="95" xfId="0" applyNumberFormat="1" applyBorder="1"/>
    <xf numFmtId="191" fontId="1" fillId="4" borderId="57"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69" xfId="0" applyFont="1" applyFill="1" applyBorder="1" applyAlignment="1">
      <alignment horizontal="center" vertical="center"/>
    </xf>
    <xf numFmtId="191" fontId="1" fillId="4" borderId="20" xfId="0" applyNumberFormat="1" applyFont="1" applyFill="1" applyBorder="1" applyAlignment="1">
      <alignment horizontal="center" vertical="center"/>
    </xf>
    <xf numFmtId="0" fontId="4" fillId="4" borderId="57" xfId="0" applyFont="1" applyFill="1" applyBorder="1" applyAlignment="1">
      <alignment horizontal="center" vertical="center"/>
    </xf>
    <xf numFmtId="0" fontId="4" fillId="0" borderId="17" xfId="0" applyFont="1" applyBorder="1" applyAlignment="1">
      <alignment horizontal="center"/>
    </xf>
    <xf numFmtId="191" fontId="4" fillId="0" borderId="17" xfId="0" applyNumberFormat="1" applyFont="1" applyBorder="1" applyAlignment="1">
      <alignment horizontal="center"/>
    </xf>
    <xf numFmtId="0" fontId="24" fillId="9" borderId="45" xfId="0" applyFont="1" applyFill="1" applyBorder="1" applyAlignment="1">
      <alignment horizontal="left" vertical="top"/>
    </xf>
    <xf numFmtId="49" fontId="24" fillId="9" borderId="46" xfId="0" applyNumberFormat="1" applyFont="1" applyFill="1" applyBorder="1" applyAlignment="1">
      <alignment horizontal="center" vertical="top"/>
    </xf>
    <xf numFmtId="2" fontId="24" fillId="9" borderId="47" xfId="0" applyNumberFormat="1" applyFont="1" applyFill="1" applyBorder="1" applyAlignment="1">
      <alignment horizontal="center" vertical="top"/>
    </xf>
    <xf numFmtId="0" fontId="24" fillId="9" borderId="48" xfId="0" applyFont="1" applyFill="1" applyBorder="1" applyAlignment="1">
      <alignment horizontal="center" vertical="top"/>
    </xf>
    <xf numFmtId="0" fontId="24" fillId="9" borderId="31" xfId="0" applyFont="1" applyFill="1" applyBorder="1" applyAlignment="1">
      <alignment horizontal="right" vertical="top"/>
    </xf>
    <xf numFmtId="0" fontId="61" fillId="19" borderId="91" xfId="0" applyFont="1" applyFill="1" applyBorder="1" applyAlignment="1">
      <alignment vertical="center" shrinkToFit="1"/>
    </xf>
    <xf numFmtId="0" fontId="61" fillId="19" borderId="92" xfId="0" applyFont="1" applyFill="1" applyBorder="1" applyAlignment="1">
      <alignment vertical="center" shrinkToFit="1"/>
    </xf>
    <xf numFmtId="0" fontId="70" fillId="20" borderId="90" xfId="0" applyFont="1" applyFill="1" applyBorder="1" applyAlignment="1">
      <alignment vertical="center" shrinkToFit="1"/>
    </xf>
    <xf numFmtId="0" fontId="70" fillId="20" borderId="91" xfId="0" applyFont="1" applyFill="1" applyBorder="1" applyAlignment="1">
      <alignment vertical="center" shrinkToFit="1"/>
    </xf>
    <xf numFmtId="0" fontId="70" fillId="20" borderId="86" xfId="0" applyFont="1" applyFill="1" applyBorder="1" applyAlignment="1">
      <alignment vertical="center" shrinkToFit="1"/>
    </xf>
    <xf numFmtId="0" fontId="70" fillId="20" borderId="84" xfId="0" applyFont="1" applyFill="1" applyBorder="1" applyAlignment="1">
      <alignment vertical="center" shrinkToFit="1"/>
    </xf>
    <xf numFmtId="0" fontId="70" fillId="20" borderId="85" xfId="0" applyFont="1" applyFill="1" applyBorder="1" applyAlignment="1">
      <alignment vertical="center" shrinkToFit="1"/>
    </xf>
    <xf numFmtId="0" fontId="70" fillId="20" borderId="92" xfId="0" applyFont="1" applyFill="1" applyBorder="1" applyAlignment="1">
      <alignment vertical="center" shrinkToFit="1"/>
    </xf>
    <xf numFmtId="0" fontId="63" fillId="19" borderId="90" xfId="0" applyFont="1" applyFill="1" applyBorder="1" applyAlignment="1">
      <alignment vertical="center" shrinkToFit="1"/>
    </xf>
    <xf numFmtId="0" fontId="63" fillId="19" borderId="91" xfId="0" applyFont="1" applyFill="1" applyBorder="1" applyAlignment="1">
      <alignment vertical="center" shrinkToFit="1"/>
    </xf>
    <xf numFmtId="0" fontId="25" fillId="20" borderId="54" xfId="0" applyFont="1" applyFill="1" applyBorder="1" applyAlignment="1">
      <alignment horizontal="center"/>
    </xf>
    <xf numFmtId="0" fontId="68" fillId="9" borderId="59" xfId="0" applyFont="1" applyFill="1" applyBorder="1" applyAlignment="1">
      <alignment horizontal="center" vertical="center" textRotation="90"/>
    </xf>
    <xf numFmtId="0" fontId="68" fillId="9" borderId="52" xfId="0" applyFont="1" applyFill="1" applyBorder="1" applyAlignment="1">
      <alignment horizontal="center" vertical="center" textRotation="90"/>
    </xf>
    <xf numFmtId="0" fontId="68" fillId="9" borderId="55" xfId="0" applyFont="1" applyFill="1" applyBorder="1" applyAlignment="1">
      <alignment horizontal="center" vertical="center" textRotation="90"/>
    </xf>
    <xf numFmtId="0" fontId="68" fillId="9" borderId="15" xfId="0" applyFont="1" applyFill="1" applyBorder="1" applyAlignment="1">
      <alignment horizontal="center" vertical="center" textRotation="90"/>
    </xf>
    <xf numFmtId="0" fontId="68"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69" fillId="9" borderId="3" xfId="0" applyFont="1" applyFill="1" applyBorder="1" applyAlignment="1">
      <alignment horizontal="center" vertical="center" textRotation="90"/>
    </xf>
    <xf numFmtId="0" fontId="69" fillId="9" borderId="4" xfId="0" applyFont="1" applyFill="1" applyBorder="1" applyAlignment="1">
      <alignment horizontal="center" vertical="center" textRotation="90"/>
    </xf>
    <xf numFmtId="0" fontId="69" fillId="9" borderId="5" xfId="0" applyFont="1" applyFill="1" applyBorder="1" applyAlignment="1">
      <alignment horizontal="center" vertical="center" textRotation="90"/>
    </xf>
    <xf numFmtId="0" fontId="67" fillId="9" borderId="16" xfId="0" applyFont="1" applyFill="1" applyBorder="1" applyAlignment="1">
      <alignment horizontal="left" vertical="center"/>
    </xf>
    <xf numFmtId="0" fontId="67" fillId="9" borderId="21" xfId="0" applyFont="1" applyFill="1" applyBorder="1" applyAlignment="1">
      <alignment horizontal="left" vertical="center"/>
    </xf>
    <xf numFmtId="0" fontId="67" fillId="9" borderId="22" xfId="0" applyFont="1" applyFill="1" applyBorder="1" applyAlignment="1">
      <alignment horizontal="left" vertical="center"/>
    </xf>
    <xf numFmtId="0" fontId="23" fillId="9" borderId="96" xfId="0" applyFont="1" applyFill="1" applyBorder="1" applyAlignment="1">
      <alignment vertical="center"/>
    </xf>
    <xf numFmtId="0" fontId="23" fillId="9" borderId="97" xfId="0" applyFont="1" applyFill="1" applyBorder="1" applyAlignment="1">
      <alignment vertical="center"/>
    </xf>
  </cellXfs>
  <cellStyles count="2">
    <cellStyle name="Hyperlink" xfId="1" builtinId="8"/>
    <cellStyle name="Normal" xfId="0" builtinId="0"/>
  </cellStyles>
  <dxfs count="4">
    <dxf>
      <font>
        <color theme="9" tint="0.79998168889431442"/>
      </font>
    </dxf>
    <dxf>
      <font>
        <color theme="9" tint="0.79998168889431442"/>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3.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5.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F7D332F6-C6B2-4E67-B139-F3E3A46F8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113454</xdr:colOff>
      <xdr:row>0</xdr:row>
      <xdr:rowOff>74083</xdr:rowOff>
    </xdr:from>
    <xdr:to>
      <xdr:col>18</xdr:col>
      <xdr:colOff>632232</xdr:colOff>
      <xdr:row>0</xdr:row>
      <xdr:rowOff>338667</xdr:rowOff>
    </xdr:to>
    <xdr:sp macro="[0]!SortTable" textlink="">
      <xdr:nvSpPr>
        <xdr:cNvPr id="2" name="Rounded Rectangle 1">
          <a:extLst>
            <a:ext uri="{FF2B5EF4-FFF2-40B4-BE49-F238E27FC236}">
              <a16:creationId xmlns:a16="http://schemas.microsoft.com/office/drawing/2014/main" id="{8B93613E-BC9C-4BCC-8FBE-118CA6B3E378}"/>
            </a:ext>
          </a:extLst>
        </xdr:cNvPr>
        <xdr:cNvSpPr/>
      </xdr:nvSpPr>
      <xdr:spPr>
        <a:xfrm>
          <a:off x="11260667" y="74083"/>
          <a:ext cx="497416"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28575</xdr:colOff>
      <xdr:row>0</xdr:row>
      <xdr:rowOff>49530</xdr:rowOff>
    </xdr:from>
    <xdr:to>
      <xdr:col>28</xdr:col>
      <xdr:colOff>983800</xdr:colOff>
      <xdr:row>0</xdr:row>
      <xdr:rowOff>345133</xdr:rowOff>
    </xdr:to>
    <xdr:sp macro="[0]!SortWeekRankSoFar" textlink="">
      <xdr:nvSpPr>
        <xdr:cNvPr id="2" name="Rectangle 1">
          <a:extLst>
            <a:ext uri="{FF2B5EF4-FFF2-40B4-BE49-F238E27FC236}">
              <a16:creationId xmlns:a16="http://schemas.microsoft.com/office/drawing/2014/main" id="{5DDD8F85-5384-4317-A3D8-3198B743EA41}"/>
            </a:ext>
          </a:extLst>
        </xdr:cNvPr>
        <xdr:cNvSpPr/>
      </xdr:nvSpPr>
      <xdr:spPr>
        <a:xfrm>
          <a:off x="13201650" y="57150"/>
          <a:ext cx="914400" cy="295275"/>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45720</xdr:colOff>
          <xdr:row>0</xdr:row>
          <xdr:rowOff>960120</xdr:rowOff>
        </xdr:from>
        <xdr:to>
          <xdr:col>9</xdr:col>
          <xdr:colOff>746760</xdr:colOff>
          <xdr:row>0</xdr:row>
          <xdr:rowOff>1181100</xdr:rowOff>
        </xdr:to>
        <xdr:sp macro="" textlink="">
          <xdr:nvSpPr>
            <xdr:cNvPr id="40988" name="Option Button 28" hidden="1">
              <a:extLst>
                <a:ext uri="{63B3BB69-23CF-44E3-9099-C40C66FF867C}">
                  <a14:compatExt spid="_x0000_s40988"/>
                </a:ext>
                <a:ext uri="{FF2B5EF4-FFF2-40B4-BE49-F238E27FC236}">
                  <a16:creationId xmlns:a16="http://schemas.microsoft.com/office/drawing/2014/main" id="{3A20656C-BB98-4FAB-80A1-4624487F3D8F}"/>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Sort Down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0</xdr:row>
          <xdr:rowOff>960120</xdr:rowOff>
        </xdr:from>
        <xdr:to>
          <xdr:col>10</xdr:col>
          <xdr:colOff>769620</xdr:colOff>
          <xdr:row>0</xdr:row>
          <xdr:rowOff>1181100</xdr:rowOff>
        </xdr:to>
        <xdr:sp macro="" textlink="">
          <xdr:nvSpPr>
            <xdr:cNvPr id="40989" name="Option Button 29" hidden="1">
              <a:extLst>
                <a:ext uri="{63B3BB69-23CF-44E3-9099-C40C66FF867C}">
                  <a14:compatExt spid="_x0000_s40989"/>
                </a:ext>
                <a:ext uri="{FF2B5EF4-FFF2-40B4-BE49-F238E27FC236}">
                  <a16:creationId xmlns:a16="http://schemas.microsoft.com/office/drawing/2014/main" id="{E562E988-0F09-466A-A6B2-C212775A3CAF}"/>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Sort Up</a:t>
              </a:r>
            </a:p>
          </xdr:txBody>
        </xdr:sp>
        <xdr:clientData/>
      </xdr:twoCellAnchor>
    </mc:Choice>
    <mc:Fallback/>
  </mc:AlternateContent>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B66FAB04-821D-45E4-90B9-263960E0E981}"/>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D6BABAFD-6B0F-4049-B778-7F1833DE4E51}"/>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918210</xdr:colOff>
      <xdr:row>0</xdr:row>
      <xdr:rowOff>990600</xdr:rowOff>
    </xdr:from>
    <xdr:to>
      <xdr:col>8</xdr:col>
      <xdr:colOff>1430281</xdr:colOff>
      <xdr:row>0</xdr:row>
      <xdr:rowOff>1188720</xdr:rowOff>
    </xdr:to>
    <xdr:sp macro="[0]!ClearTopPicks" textlink="">
      <xdr:nvSpPr>
        <xdr:cNvPr id="3" name="Rectangle: Rounded Corners 2">
          <a:extLst>
            <a:ext uri="{FF2B5EF4-FFF2-40B4-BE49-F238E27FC236}">
              <a16:creationId xmlns:a16="http://schemas.microsoft.com/office/drawing/2014/main" id="{ED32F683-1627-40C6-A025-95FADCE4A744}"/>
            </a:ext>
          </a:extLst>
        </xdr:cNvPr>
        <xdr:cNvSpPr/>
      </xdr:nvSpPr>
      <xdr:spPr>
        <a:xfrm>
          <a:off x="6286500" y="990600"/>
          <a:ext cx="510540"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32C22059-6E5B-48F5-996C-276B4EA1B18C}"/>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E1A3E40A-A297-424F-9A7F-04175FECAE74}"/>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A17ACA4-2084-414E-A2CA-B325B678A7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631EE642-7ED5-4B21-8811-B767D2962B9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A0956D2F-F318-4543-A4C3-01BC3A09464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FA657F1A-E178-431D-B21A-42453B808C0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B50E62C-1FCE-4C4B-B8A8-FBCD1F88CD97}"/>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88E9F635-8477-4464-80F3-60D434B1D83C}"/>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37D3365-82D4-4A1C-AE3B-E1F5641C1ADF}"/>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E418577C-4A2A-4357-9E88-2DA947C2759D}"/>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CEE17F3E-6866-4CA0-A35E-3E3630DE3DC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BD1FA1E8-6CD2-48A9-B334-4374A1A065C4}"/>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Chris Griffin" refreshedDate="43471.529291435188" createdVersion="1" refreshedVersion="4" recordCount="112" upgradeOnRefresh="1">
  <cacheSource type="worksheet">
    <worksheetSource ref="A1:H120" sheet="Players"/>
  </cacheSource>
  <cacheFields count="8">
    <cacheField name="Carried-_x000a_Forward" numFmtId="0">
      <sharedItems containsString="0" containsNumber="1"/>
    </cacheField>
    <cacheField name="Next_x000a_Div" numFmtId="0">
      <sharedItems containsBlank="1" count="5">
        <s v="A"/>
        <s v="B"/>
        <m/>
        <s v="C"/>
        <s v="D"/>
      </sharedItems>
    </cacheField>
    <cacheField name="Resigned?" numFmtId="0">
      <sharedItems containsBlank="1" count="3">
        <s v="N"/>
        <s v="Y"/>
        <m/>
      </sharedItems>
    </cacheField>
    <cacheField name="Curr_x000a_Pos" numFmtId="0">
      <sharedItems containsString="0" containsNumber="1" containsInteger="1"/>
    </cacheField>
    <cacheField name="Curr_x000a_Div" numFmtId="0">
      <sharedItems containsString="0"/>
    </cacheField>
    <cacheField name="65 " numFmtId="0">
      <sharedItems containsString="0"/>
    </cacheField>
    <cacheField name="Total_x000a_Score" numFmtId="0">
      <sharedItems containsString="0" containsNumber="1"/>
    </cacheField>
    <cacheField name="Total_x000a_Correct" numFmtId="0">
      <sharedItems containsString="0" containsNumber="1" containsInteg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Chris Griffin" refreshedDate="43591.622751273149" createdVersion="1" refreshedVersion="4" recordCount="68" upgradeOnRefresh="1">
  <cacheSource type="worksheet">
    <worksheetSource ref="A1:P69" sheet="Table"/>
  </cacheSource>
  <cacheFields count="16">
    <cacheField name="Menu" numFmtId="0">
      <sharedItems containsString="0"/>
    </cacheField>
    <cacheField name="Place Prize" numFmtId="0">
      <sharedItems containsString="0"/>
    </cacheField>
    <cacheField name="Promotion" numFmtId="0">
      <sharedItems containsString="0"/>
    </cacheField>
    <cacheField name="Position" numFmtId="0">
      <sharedItems containsString="0" containsNumber="1" containsInteger="1"/>
    </cacheField>
    <cacheField name="Div" numFmtId="0">
      <sharedItems containsString="0"/>
    </cacheField>
    <cacheField name="Player" numFmtId="0">
      <sharedItems containsString="0"/>
    </cacheField>
    <cacheField name="Total_x000a_Score" numFmtId="0">
      <sharedItems containsString="0" containsNumber="1"/>
    </cacheField>
    <cacheField name="Total_x000a_correct" numFmtId="0">
      <sharedItems containsString="0" containsNumber="1" containsInteger="1"/>
    </cacheField>
    <cacheField name="Week_x000a_Score" numFmtId="0">
      <sharedItems containsString="0" containsNumber="1"/>
    </cacheField>
    <cacheField name="Week_x000a_Correct" numFmtId="0">
      <sharedItems containsString="0" containsBlank="1" containsNumber="1" containsInteger="1" minValue="0" maxValue="3" count="5">
        <n v="1"/>
        <n v="2"/>
        <n v="3"/>
        <n v="0"/>
        <m/>
      </sharedItems>
    </cacheField>
    <cacheField name="Brought_x000a_Forward" numFmtId="0">
      <sharedItems containsString="0" containsNumber="1"/>
    </cacheField>
    <cacheField name="League_x000a_Place_x000a_Prize" numFmtId="0">
      <sharedItems containsString="0" containsNumber="1"/>
    </cacheField>
    <cacheField name="Weekly_x000a_Prizes" numFmtId="0">
      <sharedItems containsString="0" containsNumber="1"/>
    </cacheField>
    <cacheField name="Cup_x000a_Prize" numFmtId="0">
      <sharedItems containsString="0" containsNumber="1" containsInteger="1"/>
    </cacheField>
    <cacheField name="Total_x000a_Prize" numFmtId="0">
      <sharedItems containsString="0" containsNumber="1"/>
    </cacheField>
    <cacheField name="Season_x000a_Balance"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Chris Griffin" refreshedDate="43591.62790821759" createdVersion="1" refreshedVersion="4" recordCount="195" upgradeOnRefresh="1">
  <cacheSource type="worksheet">
    <worksheetSource ref="J1:N196" sheet="Picks"/>
  </cacheSource>
  <cacheFields count="5">
    <cacheField name="Week 1" numFmtId="0">
      <sharedItems containsBlank="1" count="202">
        <m/>
        <s v="Everton draw"/>
        <s v="Crewe"/>
        <s v="Mansfield"/>
        <s v="Bristol C"/>
        <s v="Middlesbro"/>
        <s v="Cardiff"/>
        <s v="Forest Green Draw"/>
        <s v="Reading Draw"/>
        <s v="Villa Draw"/>
        <s v="Portsmouth"/>
        <s v="Doncaster"/>
        <s v="Wigan"/>
        <s v="Burnley"/>
        <s v="West Ham"/>
        <s v="Derby draw"/>
        <s v="Norwich"/>
        <s v="Charlton"/>
        <s v="Blackpool"/>
        <s v="Chelsea"/>
        <s v="Bournemouth draw"/>
        <s v="Barnsley"/>
        <s v="Macclesfield"/>
        <s v="Chelsea draw"/>
        <s v="Notts Co"/>
        <s v="Sunderland"/>
        <s v="Wigan draw"/>
        <s v="Wycombe"/>
        <s v="Palace"/>
        <s v="Peterborough"/>
        <s v="Scunthorpe"/>
        <s v="Newcastle"/>
        <s v="Southampton"/>
        <s v="Bournemouth"/>
        <s v="Huddersfield"/>
        <s v="Watford"/>
        <s v="Brighton"/>
        <s v="Derby"/>
        <s v="Liverpool"/>
        <s v="MK Dons"/>
        <s v="Lincoln"/>
        <s v="Man U"/>
        <s v="Wolves"/>
        <s v="Newcastle Draw"/>
        <s v="Shrewsbury"/>
        <s v="Sheff W"/>
        <s v="Stoke"/>
        <s v="Charlton draw"/>
        <s v="Plymouth draw"/>
        <s v="Wycombe draw"/>
        <s v="Arsenal Draw"/>
        <s v="Ipswich draw"/>
        <s v="Plymouth"/>
        <s v="Crawley"/>
        <s v="Reading"/>
        <s v="Villa"/>
        <s v="Cardiff draw"/>
        <s v="Brentford"/>
        <s v="Swindon"/>
        <s v="MK Dons draw"/>
        <s v="Blackburn draw"/>
        <s v="Carlisle"/>
        <s v="Walsall"/>
        <s v="Sheff U"/>
        <s v="Luton"/>
        <s v="Spurs"/>
        <s v="Everton"/>
        <s v="Exeter"/>
        <s v="Swansea"/>
        <s v="Leeds"/>
        <s v="Bury"/>
        <s v="Newport"/>
        <s v="Southend"/>
        <s v="Brentford draw"/>
        <s v="Wolves Draw"/>
        <s v="Fulham"/>
        <s v="Arsenal"/>
        <s v="Fleetwood"/>
        <s v="Macclesfield draw"/>
        <s v="West Brom"/>
        <s v="Swansea draw" u="1"/>
        <s v="Luxembourg draw" u="1"/>
        <s v="Forest" u="1"/>
        <s v="Solihull" u="1"/>
        <s v="Oxford draw" u="1"/>
        <s v="West Ham draw" u="1"/>
        <s v="Bolton" u="1"/>
        <s v="France" u="1"/>
        <s v="Oldham" u="1"/>
        <s v="Tranmere draw" u="1"/>
        <s v="Crewe draw" u="1"/>
        <s v="Port Vale" u="1"/>
        <s v="Preston" u="1"/>
        <s v="Hartlepool Draw" u="1"/>
        <s v="Bulgaria" u="1"/>
        <s v="Man C" u="1"/>
        <s v="Mansfield draw" u="1"/>
        <s v="Boreham wood" u="1"/>
        <s v="Bradford Draw" u="1"/>
        <s v="Newport draw" u="1"/>
        <s v="Morecambe draw" u="1"/>
        <s v="Northampton Draw" u="1"/>
        <s v="Ireland" u="1"/>
        <s v="Leicester" u="1"/>
        <s v="Halifax" u="1"/>
        <s v="AFC Fylde" u="1"/>
        <s v="Colchester draw" u="1"/>
        <s v="Bosnia" u="1"/>
        <s v="Italy" u="1"/>
        <s v="Grimsby" u="1"/>
        <s v="Hull draw" u="1"/>
        <s v="QPR" u="1"/>
        <s v="Maidstone" u="1"/>
        <s v="Luton draw" u="1"/>
        <s v="Albania" u="1"/>
        <s v="Yeovil" u="1"/>
        <s v="Moldova" u="1"/>
        <s v="Doncaster draw" u="1"/>
        <s v="Stevenage" u="1"/>
        <s v="Sweden" u="1"/>
        <s v="Salford" u="1"/>
        <s v="Wimbledon draw" u="1"/>
        <s v="Burton" u="1"/>
        <s v="Forest Green" u="1"/>
        <s v="Iceland" u="1"/>
        <s v="Rotherham" u="1"/>
        <s v="Southampton Draw" u="1"/>
        <s v="Forest draw" u="1"/>
        <s v="Palace draw" u="1"/>
        <s v="Andorra draw" u="1"/>
        <s v="Hull" u="1"/>
        <s v="Oldham draw" u="1"/>
        <s v="Liverpool draw" u="1"/>
        <s v="Man C draw" u="1"/>
        <s v="Chesterfield" u="1"/>
        <s v="Fleetwood Draw" u="1"/>
        <s v="West Brom draw" u="1"/>
        <s v="Blackpool Draw" u="1"/>
        <s v="Sunderland draw" u="1"/>
        <s v="England" u="1"/>
        <s v="Blackburn" u="1"/>
        <s v="Tranmere" u="1"/>
        <s v="Millwall Draw" u="1"/>
        <s v="Accrington draw" u="1"/>
        <s v="Bromley" u="1"/>
        <s v="Bristol r" u="1"/>
        <s v="Cheltenham Draw" u="1"/>
        <s v="Fulham draw" u="1"/>
        <s v="Bradford" u="1"/>
        <s v="Malta draw" u="1"/>
        <s v="Colchester" u="1"/>
        <s v="Bosnia draw" u="1"/>
        <s v="Georgia draw" u="1"/>
        <s v="Birmingham draw" u="1"/>
        <s v="Rochdale" u="1"/>
        <s v="Bury draw" u="1"/>
        <s v="Notts Co draw" u="1"/>
        <s v="Portugal" u="1"/>
        <s v="QPR draw" u="1"/>
        <s v="Port Vale draw" u="1"/>
        <s v="Gillingham draw" u="1"/>
        <s v="Middlesbro draw" u="1"/>
        <s v="Morecambe" u="1"/>
        <s v="Man U draw" u="1"/>
        <s v="Yeovil draw" u="1"/>
        <s v="Boreham wood draw" u="1"/>
        <s v="Oxford" u="1"/>
        <s v="Bristol C draw" u="1"/>
        <s v="Burnley draw" u="1"/>
        <s v="Burton draw" u="1"/>
        <s v="Swindon draw" u="1"/>
        <s v="Bulgaria draw" u="1"/>
        <s v="AFC Fylde draw" u="1"/>
        <s v="Coventry" u="1"/>
        <s v="Preston draw" u="1"/>
        <s v="Walsall draw" u="1"/>
        <s v="Sheff W draw" u="1"/>
        <s v="Barnsley draw" u="1"/>
        <s v="Wrexham" u="1"/>
        <s v="Maidstone draw" u="1"/>
        <s v="Cambridge" u="1"/>
        <s v="Southend draw" u="1"/>
        <s v="Wimbledon" u="1"/>
        <s v="Leeds draw" u="1"/>
        <s v="Scunthorpe draw" u="1"/>
        <s v="Halifax Draw" u="1"/>
        <s v="Brighton Draw" u="1"/>
        <s v="Turkey" u="1"/>
        <s v="Accrington" u="1"/>
        <s v="Ukraine" u="1"/>
        <s v="Cheltenham" u="1"/>
        <s v="Exeter draw" u="1"/>
        <s v="Watford draw" u="1"/>
        <s v="Rotherham draw" u="1"/>
        <s v="Millwall" u="1"/>
        <s v="Northampton" u="1"/>
        <s v="Czech Republic" u="1"/>
        <s v="Albania draw" u="1"/>
        <s v="Birmingham" u="1"/>
        <s v="Ipswich" u="1"/>
        <s v="Lithuania" u="1"/>
        <s v="Gillingham" u="1"/>
      </sharedItems>
    </cacheField>
    <cacheField name="Frac" numFmtId="0">
      <sharedItems containsString="0"/>
    </cacheField>
    <cacheField name="Dec" numFmtId="0">
      <sharedItems containsString="0" containsNumber="1"/>
    </cacheField>
    <cacheField name="Bet up " numFmtId="0">
      <sharedItems containsMixedTypes="1" containsNumber="1" containsInteger="1" minValue="0" maxValue="1" count="3">
        <e v="#N/A"/>
        <n v="0"/>
        <n v="1"/>
      </sharedItems>
    </cacheField>
    <cacheField name="Points" numFmtId="0">
      <sharedItems containsString="0" containsNumber="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2"/>
</file>

<file path=xl/pivotCache/pivotCacheRecords2.xml><?xml version="1.0" encoding="utf-8"?>
<pivotCacheRecords xmlns="http://schemas.openxmlformats.org/spreadsheetml/2006/main" xmlns:r="http://schemas.openxmlformats.org/officeDocument/2006/relationships" count="68"/>
</file>

<file path=xl/pivotCache/pivotCacheRecords3.xml><?xml version="1.0" encoding="utf-8"?>
<pivotCacheRecords xmlns="http://schemas.openxmlformats.org/spreadsheetml/2006/main" xmlns:r="http://schemas.openxmlformats.org/officeDocument/2006/relationships" count="195"/>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1" cacheId="19" dataOnRows="1" applyNumberFormats="0" applyBorderFormats="0" applyFontFormats="0" applyPatternFormats="0" applyAlignmentFormats="0" applyWidthHeightFormats="1" dataCaption="Data" updatedVersion="6" showMemberPropertyTips="0" useAutoFormatting="1" itemPrintTitles="1" createdVersion="1" indent="0" compact="0" compactData="0" gridDropZones="1">
  <location ref="U3:V9" firstHeaderRow="2" firstDataRow="2" firstDataCol="1" rowPageCount="1" colPageCount="1"/>
  <pivotFields count="8">
    <pivotField compact="0" numFmtId="191" outline="0" subtotalTop="0" showAll="0" includeNewItemsInFilter="1" defaultSubtotal="0"/>
    <pivotField axis="axisRow" compact="0" outline="0" subtotalTop="0" showAll="0" includeNewItemsInFilter="1" defaultSubtotal="0">
      <items count="5">
        <item x="0"/>
        <item x="1"/>
        <item x="3"/>
        <item x="4"/>
        <item x="2"/>
      </items>
    </pivotField>
    <pivotField axis="axisPage" compact="0" outline="0" subtotalTop="0" showAll="0" includeNewItemsInFilter="1" defaultSubtotal="0">
      <items count="3">
        <item x="0"/>
        <item x="1"/>
        <item x="2"/>
      </items>
    </pivotField>
    <pivotField compact="0" outline="0" subtotalTop="0" showAll="0" includeNewItemsInFilter="1" defaultSubtotal="0"/>
    <pivotField compact="0" outline="0" subtotalTop="0" showAll="0" includeNewItemsInFilter="1" defaultSubtotal="0"/>
    <pivotField dataField="1" compact="0" outline="0" subtotalTop="0" showAll="0" includeNewItemsInFilter="1" defaultSubtotal="0"/>
    <pivotField compact="0" numFmtId="191" outline="0" subtotalTop="0" showAll="0" includeNewItemsInFilter="1" defaultSubtotal="0"/>
    <pivotField compact="0" numFmtId="49" outline="0" subtotalTop="0" showAll="0" includeNewItemsInFilter="1" defaultSubtotal="0"/>
  </pivotFields>
  <rowFields count="1">
    <field x="1"/>
  </rowFields>
  <rowItems count="5">
    <i>
      <x/>
    </i>
    <i>
      <x v="1"/>
    </i>
    <i>
      <x v="2"/>
    </i>
    <i>
      <x v="3"/>
    </i>
    <i t="grand">
      <x/>
    </i>
  </rowItems>
  <colItems count="1">
    <i/>
  </colItems>
  <pageFields count="1">
    <pageField fld="2" item="0" hier="0"/>
  </pageFields>
  <dataFields count="1">
    <dataField name="Count of 65 "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PivotTable1" cacheId="20" dataOnRows="1" applyNumberFormats="0" applyBorderFormats="0" applyFontFormats="0" applyPatternFormats="0" applyAlignmentFormats="0" applyWidthHeightFormats="1" dataCaption="Data" updatedVersion="6" showMemberPropertyTips="0" useAutoFormatting="1" itemPrintTitles="1" createdVersion="1" indent="0" compact="0" compactData="0" gridDropZones="1">
  <location ref="A3:B9" firstHeaderRow="2" firstDataRow="2" firstDataCol="1"/>
  <pivotFields count="16">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h="1" x="4"/>
        <item x="2"/>
        <item x="1"/>
        <item x="0"/>
        <item x="3"/>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9"/>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name="PivotTable4" cacheId="21" dataOnRows="1" applyNumberFormats="0" applyBorderFormats="0" applyFontFormats="0" applyPatternFormats="0" applyAlignmentFormats="0" applyWidthHeightFormats="1" dataCaption="Data" updatedVersion="6" showMemberPropertyTips="0" useAutoFormatting="1" itemPrintTitles="1" createdVersion="1" indent="0" compact="0" compactData="0" gridDropZones="1">
  <location ref="A2:E84" firstHeaderRow="1" firstDataRow="2" firstDataCol="1"/>
  <pivotFields count="5">
    <pivotField axis="axisRow" compact="0" outline="0" subtotalTop="0" showAll="0" includeNewItemsInFilter="1" defaultSubtotal="0">
      <items count="202">
        <item m="1" x="143"/>
        <item x="21"/>
        <item x="18"/>
        <item m="1" x="86"/>
        <item x="33"/>
        <item x="20"/>
        <item m="1" x="148"/>
        <item x="57"/>
        <item x="36"/>
        <item x="13"/>
        <item m="1" x="168"/>
        <item m="1" x="122"/>
        <item m="1" x="169"/>
        <item x="61"/>
        <item x="17"/>
        <item x="19"/>
        <item x="53"/>
        <item x="11"/>
        <item m="1" x="117"/>
        <item x="66"/>
        <item x="1"/>
        <item x="67"/>
        <item m="1" x="191"/>
        <item x="77"/>
        <item m="1" x="82"/>
        <item m="1" x="123"/>
        <item x="75"/>
        <item m="1" x="147"/>
        <item m="1" x="130"/>
        <item m="1" x="110"/>
        <item x="51"/>
        <item x="69"/>
        <item m="1" x="183"/>
        <item m="1" x="103"/>
        <item x="38"/>
        <item x="64"/>
        <item m="1" x="95"/>
        <item x="41"/>
        <item x="5"/>
        <item x="39"/>
        <item x="59"/>
        <item x="31"/>
        <item m="1" x="195"/>
        <item x="16"/>
        <item m="1" x="156"/>
        <item m="1" x="131"/>
        <item m="1" x="166"/>
        <item x="29"/>
        <item x="10"/>
        <item m="1" x="92"/>
        <item m="1" x="174"/>
        <item x="30"/>
        <item x="45"/>
        <item m="1" x="176"/>
        <item x="44"/>
        <item x="72"/>
        <item m="1" x="181"/>
        <item m="1" x="118"/>
        <item x="46"/>
        <item x="25"/>
        <item x="68"/>
        <item x="58"/>
        <item m="1" x="170"/>
        <item x="55"/>
        <item x="9"/>
        <item x="35"/>
        <item m="1" x="192"/>
        <item x="79"/>
        <item x="14"/>
        <item m="1" x="85"/>
        <item x="12"/>
        <item x="26"/>
        <item x="42"/>
        <item x="74"/>
        <item x="0"/>
        <item x="7"/>
        <item m="1" x="141"/>
        <item m="1" x="188"/>
        <item m="1" x="140"/>
        <item x="70"/>
        <item m="1" x="115"/>
        <item m="1" x="135"/>
        <item x="62"/>
        <item x="28"/>
        <item m="1" x="109"/>
        <item m="1" x="111"/>
        <item m="1" x="193"/>
        <item x="63"/>
        <item m="1" x="155"/>
        <item m="1" x="182"/>
        <item m="1" x="194"/>
        <item m="1" x="91"/>
        <item m="1" x="162"/>
        <item x="22"/>
        <item m="1" x="80"/>
        <item x="2"/>
        <item m="1" x="90"/>
        <item x="73"/>
        <item m="1" x="164"/>
        <item m="1" x="129"/>
        <item m="1" x="81"/>
        <item m="1" x="151"/>
        <item m="1" x="146"/>
        <item m="1" x="87"/>
        <item m="1" x="102"/>
        <item m="1" x="98"/>
        <item x="78"/>
        <item m="1" x="93"/>
        <item m="1" x="157"/>
        <item m="1" x="107"/>
        <item m="1" x="108"/>
        <item m="1" x="187"/>
        <item m="1" x="200"/>
        <item m="1" x="119"/>
        <item m="1" x="173"/>
        <item x="40"/>
        <item m="1" x="171"/>
        <item m="1" x="114"/>
        <item m="1" x="139"/>
        <item m="1" x="144"/>
        <item m="1" x="178"/>
        <item m="1" x="149"/>
        <item m="1" x="94"/>
        <item x="52"/>
        <item m="1" x="196"/>
        <item m="1" x="116"/>
        <item m="1" x="189"/>
        <item m="1" x="134"/>
        <item m="1" x="120"/>
        <item m="1" x="154"/>
        <item x="3"/>
        <item m="1" x="175"/>
        <item m="1" x="185"/>
        <item m="1" x="201"/>
        <item m="1" x="121"/>
        <item m="1" x="145"/>
        <item m="1" x="83"/>
        <item m="1" x="152"/>
        <item m="1" x="197"/>
        <item m="1" x="104"/>
        <item m="1" x="179"/>
        <item m="1" x="97"/>
        <item m="1" x="113"/>
        <item m="1" x="124"/>
        <item m="1" x="112"/>
        <item m="1" x="190"/>
        <item m="1" x="106"/>
        <item x="6"/>
        <item x="65"/>
        <item m="1" x="100"/>
        <item x="71"/>
        <item m="1" x="101"/>
        <item m="1" x="136"/>
        <item x="15"/>
        <item m="1" x="88"/>
        <item x="27"/>
        <item m="1" x="132"/>
        <item x="37"/>
        <item m="1" x="186"/>
        <item m="1" x="163"/>
        <item m="1" x="160"/>
        <item m="1" x="150"/>
        <item x="32"/>
        <item x="34"/>
        <item x="8"/>
        <item m="1" x="198"/>
        <item m="1" x="127"/>
        <item m="1" x="177"/>
        <item m="1" x="159"/>
        <item m="1" x="199"/>
        <item x="60"/>
        <item m="1" x="126"/>
        <item m="1" x="172"/>
        <item x="76"/>
        <item x="4"/>
        <item x="43"/>
        <item m="1" x="125"/>
        <item m="1" x="105"/>
        <item m="1" x="133"/>
        <item m="1" x="165"/>
        <item m="1" x="89"/>
        <item m="1" x="137"/>
        <item m="1" x="184"/>
        <item x="47"/>
        <item m="1" x="84"/>
        <item m="1" x="128"/>
        <item m="1" x="161"/>
        <item x="54"/>
        <item m="1" x="158"/>
        <item m="1" x="167"/>
        <item x="56"/>
        <item m="1" x="153"/>
        <item m="1" x="142"/>
        <item m="1" x="99"/>
        <item m="1" x="180"/>
        <item x="24"/>
        <item m="1" x="138"/>
        <item m="1" x="96"/>
        <item x="23"/>
        <item x="48"/>
        <item x="49"/>
        <item x="50"/>
      </items>
    </pivotField>
    <pivotField compact="0" outline="0" showAll="0" includeNewItemsInFilter="1"/>
    <pivotField compact="0" numFmtId="198" outline="0" showAll="0" includeNewItemsInFilter="1"/>
    <pivotField axis="axisCol" compact="0" outline="0" showAll="0" includeNewItemsInFilter="1">
      <items count="4">
        <item x="1"/>
        <item x="2"/>
        <item x="0"/>
        <item t="default"/>
      </items>
    </pivotField>
    <pivotField dataField="1" compact="0" numFmtId="2" outline="0" showAll="0" includeNewItemsInFilter="1"/>
  </pivotFields>
  <rowFields count="1">
    <field x="0"/>
  </rowFields>
  <rowItems count="81">
    <i>
      <x v="1"/>
    </i>
    <i>
      <x v="2"/>
    </i>
    <i>
      <x v="4"/>
    </i>
    <i>
      <x v="5"/>
    </i>
    <i>
      <x v="7"/>
    </i>
    <i>
      <x v="8"/>
    </i>
    <i>
      <x v="9"/>
    </i>
    <i>
      <x v="13"/>
    </i>
    <i>
      <x v="14"/>
    </i>
    <i>
      <x v="15"/>
    </i>
    <i>
      <x v="16"/>
    </i>
    <i>
      <x v="17"/>
    </i>
    <i>
      <x v="19"/>
    </i>
    <i>
      <x v="20"/>
    </i>
    <i>
      <x v="21"/>
    </i>
    <i>
      <x v="23"/>
    </i>
    <i>
      <x v="26"/>
    </i>
    <i>
      <x v="30"/>
    </i>
    <i>
      <x v="31"/>
    </i>
    <i>
      <x v="34"/>
    </i>
    <i>
      <x v="35"/>
    </i>
    <i>
      <x v="37"/>
    </i>
    <i>
      <x v="38"/>
    </i>
    <i>
      <x v="39"/>
    </i>
    <i>
      <x v="40"/>
    </i>
    <i>
      <x v="41"/>
    </i>
    <i>
      <x v="43"/>
    </i>
    <i>
      <x v="47"/>
    </i>
    <i>
      <x v="48"/>
    </i>
    <i>
      <x v="51"/>
    </i>
    <i>
      <x v="52"/>
    </i>
    <i>
      <x v="54"/>
    </i>
    <i>
      <x v="55"/>
    </i>
    <i>
      <x v="58"/>
    </i>
    <i>
      <x v="59"/>
    </i>
    <i>
      <x v="60"/>
    </i>
    <i>
      <x v="61"/>
    </i>
    <i>
      <x v="63"/>
    </i>
    <i>
      <x v="64"/>
    </i>
    <i>
      <x v="65"/>
    </i>
    <i>
      <x v="67"/>
    </i>
    <i>
      <x v="68"/>
    </i>
    <i>
      <x v="70"/>
    </i>
    <i>
      <x v="71"/>
    </i>
    <i>
      <x v="72"/>
    </i>
    <i>
      <x v="73"/>
    </i>
    <i>
      <x v="74"/>
    </i>
    <i>
      <x v="75"/>
    </i>
    <i>
      <x v="79"/>
    </i>
    <i>
      <x v="82"/>
    </i>
    <i>
      <x v="83"/>
    </i>
    <i>
      <x v="87"/>
    </i>
    <i>
      <x v="93"/>
    </i>
    <i>
      <x v="95"/>
    </i>
    <i>
      <x v="97"/>
    </i>
    <i>
      <x v="106"/>
    </i>
    <i>
      <x v="115"/>
    </i>
    <i>
      <x v="123"/>
    </i>
    <i>
      <x v="130"/>
    </i>
    <i>
      <x v="147"/>
    </i>
    <i>
      <x v="148"/>
    </i>
    <i>
      <x v="150"/>
    </i>
    <i>
      <x v="153"/>
    </i>
    <i>
      <x v="155"/>
    </i>
    <i>
      <x v="157"/>
    </i>
    <i>
      <x v="162"/>
    </i>
    <i>
      <x v="163"/>
    </i>
    <i>
      <x v="164"/>
    </i>
    <i>
      <x v="170"/>
    </i>
    <i>
      <x v="173"/>
    </i>
    <i>
      <x v="174"/>
    </i>
    <i>
      <x v="175"/>
    </i>
    <i>
      <x v="183"/>
    </i>
    <i>
      <x v="187"/>
    </i>
    <i>
      <x v="190"/>
    </i>
    <i>
      <x v="195"/>
    </i>
    <i>
      <x v="198"/>
    </i>
    <i>
      <x v="199"/>
    </i>
    <i>
      <x v="200"/>
    </i>
    <i>
      <x v="201"/>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ivotTable" Target="../pivotTables/pivotTable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17.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30"/>
  <sheetViews>
    <sheetView workbookViewId="0">
      <selection activeCell="A8" sqref="A8"/>
    </sheetView>
  </sheetViews>
  <sheetFormatPr defaultRowHeight="13.2" x14ac:dyDescent="0.25"/>
  <cols>
    <col min="1" max="1" width="49.33203125" customWidth="1"/>
    <col min="2" max="5" width="37.6640625" customWidth="1"/>
  </cols>
  <sheetData>
    <row r="1" spans="1:9" ht="60" customHeight="1" x14ac:dyDescent="0.25">
      <c r="A1" s="119"/>
      <c r="B1" s="497" t="s">
        <v>424</v>
      </c>
      <c r="C1" s="119"/>
      <c r="D1" s="119"/>
      <c r="E1" s="119"/>
      <c r="F1" s="119"/>
      <c r="G1" s="119"/>
      <c r="H1" s="119"/>
      <c r="I1" s="119"/>
    </row>
    <row r="2" spans="1:9" ht="34.950000000000003" customHeight="1" x14ac:dyDescent="0.25">
      <c r="A2" s="119"/>
      <c r="B2" s="490" t="s">
        <v>415</v>
      </c>
      <c r="C2" s="491" t="s">
        <v>414</v>
      </c>
      <c r="D2" s="491" t="s">
        <v>416</v>
      </c>
      <c r="E2" s="492" t="s">
        <v>417</v>
      </c>
      <c r="F2" s="119"/>
      <c r="G2" s="119"/>
      <c r="H2" s="119"/>
      <c r="I2" s="119"/>
    </row>
    <row r="3" spans="1:9" ht="34.950000000000003" customHeight="1" x14ac:dyDescent="0.25">
      <c r="A3" s="119"/>
      <c r="B3" s="489" t="s">
        <v>398</v>
      </c>
      <c r="C3" s="489" t="s">
        <v>411</v>
      </c>
      <c r="D3" s="489" t="s">
        <v>404</v>
      </c>
      <c r="E3" s="489" t="s">
        <v>419</v>
      </c>
      <c r="F3" s="119"/>
      <c r="G3" s="119"/>
      <c r="H3" s="119"/>
      <c r="I3" s="119"/>
    </row>
    <row r="4" spans="1:9" ht="34.950000000000003" customHeight="1" x14ac:dyDescent="0.25">
      <c r="A4" s="119"/>
      <c r="B4" s="489" t="s">
        <v>399</v>
      </c>
      <c r="C4" s="489" t="s">
        <v>408</v>
      </c>
      <c r="D4" s="489" t="s">
        <v>405</v>
      </c>
      <c r="E4" s="489" t="s">
        <v>137</v>
      </c>
      <c r="F4" s="119"/>
      <c r="G4" s="119"/>
      <c r="H4" s="119"/>
      <c r="I4" s="119"/>
    </row>
    <row r="5" spans="1:9" ht="34.950000000000003" customHeight="1" x14ac:dyDescent="0.25">
      <c r="A5" s="119"/>
      <c r="B5" s="489" t="s">
        <v>400</v>
      </c>
      <c r="C5" s="489" t="s">
        <v>409</v>
      </c>
      <c r="D5" s="489" t="s">
        <v>406</v>
      </c>
      <c r="E5" s="489" t="s">
        <v>420</v>
      </c>
      <c r="F5" s="119"/>
      <c r="G5" s="119"/>
      <c r="H5" s="119"/>
      <c r="I5" s="119"/>
    </row>
    <row r="6" spans="1:9" ht="34.950000000000003" customHeight="1" x14ac:dyDescent="0.25">
      <c r="A6" s="119"/>
      <c r="B6" s="489" t="s">
        <v>401</v>
      </c>
      <c r="C6" s="489" t="s">
        <v>407</v>
      </c>
      <c r="D6" s="489" t="s">
        <v>412</v>
      </c>
      <c r="E6" s="489" t="s">
        <v>421</v>
      </c>
      <c r="F6" s="119"/>
      <c r="G6" s="119"/>
      <c r="H6" s="119"/>
      <c r="I6" s="119"/>
    </row>
    <row r="7" spans="1:9" ht="34.950000000000003" customHeight="1" x14ac:dyDescent="0.25">
      <c r="A7" s="119"/>
      <c r="B7" s="489" t="s">
        <v>402</v>
      </c>
      <c r="C7" s="489" t="s">
        <v>410</v>
      </c>
      <c r="D7" s="489" t="s">
        <v>413</v>
      </c>
      <c r="E7" s="489" t="s">
        <v>422</v>
      </c>
      <c r="F7" s="119"/>
      <c r="G7" s="119"/>
      <c r="H7" s="119"/>
      <c r="I7" s="119"/>
    </row>
    <row r="8" spans="1:9" ht="34.950000000000003" customHeight="1" x14ac:dyDescent="0.25">
      <c r="A8" s="119"/>
      <c r="B8" s="489" t="s">
        <v>403</v>
      </c>
      <c r="C8" s="489"/>
      <c r="D8" s="489" t="s">
        <v>418</v>
      </c>
      <c r="E8" s="489" t="s">
        <v>427</v>
      </c>
      <c r="F8" s="119"/>
      <c r="G8" s="119"/>
      <c r="H8" s="119"/>
      <c r="I8" s="119"/>
    </row>
    <row r="9" spans="1:9" ht="19.95" customHeight="1" x14ac:dyDescent="0.25">
      <c r="A9" s="119"/>
      <c r="B9" s="119"/>
      <c r="C9" s="119"/>
      <c r="D9" s="119"/>
      <c r="E9" s="119"/>
      <c r="F9" s="119"/>
      <c r="G9" s="119"/>
      <c r="H9" s="119"/>
      <c r="I9" s="119"/>
    </row>
    <row r="10" spans="1:9" ht="19.95" customHeight="1" x14ac:dyDescent="0.25">
      <c r="A10" s="119"/>
      <c r="B10" s="119"/>
      <c r="C10" s="119"/>
      <c r="D10" s="119"/>
      <c r="E10" s="119"/>
      <c r="F10" s="119"/>
      <c r="G10" s="119"/>
      <c r="H10" s="119"/>
      <c r="I10" s="119"/>
    </row>
    <row r="11" spans="1:9" ht="19.95" customHeight="1" x14ac:dyDescent="0.25">
      <c r="A11" s="119"/>
      <c r="B11" s="119"/>
      <c r="C11" s="119"/>
      <c r="D11" s="119"/>
      <c r="E11" s="119"/>
      <c r="F11" s="119"/>
      <c r="G11" s="119"/>
      <c r="H11" s="119"/>
      <c r="I11" s="119"/>
    </row>
    <row r="12" spans="1:9" ht="19.95" customHeight="1" x14ac:dyDescent="0.25">
      <c r="A12" s="119"/>
      <c r="B12" s="119"/>
      <c r="C12" s="119"/>
      <c r="D12" s="119"/>
      <c r="E12" s="119"/>
      <c r="F12" s="119"/>
      <c r="G12" s="119"/>
      <c r="H12" s="119"/>
      <c r="I12" s="119"/>
    </row>
    <row r="13" spans="1:9" ht="19.95" customHeight="1" x14ac:dyDescent="0.25">
      <c r="A13" s="119"/>
      <c r="B13" s="119"/>
      <c r="C13" s="119"/>
      <c r="D13" s="119"/>
      <c r="E13" s="119"/>
      <c r="F13" s="119"/>
      <c r="G13" s="119"/>
      <c r="H13" s="119"/>
      <c r="I13" s="119"/>
    </row>
    <row r="14" spans="1:9" ht="19.95" customHeight="1" x14ac:dyDescent="0.25">
      <c r="A14" s="119"/>
      <c r="B14" s="119"/>
      <c r="C14" s="119"/>
      <c r="D14" s="119"/>
      <c r="E14" s="119"/>
      <c r="F14" s="119"/>
      <c r="G14" s="119"/>
      <c r="H14" s="119"/>
      <c r="I14" s="119"/>
    </row>
    <row r="15" spans="1:9" ht="19.95" customHeight="1" x14ac:dyDescent="0.25">
      <c r="A15" s="119"/>
      <c r="B15" s="119"/>
      <c r="C15" s="119"/>
      <c r="D15" s="119"/>
      <c r="E15" s="119"/>
      <c r="F15" s="119"/>
      <c r="G15" s="119"/>
      <c r="H15" s="119"/>
      <c r="I15" s="119"/>
    </row>
    <row r="16" spans="1:9" ht="19.95" customHeight="1" x14ac:dyDescent="0.25">
      <c r="A16" s="119"/>
      <c r="B16" s="119"/>
      <c r="C16" s="119"/>
      <c r="D16" s="119"/>
      <c r="E16" s="119"/>
      <c r="F16" s="119"/>
      <c r="G16" s="119"/>
      <c r="H16" s="119"/>
      <c r="I16" s="119"/>
    </row>
    <row r="17" spans="1:9" ht="19.95" customHeight="1" x14ac:dyDescent="0.25">
      <c r="A17" s="119"/>
      <c r="B17" s="119"/>
      <c r="C17" s="119"/>
      <c r="D17" s="119"/>
      <c r="E17" s="119"/>
      <c r="F17" s="119"/>
      <c r="G17" s="119"/>
      <c r="H17" s="119"/>
      <c r="I17" s="119"/>
    </row>
    <row r="18" spans="1:9" ht="19.95" customHeight="1" x14ac:dyDescent="0.25">
      <c r="A18" s="119"/>
      <c r="B18" s="119"/>
      <c r="C18" s="119"/>
      <c r="D18" s="119"/>
      <c r="E18" s="119"/>
      <c r="F18" s="119"/>
      <c r="G18" s="119"/>
      <c r="H18" s="119"/>
      <c r="I18" s="119"/>
    </row>
    <row r="19" spans="1:9" ht="19.95" customHeight="1" x14ac:dyDescent="0.25">
      <c r="A19" s="119"/>
      <c r="B19" s="119"/>
      <c r="C19" s="119"/>
      <c r="D19" s="119"/>
      <c r="E19" s="119"/>
      <c r="F19" s="119"/>
      <c r="G19" s="119"/>
      <c r="H19" s="119"/>
      <c r="I19" s="119"/>
    </row>
    <row r="20" spans="1:9" ht="19.95" customHeight="1" x14ac:dyDescent="0.25">
      <c r="A20" s="119"/>
      <c r="B20" s="119"/>
      <c r="C20" s="119"/>
      <c r="D20" s="119"/>
      <c r="E20" s="119"/>
      <c r="F20" s="119"/>
      <c r="G20" s="119"/>
      <c r="H20" s="119"/>
      <c r="I20" s="119"/>
    </row>
    <row r="21" spans="1:9" ht="19.95" customHeight="1" x14ac:dyDescent="0.25">
      <c r="A21" s="119"/>
      <c r="B21" s="119"/>
      <c r="C21" s="119"/>
      <c r="D21" s="119"/>
      <c r="E21" s="119"/>
      <c r="F21" s="119"/>
      <c r="G21" s="119"/>
      <c r="H21" s="119"/>
      <c r="I21" s="119"/>
    </row>
    <row r="22" spans="1:9" ht="19.95" customHeight="1" x14ac:dyDescent="0.25">
      <c r="A22" s="119"/>
      <c r="B22" s="119"/>
      <c r="C22" s="119"/>
      <c r="D22" s="119"/>
      <c r="E22" s="119"/>
      <c r="F22" s="119"/>
      <c r="G22" s="119"/>
      <c r="H22" s="119"/>
      <c r="I22" s="119"/>
    </row>
    <row r="23" spans="1:9" ht="19.95" customHeight="1" x14ac:dyDescent="0.25"/>
    <row r="24" spans="1:9" ht="19.95" customHeight="1" x14ac:dyDescent="0.25"/>
    <row r="25" spans="1:9" ht="19.95" customHeight="1" x14ac:dyDescent="0.25"/>
    <row r="26" spans="1:9" ht="19.95" customHeight="1" x14ac:dyDescent="0.25"/>
    <row r="27" spans="1:9" ht="19.95" customHeight="1" x14ac:dyDescent="0.25"/>
    <row r="28" spans="1:9" ht="19.95" customHeight="1" x14ac:dyDescent="0.25"/>
    <row r="29" spans="1:9" ht="19.95" customHeight="1" x14ac:dyDescent="0.25"/>
    <row r="30" spans="1:9" ht="19.95" customHeight="1" x14ac:dyDescent="0.25"/>
  </sheetData>
  <hyperlinks>
    <hyperlink ref="B3" location="Table!A1" display="League Table"/>
    <hyperlink ref="B4" location="Weekly!A1" display="Weekly Results"/>
    <hyperlink ref="B5" location="Cup!A1" display="Cup Draw"/>
    <hyperlink ref="B6" location="Diary!A1" display="Season Diary"/>
    <hyperlink ref="B7" location="Fixture!A1" display="Current Week Fixtures"/>
    <hyperlink ref="B8" location="Predictions!A1" display="Current Week Predictions"/>
    <hyperlink ref="C3" location="Pics!A1" display="Pics for Publication"/>
    <hyperlink ref="C4" location="Prizelist!A1" display="Prizes - Summary"/>
    <hyperlink ref="C5" location="Prizes!A1" display="Prizes - Divisional Splits"/>
    <hyperlink ref="C6" location="FAQ!A1" display="FAQ"/>
    <hyperlink ref="C7" location="Sample!A1" display="Sample Bets"/>
    <hyperlink ref="D3" location="Match!A1" display="Add Matches"/>
    <hyperlink ref="D4" location="Bets!A1" display="Add Predictions"/>
    <hyperlink ref="D5" location="'Bets#2'!A1" display="Add Predictions (double-week)"/>
    <hyperlink ref="D6" location="'3of3'!A1" display="1-2-3 Pivot"/>
    <hyperlink ref="D7" location="TopPicks!A1" display="Top Picks"/>
    <hyperlink ref="D8" location="CupDraw!A1" display="Cup Draw Raw"/>
    <hyperlink ref="E3" location="Calc!A1" display="Calculations"/>
    <hyperlink ref="E4" location="Players!A1" display="Entrants"/>
    <hyperlink ref="E5" location="Last!A1" display="Last Season Places"/>
    <hyperlink ref="E6" location="Brought!A1" display="Brought Forward"/>
    <hyperlink ref="E7" location="Final!A1" display="End of Season Finance"/>
    <hyperlink ref="E8" location="MiniLeagues!A1" display="Mini Leagues "/>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Q171"/>
  <sheetViews>
    <sheetView topLeftCell="I37" zoomScaleNormal="100" workbookViewId="0">
      <selection activeCell="AE2" sqref="AE2"/>
    </sheetView>
  </sheetViews>
  <sheetFormatPr defaultRowHeight="13.2" x14ac:dyDescent="0.25"/>
  <cols>
    <col min="1" max="1" width="27.88671875" customWidth="1"/>
    <col min="2" max="2" width="5.88671875" customWidth="1"/>
    <col min="3" max="3" width="3.88671875" customWidth="1"/>
    <col min="4" max="4" width="7.5546875" style="4" customWidth="1"/>
    <col min="5" max="5" width="20.6640625" customWidth="1"/>
    <col min="7" max="7" width="7.44140625" style="4" customWidth="1"/>
    <col min="8" max="8" width="22.109375" customWidth="1"/>
    <col min="9" max="9" width="8.33203125" customWidth="1"/>
    <col min="10" max="10" width="4" customWidth="1"/>
    <col min="11" max="11" width="7.33203125" customWidth="1"/>
    <col min="12" max="12" width="3.6640625" customWidth="1"/>
    <col min="13" max="13" width="7.44140625" style="4" customWidth="1"/>
    <col min="14" max="14" width="23.33203125" customWidth="1"/>
    <col min="15" max="15" width="8.33203125" customWidth="1"/>
    <col min="16" max="16" width="3.33203125" customWidth="1"/>
    <col min="17" max="17" width="7.33203125" style="1" customWidth="1"/>
    <col min="18" max="18" width="4.5546875" customWidth="1"/>
    <col min="19" max="19" width="7.44140625" customWidth="1"/>
    <col min="20" max="20" width="22.109375" bestFit="1" customWidth="1"/>
    <col min="21" max="21" width="8.33203125" customWidth="1"/>
    <col min="22" max="22" width="3.33203125" customWidth="1"/>
    <col min="23" max="23" width="7.33203125" style="1" customWidth="1"/>
    <col min="24" max="24" width="4.5546875" customWidth="1"/>
    <col min="25" max="25" width="7.44140625" customWidth="1"/>
    <col min="26" max="26" width="20.6640625" customWidth="1"/>
    <col min="27" max="27" width="8.33203125" customWidth="1"/>
    <col min="28" max="28" width="3.33203125" customWidth="1"/>
    <col min="29" max="29" width="9.109375" style="1" customWidth="1"/>
    <col min="30" max="30" width="5.6640625" customWidth="1"/>
  </cols>
  <sheetData>
    <row r="1" spans="1:43" x14ac:dyDescent="0.25">
      <c r="A1" s="65" t="s">
        <v>551</v>
      </c>
      <c r="B1" s="65">
        <v>65</v>
      </c>
      <c r="C1" s="86"/>
      <c r="D1" s="144" t="s">
        <v>136</v>
      </c>
      <c r="E1" s="102" t="s">
        <v>137</v>
      </c>
      <c r="F1" s="66"/>
      <c r="G1" s="65" t="s">
        <v>134</v>
      </c>
      <c r="H1" s="174">
        <v>43491</v>
      </c>
      <c r="I1" s="66"/>
      <c r="J1" s="66"/>
      <c r="K1" s="84" t="s">
        <v>30</v>
      </c>
      <c r="L1" s="67"/>
      <c r="M1" s="65" t="s">
        <v>138</v>
      </c>
      <c r="N1" s="174">
        <v>43498</v>
      </c>
      <c r="O1" s="66"/>
      <c r="P1" s="66"/>
      <c r="Q1" s="88" t="s">
        <v>30</v>
      </c>
      <c r="R1" s="66"/>
      <c r="S1" s="65" t="s">
        <v>139</v>
      </c>
      <c r="T1" s="174">
        <v>43512</v>
      </c>
      <c r="U1" s="66"/>
      <c r="V1" s="66"/>
      <c r="W1" s="88" t="s">
        <v>30</v>
      </c>
      <c r="X1" s="66"/>
      <c r="Y1" s="65" t="s">
        <v>140</v>
      </c>
      <c r="Z1" s="174">
        <v>43533</v>
      </c>
      <c r="AA1" s="66"/>
      <c r="AB1" s="66"/>
      <c r="AC1" s="88" t="s">
        <v>30</v>
      </c>
      <c r="AD1" s="86"/>
      <c r="AE1" s="86"/>
      <c r="AF1" s="86"/>
      <c r="AG1" s="86"/>
      <c r="AH1" s="86"/>
      <c r="AI1" s="86"/>
      <c r="AJ1" s="86"/>
      <c r="AK1" s="86"/>
      <c r="AL1" s="86"/>
      <c r="AM1" s="86"/>
      <c r="AN1" s="86"/>
      <c r="AO1" s="86"/>
      <c r="AP1" s="86"/>
      <c r="AQ1" s="86"/>
    </row>
    <row r="2" spans="1:43" x14ac:dyDescent="0.25">
      <c r="A2" s="65" t="s">
        <v>478</v>
      </c>
      <c r="B2" s="65">
        <v>7</v>
      </c>
      <c r="C2" s="86"/>
      <c r="D2" s="74">
        <v>1</v>
      </c>
      <c r="E2" s="75" t="s">
        <v>345</v>
      </c>
      <c r="F2" s="66"/>
      <c r="G2" s="95">
        <v>1</v>
      </c>
      <c r="H2" s="80" t="s">
        <v>345</v>
      </c>
      <c r="I2" s="81">
        <v>-5.0999999999999996</v>
      </c>
      <c r="J2" s="82" t="str">
        <f>IF(I2="","",IF(I2=I3,"R",""))</f>
        <v/>
      </c>
      <c r="K2" s="85">
        <f>INDEX(Results!T:T,MATCH(H2,Results!V:V,0))</f>
        <v>3.879999999999999</v>
      </c>
      <c r="L2" s="67"/>
      <c r="M2" s="711">
        <v>1</v>
      </c>
      <c r="N2" s="77" t="s">
        <v>345</v>
      </c>
      <c r="O2" s="81">
        <v>39.519999999999996</v>
      </c>
      <c r="P2" s="92" t="str">
        <f>IF(O2="","",IF(O2=O3,"R",""))</f>
        <v/>
      </c>
      <c r="Q2" s="89">
        <f>INDEX(Results!T:T,MATCH(N2,Results!V:V,0))</f>
        <v>3.879999999999999</v>
      </c>
      <c r="R2" s="67"/>
      <c r="S2" s="69">
        <v>1</v>
      </c>
      <c r="T2" s="79" t="str">
        <f>IF(O2=O3,"Await earlier tie",IF(O2&lt;O3,N3,N2))</f>
        <v>Mal Stott</v>
      </c>
      <c r="U2" s="81">
        <v>-7</v>
      </c>
      <c r="V2" s="92" t="str">
        <f>IF(U2="","",IF(U2=U3,"R",""))</f>
        <v/>
      </c>
      <c r="W2" s="89">
        <f>INDEX(Results!T:T,MATCH(T2,Results!V:V,0))</f>
        <v>3.879999999999999</v>
      </c>
      <c r="X2" s="67"/>
      <c r="Y2" s="69">
        <v>1</v>
      </c>
      <c r="Z2" s="79" t="str">
        <f>IF(U2=U3,"Await earlier tie",IF(U2&lt;U3,T3,T2))</f>
        <v>Mike Penk</v>
      </c>
      <c r="AA2" s="107">
        <v>-4.5</v>
      </c>
      <c r="AB2" s="82" t="str">
        <f>IF(AA2="","",IF(AA2=AA3,"R",""))</f>
        <v/>
      </c>
      <c r="AC2" s="89">
        <f>INDEX(Results!T:T,MATCH(Z2,Results!V:V,0))</f>
        <v>-7</v>
      </c>
      <c r="AD2" s="86"/>
      <c r="AE2" s="86"/>
      <c r="AF2" s="86"/>
      <c r="AG2" s="86"/>
      <c r="AH2" s="86"/>
      <c r="AI2" s="86"/>
      <c r="AJ2" s="86"/>
      <c r="AK2" s="86"/>
      <c r="AL2" s="86"/>
      <c r="AM2" s="86"/>
      <c r="AN2" s="86"/>
      <c r="AO2" s="86"/>
      <c r="AP2" s="86"/>
      <c r="AQ2" s="86"/>
    </row>
    <row r="3" spans="1:43" x14ac:dyDescent="0.25">
      <c r="A3" s="65"/>
      <c r="B3" s="65"/>
      <c r="C3" s="86"/>
      <c r="D3" s="74">
        <v>2</v>
      </c>
      <c r="E3" s="75" t="s">
        <v>390</v>
      </c>
      <c r="F3" s="66"/>
      <c r="G3" s="94"/>
      <c r="H3" s="80" t="s">
        <v>390</v>
      </c>
      <c r="I3" s="81">
        <v>-5.916666666666667</v>
      </c>
      <c r="J3" s="83"/>
      <c r="K3" s="85">
        <f>INDEX(Results!T:T,MATCH(H3,Results!V:V,0))</f>
        <v>19</v>
      </c>
      <c r="L3" s="67"/>
      <c r="M3" s="712"/>
      <c r="N3" s="77" t="s">
        <v>368</v>
      </c>
      <c r="O3" s="81">
        <v>-7</v>
      </c>
      <c r="P3" s="70"/>
      <c r="Q3" s="89">
        <f>INDEX(Results!T:T,MATCH(N3,Results!V:V,0))</f>
        <v>26.65</v>
      </c>
      <c r="R3" s="67"/>
      <c r="S3" s="72"/>
      <c r="T3" s="79" t="str">
        <f>IF(O4=O5,"Await earlier tie",IF(O4&lt;O5,N5,N4))</f>
        <v>Mike Penk</v>
      </c>
      <c r="U3" s="81">
        <v>2.2300000000000004</v>
      </c>
      <c r="V3" s="73"/>
      <c r="W3" s="89">
        <f>INDEX(Results!T:T,MATCH(T3,Results!V:V,0))</f>
        <v>-7</v>
      </c>
      <c r="X3" s="67"/>
      <c r="Y3" s="72"/>
      <c r="Z3" s="79" t="str">
        <f>IF(U4=U5,"Await earlier tie",IF(U4&lt;U5,T5,T4))</f>
        <v>Alfie Davies</v>
      </c>
      <c r="AA3" s="107">
        <v>-7</v>
      </c>
      <c r="AB3" s="73"/>
      <c r="AC3" s="89">
        <f>INDEX(Results!T:T,MATCH(Z3,Results!V:V,0))</f>
        <v>-5.1538461538461533</v>
      </c>
      <c r="AD3" s="86"/>
      <c r="AE3" s="86"/>
      <c r="AF3" s="86"/>
      <c r="AG3" s="86"/>
      <c r="AH3" s="86"/>
      <c r="AI3" s="86"/>
      <c r="AJ3" s="86"/>
      <c r="AK3" s="86"/>
      <c r="AL3" s="86"/>
      <c r="AM3" s="86"/>
      <c r="AN3" s="86"/>
      <c r="AO3" s="86"/>
      <c r="AP3" s="86"/>
      <c r="AQ3" s="86"/>
    </row>
    <row r="4" spans="1:43" x14ac:dyDescent="0.25">
      <c r="A4" s="65" t="s">
        <v>132</v>
      </c>
      <c r="B4" s="65">
        <f>(POWER(2,B2)-B1)</f>
        <v>63</v>
      </c>
      <c r="C4" s="86"/>
      <c r="D4" s="74">
        <v>3</v>
      </c>
      <c r="E4" s="75" t="s">
        <v>368</v>
      </c>
      <c r="F4" s="66"/>
      <c r="G4" s="95">
        <v>2</v>
      </c>
      <c r="H4" s="80"/>
      <c r="I4" s="81"/>
      <c r="J4" s="82" t="str">
        <f>IF(I4="","",IF(I4=I5,"R",""))</f>
        <v/>
      </c>
      <c r="K4" s="85" t="e">
        <f>INDEX(Results!T:T,MATCH(H4,Results!V:V,0))</f>
        <v>#N/A</v>
      </c>
      <c r="L4" s="67"/>
      <c r="M4" s="93">
        <v>2</v>
      </c>
      <c r="N4" s="77" t="s">
        <v>367</v>
      </c>
      <c r="O4" s="81">
        <v>-7</v>
      </c>
      <c r="P4" s="92" t="str">
        <f>IF(O4="","",IF(O4=O5,"R",""))</f>
        <v/>
      </c>
      <c r="Q4" s="89">
        <f>INDEX(Results!T:T,MATCH(N4,Results!V:V,0))</f>
        <v>11.36</v>
      </c>
      <c r="R4" s="67"/>
      <c r="S4" s="69">
        <v>2</v>
      </c>
      <c r="T4" s="71" t="str">
        <f>IF(O6=O7,"Await earlier tie",IF(O6&lt;O7,N7,N6))</f>
        <v>Alfie Davies</v>
      </c>
      <c r="U4" s="81">
        <v>26.58</v>
      </c>
      <c r="V4" s="92" t="str">
        <f>IF(U4="","",IF(U4=U5,"R",""))</f>
        <v/>
      </c>
      <c r="W4" s="89">
        <f>INDEX(Results!T:T,MATCH(T4,Results!V:V,0))</f>
        <v>-5.1538461538461533</v>
      </c>
      <c r="X4" s="67"/>
      <c r="Y4" s="69">
        <v>2</v>
      </c>
      <c r="Z4" s="79" t="str">
        <f>IF(U6=U7,"Await earlier tie",IF(U6&lt;U7,T7,T6))</f>
        <v>Ashley Houghton</v>
      </c>
      <c r="AA4" s="107">
        <v>-4.8499999999999996</v>
      </c>
      <c r="AB4" s="82" t="str">
        <f>IF(AA4="","",IF(AA4=AA5,"R",""))</f>
        <v/>
      </c>
      <c r="AC4" s="89">
        <f>INDEX(Results!T:T,MATCH(Z4,Results!V:V,0))</f>
        <v>-1.2777777777777777</v>
      </c>
      <c r="AD4" s="86"/>
      <c r="AE4" s="86"/>
      <c r="AF4" s="86"/>
      <c r="AG4" s="86"/>
      <c r="AH4" s="86"/>
      <c r="AI4" s="86"/>
      <c r="AJ4" s="86"/>
      <c r="AK4" s="86"/>
      <c r="AL4" s="86"/>
      <c r="AM4" s="86"/>
      <c r="AN4" s="86"/>
      <c r="AO4" s="86"/>
      <c r="AP4" s="86"/>
      <c r="AQ4" s="86"/>
    </row>
    <row r="5" spans="1:43" x14ac:dyDescent="0.25">
      <c r="A5" s="65"/>
      <c r="B5" s="65"/>
      <c r="C5" s="86"/>
      <c r="D5" s="74">
        <v>4</v>
      </c>
      <c r="E5" s="75" t="s">
        <v>367</v>
      </c>
      <c r="F5" s="66"/>
      <c r="G5" s="94"/>
      <c r="H5" s="80"/>
      <c r="I5" s="81"/>
      <c r="J5" s="83"/>
      <c r="K5" s="85" t="e">
        <f>INDEX(Results!T:T,MATCH(H5,Results!V:V,0))</f>
        <v>#N/A</v>
      </c>
      <c r="L5" s="67"/>
      <c r="M5" s="94"/>
      <c r="N5" s="77" t="s">
        <v>342</v>
      </c>
      <c r="O5" s="81">
        <v>7.48</v>
      </c>
      <c r="P5" s="70"/>
      <c r="Q5" s="89">
        <f>INDEX(Results!T:T,MATCH(N5,Results!V:V,0))</f>
        <v>-7</v>
      </c>
      <c r="R5" s="67"/>
      <c r="S5" s="72"/>
      <c r="T5" s="71" t="str">
        <f>IF(O9=O8,"Await earlier tie",IF(O8&lt;O9,N9,N8))</f>
        <v>Gerard Ventom</v>
      </c>
      <c r="U5" s="81">
        <v>3.3900000000000006</v>
      </c>
      <c r="V5" s="73"/>
      <c r="W5" s="89">
        <f>INDEX(Results!T:T,MATCH(T5,Results!V:V,0))</f>
        <v>-7</v>
      </c>
      <c r="X5" s="67"/>
      <c r="Y5" s="72"/>
      <c r="Z5" s="79" t="str">
        <f>IF(U8=U9,"Await earlier tie",IF(U8&lt;U9,T9,T8))</f>
        <v>Ben Rosser</v>
      </c>
      <c r="AA5" s="107">
        <v>-7</v>
      </c>
      <c r="AB5" s="73"/>
      <c r="AC5" s="89">
        <f>INDEX(Results!T:T,MATCH(Z5,Results!V:V,0))</f>
        <v>-7</v>
      </c>
      <c r="AD5" s="86"/>
      <c r="AE5" s="86"/>
      <c r="AF5" s="86"/>
      <c r="AG5" s="86"/>
      <c r="AH5" s="86"/>
      <c r="AI5" s="86"/>
      <c r="AJ5" s="86"/>
      <c r="AK5" s="86"/>
      <c r="AL5" s="86"/>
      <c r="AM5" s="86"/>
      <c r="AN5" s="86"/>
      <c r="AO5" s="86"/>
      <c r="AP5" s="86"/>
      <c r="AQ5" s="86"/>
    </row>
    <row r="6" spans="1:43" x14ac:dyDescent="0.25">
      <c r="A6" s="65" t="s">
        <v>133</v>
      </c>
      <c r="B6" s="65">
        <f>(B1-B4)/2</f>
        <v>1</v>
      </c>
      <c r="C6" s="86"/>
      <c r="D6" s="74">
        <v>5</v>
      </c>
      <c r="E6" s="75" t="s">
        <v>342</v>
      </c>
      <c r="F6" s="66"/>
      <c r="G6" s="95">
        <v>3</v>
      </c>
      <c r="H6" s="80"/>
      <c r="I6" s="81"/>
      <c r="J6" s="82" t="str">
        <f>IF(I6="","",IF(I6=I7,"R",""))</f>
        <v/>
      </c>
      <c r="K6" s="85" t="e">
        <f>INDEX(Results!T:T,MATCH(H6,Results!V:V,0))</f>
        <v>#N/A</v>
      </c>
      <c r="L6" s="67"/>
      <c r="M6" s="95">
        <v>3</v>
      </c>
      <c r="N6" s="77" t="s">
        <v>391</v>
      </c>
      <c r="O6" s="81">
        <v>-7</v>
      </c>
      <c r="P6" s="92" t="str">
        <f>IF(O6="","",IF(O6=O7,"R",""))</f>
        <v/>
      </c>
      <c r="Q6" s="89">
        <f>INDEX(Results!T:T,MATCH(N6,Results!V:V,0))</f>
        <v>1.7749999999999986</v>
      </c>
      <c r="R6" s="67"/>
      <c r="S6" s="69">
        <v>3</v>
      </c>
      <c r="T6" s="71" t="str">
        <f>IF(O10=O11,"Await earlier tie",IF(O10&lt;O11,N11,N10))</f>
        <v>Ashley Houghton</v>
      </c>
      <c r="U6" s="81">
        <v>17.322916666666668</v>
      </c>
      <c r="V6" s="92" t="str">
        <f>IF(U6="","",IF(U6=U7,"R",""))</f>
        <v/>
      </c>
      <c r="W6" s="89">
        <f>INDEX(Results!T:T,MATCH(T6,Results!V:V,0))</f>
        <v>-1.2777777777777777</v>
      </c>
      <c r="X6" s="67"/>
      <c r="Y6" s="69">
        <v>3</v>
      </c>
      <c r="Z6" s="79" t="str">
        <f>IF(U10=U11,"Await earlier tie",IF(U10&lt;U11,T11,T10))</f>
        <v>Paul Ridgeway</v>
      </c>
      <c r="AA6" s="107">
        <v>-1.0909090909090908</v>
      </c>
      <c r="AB6" s="82" t="str">
        <f>IF(AA6="","",IF(AA6=AA7,"R",""))</f>
        <v/>
      </c>
      <c r="AC6" s="89">
        <f>INDEX(Results!T:T,MATCH(Z6,Results!V:V,0))</f>
        <v>-1.6444444444444439</v>
      </c>
      <c r="AD6" s="86"/>
      <c r="AE6" s="86"/>
      <c r="AF6" s="86"/>
      <c r="AG6" s="86"/>
      <c r="AH6" s="86"/>
      <c r="AI6" s="86"/>
      <c r="AJ6" s="86"/>
      <c r="AK6" s="86"/>
      <c r="AL6" s="86"/>
      <c r="AM6" s="86"/>
      <c r="AN6" s="86"/>
      <c r="AO6" s="86"/>
      <c r="AP6" s="86"/>
      <c r="AQ6" s="86"/>
    </row>
    <row r="7" spans="1:43" x14ac:dyDescent="0.25">
      <c r="A7" s="65"/>
      <c r="B7" s="65"/>
      <c r="C7" s="86"/>
      <c r="D7" s="74">
        <v>6</v>
      </c>
      <c r="E7" s="75" t="s">
        <v>391</v>
      </c>
      <c r="F7" s="66"/>
      <c r="G7" s="94"/>
      <c r="H7" s="80"/>
      <c r="I7" s="81"/>
      <c r="J7" s="83"/>
      <c r="K7" s="85" t="e">
        <f>INDEX(Results!T:T,MATCH(H7,Results!V:V,0))</f>
        <v>#N/A</v>
      </c>
      <c r="L7" s="67"/>
      <c r="M7" s="94"/>
      <c r="N7" s="77" t="s">
        <v>463</v>
      </c>
      <c r="O7" s="81">
        <v>-3.3</v>
      </c>
      <c r="P7" s="70"/>
      <c r="Q7" s="89">
        <f>INDEX(Results!T:T,MATCH(N7,Results!V:V,0))</f>
        <v>-5.1538461538461533</v>
      </c>
      <c r="R7" s="67"/>
      <c r="S7" s="72"/>
      <c r="T7" s="71" t="str">
        <f>IF(O12=O13,"Await earlier tie",IF(O12&lt;O13,N13,N12))</f>
        <v>John Evans</v>
      </c>
      <c r="U7" s="81">
        <v>-7</v>
      </c>
      <c r="V7" s="73"/>
      <c r="W7" s="89">
        <f>INDEX(Results!T:T,MATCH(T7,Results!V:V,0))</f>
        <v>25.969374999999999</v>
      </c>
      <c r="X7" s="67"/>
      <c r="Y7" s="72"/>
      <c r="Z7" s="79" t="str">
        <f>IF(U12=U13,"Await earlier tie",IF(U12&lt;U13,T13,T12))</f>
        <v>Andy Charleston</v>
      </c>
      <c r="AA7" s="107">
        <v>0.2333333333333325</v>
      </c>
      <c r="AB7" s="73"/>
      <c r="AC7" s="89">
        <f>INDEX(Results!T:T,MATCH(Z7,Results!V:V,0))</f>
        <v>2.2300000000000004</v>
      </c>
      <c r="AD7" s="86"/>
      <c r="AE7" s="86"/>
      <c r="AF7" s="86"/>
      <c r="AG7" s="86"/>
      <c r="AH7" s="86"/>
      <c r="AI7" s="86"/>
      <c r="AJ7" s="86"/>
      <c r="AK7" s="86"/>
      <c r="AL7" s="86"/>
      <c r="AM7" s="86"/>
      <c r="AN7" s="86"/>
      <c r="AO7" s="86"/>
      <c r="AP7" s="86"/>
      <c r="AQ7" s="86"/>
    </row>
    <row r="8" spans="1:43" x14ac:dyDescent="0.25">
      <c r="A8" s="65" t="s">
        <v>135</v>
      </c>
      <c r="B8" s="65" t="s">
        <v>134</v>
      </c>
      <c r="C8" s="86"/>
      <c r="D8" s="74">
        <v>7</v>
      </c>
      <c r="E8" s="75" t="s">
        <v>463</v>
      </c>
      <c r="F8" s="66"/>
      <c r="G8" s="95">
        <v>4</v>
      </c>
      <c r="H8" s="80"/>
      <c r="I8" s="81"/>
      <c r="J8" s="82" t="str">
        <f>IF(I8="","",IF(I8=I9,"R",""))</f>
        <v/>
      </c>
      <c r="K8" s="85" t="e">
        <f>INDEX(Results!T:T,MATCH(H8,Results!V:V,0))</f>
        <v>#N/A</v>
      </c>
      <c r="L8" s="66"/>
      <c r="M8" s="95">
        <v>4</v>
      </c>
      <c r="N8" s="77" t="s">
        <v>321</v>
      </c>
      <c r="O8" s="81">
        <v>-5.0909090909090908</v>
      </c>
      <c r="P8" s="92" t="str">
        <f>IF(O8="","",IF(O8=O9,"R",""))</f>
        <v/>
      </c>
      <c r="Q8" s="89">
        <f>INDEX(Results!T:T,MATCH(N8,Results!V:V,0))</f>
        <v>-7</v>
      </c>
      <c r="R8" s="67"/>
      <c r="S8" s="69">
        <v>4</v>
      </c>
      <c r="T8" s="71" t="str">
        <f>IF(O14=O15,"Await earlier tie",IF(O14&lt;O15,N15,N14))</f>
        <v>Ben Rosser</v>
      </c>
      <c r="U8" s="81">
        <v>1.8599999999999994</v>
      </c>
      <c r="V8" s="92" t="str">
        <f>IF(U8="","",IF(U8=U9,"R",""))</f>
        <v/>
      </c>
      <c r="W8" s="89">
        <f>INDEX(Results!T:T,MATCH(T8,Results!V:V,0))</f>
        <v>-7</v>
      </c>
      <c r="X8" s="67"/>
      <c r="Y8" s="69">
        <v>4</v>
      </c>
      <c r="Z8" s="79" t="str">
        <f>IF(U14=U15,"Await earlier tie",IF(U14&lt;U15,T15,T14))</f>
        <v>Phil Brown</v>
      </c>
      <c r="AA8" s="107">
        <v>-7</v>
      </c>
      <c r="AB8" s="82" t="str">
        <f>IF(AA8="","",IF(AA8=AA9,"R",""))</f>
        <v/>
      </c>
      <c r="AC8" s="89">
        <f>INDEX(Results!T:T,MATCH(Z8,Results!V:V,0))</f>
        <v>-4.625</v>
      </c>
      <c r="AD8" s="86"/>
      <c r="AE8" s="86"/>
      <c r="AF8" s="86"/>
      <c r="AG8" s="86"/>
      <c r="AH8" s="86"/>
      <c r="AI8" s="86"/>
      <c r="AJ8" s="86"/>
      <c r="AK8" s="86"/>
      <c r="AL8" s="86"/>
      <c r="AM8" s="86"/>
      <c r="AN8" s="86"/>
      <c r="AO8" s="86"/>
      <c r="AP8" s="86"/>
      <c r="AQ8" s="86"/>
    </row>
    <row r="9" spans="1:43" x14ac:dyDescent="0.25">
      <c r="A9" s="86"/>
      <c r="B9" s="86"/>
      <c r="C9" s="86"/>
      <c r="D9" s="74">
        <v>8</v>
      </c>
      <c r="E9" s="75" t="s">
        <v>321</v>
      </c>
      <c r="F9" s="66"/>
      <c r="G9" s="94"/>
      <c r="H9" s="80"/>
      <c r="I9" s="81"/>
      <c r="J9" s="83"/>
      <c r="K9" s="85" t="e">
        <f>INDEX(Results!T:T,MATCH(H9,Results!V:V,0))</f>
        <v>#N/A</v>
      </c>
      <c r="L9" s="66"/>
      <c r="M9" s="94"/>
      <c r="N9" s="77" t="s">
        <v>458</v>
      </c>
      <c r="O9" s="81">
        <v>13</v>
      </c>
      <c r="P9" s="70"/>
      <c r="Q9" s="89">
        <f>INDEX(Results!T:T,MATCH(N9,Results!V:V,0))</f>
        <v>-7</v>
      </c>
      <c r="R9" s="67"/>
      <c r="S9" s="72"/>
      <c r="T9" s="71" t="str">
        <f>IF(O16=O17,"Await earlier tie",IF(O16&lt;O17,N17,N16))</f>
        <v>Kevin Carter</v>
      </c>
      <c r="U9" s="81">
        <v>-1.75</v>
      </c>
      <c r="V9" s="73"/>
      <c r="W9" s="89">
        <f>INDEX(Results!T:T,MATCH(T9,Results!V:V,0))</f>
        <v>104.75200000000001</v>
      </c>
      <c r="X9" s="67"/>
      <c r="Y9" s="72"/>
      <c r="Z9" s="79" t="str">
        <f>IF(U16=U17,"Await earlier tie",IF(U16&lt;U17,T17,T16))</f>
        <v>Mo Sudell</v>
      </c>
      <c r="AA9" s="107">
        <v>-2</v>
      </c>
      <c r="AB9" s="73"/>
      <c r="AC9" s="89">
        <f>INDEX(Results!T:T,MATCH(Z9,Results!V:V,0))</f>
        <v>-4.7</v>
      </c>
      <c r="AD9" s="86"/>
      <c r="AE9" s="86"/>
      <c r="AF9" s="86"/>
      <c r="AG9" s="86"/>
      <c r="AH9" s="86"/>
      <c r="AI9" s="86"/>
      <c r="AJ9" s="86"/>
      <c r="AK9" s="86"/>
      <c r="AL9" s="86"/>
      <c r="AM9" s="86"/>
      <c r="AN9" s="86"/>
      <c r="AO9" s="86"/>
      <c r="AP9" s="86"/>
      <c r="AQ9" s="86"/>
    </row>
    <row r="10" spans="1:43" x14ac:dyDescent="0.25">
      <c r="A10" s="86"/>
      <c r="B10" s="86"/>
      <c r="C10" s="86"/>
      <c r="D10" s="74">
        <v>9</v>
      </c>
      <c r="E10" s="75" t="s">
        <v>458</v>
      </c>
      <c r="F10" s="66"/>
      <c r="G10" s="95">
        <v>5</v>
      </c>
      <c r="H10" s="80"/>
      <c r="I10" s="81"/>
      <c r="J10" s="82" t="str">
        <f>IF(I10="","",IF(I10=I11,"R",""))</f>
        <v/>
      </c>
      <c r="K10" s="85" t="e">
        <f>INDEX(Results!T:T,MATCH(H10,Results!V:V,0))</f>
        <v>#N/A</v>
      </c>
      <c r="L10" s="66"/>
      <c r="M10" s="95">
        <v>5</v>
      </c>
      <c r="N10" s="77" t="s">
        <v>457</v>
      </c>
      <c r="O10" s="81">
        <v>0.29090909090909101</v>
      </c>
      <c r="P10" s="92" t="str">
        <f>IF(O10="","",IF(O10=O11,"R",""))</f>
        <v/>
      </c>
      <c r="Q10" s="89">
        <f>INDEX(Results!T:T,MATCH(N10,Results!V:V,0))</f>
        <v>-1.2777777777777777</v>
      </c>
      <c r="R10" s="67"/>
      <c r="S10" s="69">
        <v>5</v>
      </c>
      <c r="T10" s="71" t="str">
        <f>IF(O18=O19,"Await earlier tie",IF(O18&lt;O19,N19,N18))</f>
        <v>Chris Bow</v>
      </c>
      <c r="U10" s="81">
        <v>-7</v>
      </c>
      <c r="V10" s="92" t="str">
        <f>IF(U10="","",IF(U10=U11,"R",""))</f>
        <v/>
      </c>
      <c r="W10" s="89">
        <f>INDEX(Results!T:T,MATCH(T10,Results!V:V,0))</f>
        <v>25.969374999999999</v>
      </c>
      <c r="X10" s="67"/>
      <c r="Y10" s="69">
        <v>5</v>
      </c>
      <c r="Z10" s="79" t="str">
        <f>IF(U18=U19,"Await earlier tie",IF(U18&lt;U19,T19,T18))</f>
        <v>Gareth Fallows</v>
      </c>
      <c r="AA10" s="107">
        <v>0.74000000000000021</v>
      </c>
      <c r="AB10" s="82" t="str">
        <f>IF(AA10="","",IF(AA10=AA11,"R",""))</f>
        <v/>
      </c>
      <c r="AC10" s="89">
        <f>INDEX(Results!T:T,MATCH(Z10,Results!V:V,0))</f>
        <v>-4.8</v>
      </c>
      <c r="AD10" s="86"/>
      <c r="AE10" s="86"/>
      <c r="AF10" s="86"/>
      <c r="AG10" s="86"/>
      <c r="AH10" s="86"/>
      <c r="AI10" s="86"/>
      <c r="AJ10" s="86"/>
      <c r="AK10" s="86"/>
      <c r="AL10" s="86"/>
      <c r="AM10" s="86"/>
      <c r="AN10" s="86"/>
      <c r="AO10" s="86"/>
      <c r="AP10" s="86"/>
      <c r="AQ10" s="86"/>
    </row>
    <row r="11" spans="1:43" x14ac:dyDescent="0.25">
      <c r="A11" s="97" t="s">
        <v>162</v>
      </c>
      <c r="B11" s="86"/>
      <c r="C11" s="86"/>
      <c r="D11" s="74">
        <v>10</v>
      </c>
      <c r="E11" s="75" t="s">
        <v>457</v>
      </c>
      <c r="F11" s="66"/>
      <c r="G11" s="94"/>
      <c r="H11" s="80"/>
      <c r="I11" s="81"/>
      <c r="J11" s="83"/>
      <c r="K11" s="85" t="e">
        <f>INDEX(Results!T:T,MATCH(H11,Results!V:V,0))</f>
        <v>#N/A</v>
      </c>
      <c r="L11" s="66"/>
      <c r="M11" s="94"/>
      <c r="N11" s="77" t="s">
        <v>348</v>
      </c>
      <c r="O11" s="81">
        <v>-1.8928571428571423</v>
      </c>
      <c r="P11" s="70"/>
      <c r="Q11" s="89">
        <f>INDEX(Results!T:T,MATCH(N11,Results!V:V,0))</f>
        <v>-5.666666666666667</v>
      </c>
      <c r="R11" s="67"/>
      <c r="S11" s="72"/>
      <c r="T11" s="71" t="str">
        <f>IF(O20=O21,"Await earlier tie",IF(O20&lt;O21,N21,N20))</f>
        <v>Paul Ridgeway</v>
      </c>
      <c r="U11" s="81">
        <v>9.0454545454545467</v>
      </c>
      <c r="V11" s="73"/>
      <c r="W11" s="89">
        <f>INDEX(Results!T:T,MATCH(T11,Results!V:V,0))</f>
        <v>-1.6444444444444439</v>
      </c>
      <c r="X11" s="67"/>
      <c r="Y11" s="72"/>
      <c r="Z11" s="79" t="str">
        <f>IF(U20=U21,"Await earlier tie",IF(U20&lt;U21,T21,T20))</f>
        <v>Paul Allen</v>
      </c>
      <c r="AA11" s="107">
        <v>14.454545454545453</v>
      </c>
      <c r="AB11" s="73"/>
      <c r="AC11" s="89">
        <f>INDEX(Results!T:T,MATCH(Z11,Results!V:V,0))</f>
        <v>-0.75499999999999989</v>
      </c>
      <c r="AD11" s="86"/>
      <c r="AE11" s="86"/>
      <c r="AF11" s="86"/>
      <c r="AG11" s="86"/>
      <c r="AH11" s="86"/>
      <c r="AI11" s="86"/>
      <c r="AJ11" s="86"/>
      <c r="AK11" s="86"/>
      <c r="AL11" s="86"/>
      <c r="AM11" s="86"/>
      <c r="AN11" s="86"/>
      <c r="AO11" s="86"/>
      <c r="AP11" s="86"/>
      <c r="AQ11" s="86"/>
    </row>
    <row r="12" spans="1:43" x14ac:dyDescent="0.25">
      <c r="A12" s="86"/>
      <c r="B12" s="86"/>
      <c r="C12" s="86"/>
      <c r="D12" s="74">
        <v>11</v>
      </c>
      <c r="E12" s="75" t="s">
        <v>348</v>
      </c>
      <c r="F12" s="66"/>
      <c r="G12" s="95">
        <v>6</v>
      </c>
      <c r="H12" s="80"/>
      <c r="I12" s="81"/>
      <c r="J12" s="82" t="str">
        <f>IF(I12="","",IF(I12=I13,"R",""))</f>
        <v/>
      </c>
      <c r="K12" s="85" t="e">
        <f>INDEX(Results!T:T,MATCH(H12,Results!V:V,0))</f>
        <v>#N/A</v>
      </c>
      <c r="L12" s="66"/>
      <c r="M12" s="95">
        <v>6</v>
      </c>
      <c r="N12" s="77" t="s">
        <v>339</v>
      </c>
      <c r="O12" s="81">
        <v>8.5</v>
      </c>
      <c r="P12" s="92" t="str">
        <f>IF(O12="","",IF(O12=O13,"R",""))</f>
        <v/>
      </c>
      <c r="Q12" s="89">
        <f>INDEX(Results!T:T,MATCH(N12,Results!V:V,0))</f>
        <v>25.969374999999999</v>
      </c>
      <c r="R12" s="67"/>
      <c r="S12" s="69">
        <v>6</v>
      </c>
      <c r="T12" s="71" t="str">
        <f>IF(O22=O23,"Await earlier tie",IF(O22&lt;O23,N23,N22))</f>
        <v>John Brown</v>
      </c>
      <c r="U12" s="81">
        <v>-7</v>
      </c>
      <c r="V12" s="92" t="str">
        <f>IF(U12="","",IF(U12=U13,"R",""))</f>
        <v/>
      </c>
      <c r="W12" s="89">
        <f>INDEX(Results!T:T,MATCH(T12,Results!V:V,0))</f>
        <v>2.4000000000000004</v>
      </c>
      <c r="X12" s="67"/>
      <c r="Y12" s="69">
        <v>6</v>
      </c>
      <c r="Z12" s="79" t="str">
        <f>IF(U22=U23,"Await earlier tie",IF(U22&lt;U23,T23,T22))</f>
        <v>Graeme Holmes</v>
      </c>
      <c r="AA12" s="107">
        <v>-1.1818181818181817</v>
      </c>
      <c r="AB12" s="82" t="str">
        <f>IF(AA12="","",IF(AA12=AA13,"R",""))</f>
        <v/>
      </c>
      <c r="AC12" s="89">
        <f>INDEX(Results!T:T,MATCH(Z12,Results!V:V,0))</f>
        <v>0.66249999999999964</v>
      </c>
      <c r="AD12" s="86"/>
      <c r="AE12" s="86"/>
      <c r="AF12" s="86"/>
      <c r="AG12" s="86"/>
      <c r="AH12" s="86"/>
      <c r="AI12" s="86"/>
      <c r="AJ12" s="86"/>
      <c r="AK12" s="86"/>
      <c r="AL12" s="86"/>
      <c r="AM12" s="86"/>
      <c r="AN12" s="86"/>
      <c r="AO12" s="86"/>
      <c r="AP12" s="86"/>
      <c r="AQ12" s="86"/>
    </row>
    <row r="13" spans="1:43" x14ac:dyDescent="0.25">
      <c r="A13" s="86"/>
      <c r="B13" s="86"/>
      <c r="C13" s="86"/>
      <c r="D13" s="74">
        <v>12</v>
      </c>
      <c r="E13" s="75" t="s">
        <v>339</v>
      </c>
      <c r="F13" s="66"/>
      <c r="G13" s="94"/>
      <c r="H13" s="80"/>
      <c r="I13" s="81"/>
      <c r="J13" s="83"/>
      <c r="K13" s="85" t="e">
        <f>INDEX(Results!T:T,MATCH(H13,Results!V:V,0))</f>
        <v>#N/A</v>
      </c>
      <c r="L13" s="66"/>
      <c r="M13" s="94"/>
      <c r="N13" s="77" t="s">
        <v>349</v>
      </c>
      <c r="O13" s="81">
        <v>6.9173789173789171</v>
      </c>
      <c r="P13" s="70"/>
      <c r="Q13" s="89">
        <f>INDEX(Results!T:T,MATCH(N13,Results!V:V,0))</f>
        <v>-7</v>
      </c>
      <c r="R13" s="67"/>
      <c r="S13" s="72"/>
      <c r="T13" s="71" t="str">
        <f>IF(O24=O25,"Await earlier tie",IF(O24&lt;O25,N25,N24))</f>
        <v>Andy Charleston</v>
      </c>
      <c r="U13" s="81">
        <v>17.23725</v>
      </c>
      <c r="V13" s="73"/>
      <c r="W13" s="89">
        <f>INDEX(Results!T:T,MATCH(T13,Results!V:V,0))</f>
        <v>2.2300000000000004</v>
      </c>
      <c r="X13" s="67"/>
      <c r="Y13" s="72"/>
      <c r="Z13" s="79" t="str">
        <f>IF(U24=U25,"Await earlier tie",IF(U24&lt;U25,T25,T24))</f>
        <v>Jack Walsh</v>
      </c>
      <c r="AA13" s="107">
        <v>-5.2727272727272725</v>
      </c>
      <c r="AB13" s="73"/>
      <c r="AC13" s="89">
        <f>INDEX(Results!T:T,MATCH(Z13,Results!V:V,0))</f>
        <v>23.32</v>
      </c>
      <c r="AD13" s="86"/>
      <c r="AE13" s="86"/>
      <c r="AF13" s="86"/>
      <c r="AG13" s="86"/>
      <c r="AH13" s="86"/>
      <c r="AI13" s="86"/>
      <c r="AJ13" s="86"/>
      <c r="AK13" s="86"/>
      <c r="AL13" s="86"/>
      <c r="AM13" s="86"/>
      <c r="AN13" s="86"/>
      <c r="AO13" s="86"/>
      <c r="AP13" s="86"/>
      <c r="AQ13" s="86"/>
    </row>
    <row r="14" spans="1:43" x14ac:dyDescent="0.25">
      <c r="A14" s="86"/>
      <c r="B14" s="86"/>
      <c r="C14" s="86"/>
      <c r="D14" s="74">
        <v>13</v>
      </c>
      <c r="E14" s="75" t="s">
        <v>349</v>
      </c>
      <c r="F14" s="66"/>
      <c r="G14" s="95">
        <v>7</v>
      </c>
      <c r="H14" s="80"/>
      <c r="I14" s="81"/>
      <c r="J14" s="82" t="str">
        <f>IF(I14="","",IF(I14=I15,"R",""))</f>
        <v/>
      </c>
      <c r="K14" s="85" t="e">
        <f>INDEX(Results!T:T,MATCH(H14,Results!V:V,0))</f>
        <v>#N/A</v>
      </c>
      <c r="L14" s="66"/>
      <c r="M14" s="95">
        <v>7</v>
      </c>
      <c r="N14" s="77" t="s">
        <v>451</v>
      </c>
      <c r="O14" s="81">
        <v>2.3199999999999985</v>
      </c>
      <c r="P14" s="92" t="str">
        <f>IF(O14="","",IF(O14=O15,"R",""))</f>
        <v/>
      </c>
      <c r="Q14" s="89">
        <f>INDEX(Results!T:T,MATCH(N14,Results!V:V,0))</f>
        <v>-7</v>
      </c>
      <c r="R14" s="67"/>
      <c r="S14" s="69">
        <v>7</v>
      </c>
      <c r="T14" s="71" t="str">
        <f>IF(O26=O27,"Await earlier tie",IF(O26&lt;O27,N27,N26))</f>
        <v>Phil Brown</v>
      </c>
      <c r="U14" s="81">
        <v>8.7199999999999989</v>
      </c>
      <c r="V14" s="92" t="str">
        <f>IF(U14="","",IF(U14=U15,"R",""))</f>
        <v/>
      </c>
      <c r="W14" s="89">
        <f>INDEX(Results!T:T,MATCH(T14,Results!V:V,0))</f>
        <v>-4.625</v>
      </c>
      <c r="X14" s="67"/>
      <c r="Y14" s="69">
        <v>7</v>
      </c>
      <c r="Z14" s="79" t="str">
        <f>IF(U26=U27,"Await earlier tie",IF(U26&lt;U27,T27,T26))</f>
        <v>David Dunn</v>
      </c>
      <c r="AA14" s="107">
        <v>-4.6500000000000004</v>
      </c>
      <c r="AB14" s="82" t="str">
        <f>IF(AA14="","",IF(AA14=AA15,"R",""))</f>
        <v/>
      </c>
      <c r="AC14" s="89">
        <f>INDEX(Results!T:T,MATCH(Z14,Results!V:V,0))</f>
        <v>-0.125</v>
      </c>
      <c r="AD14" s="86"/>
      <c r="AE14" s="86"/>
      <c r="AF14" s="86"/>
      <c r="AG14" s="86"/>
      <c r="AH14" s="86"/>
      <c r="AI14" s="86"/>
      <c r="AJ14" s="86"/>
      <c r="AK14" s="86"/>
      <c r="AL14" s="86"/>
      <c r="AM14" s="86"/>
      <c r="AN14" s="86"/>
      <c r="AO14" s="86"/>
      <c r="AP14" s="86"/>
      <c r="AQ14" s="86"/>
    </row>
    <row r="15" spans="1:43" x14ac:dyDescent="0.25">
      <c r="A15" s="96"/>
      <c r="B15" s="86"/>
      <c r="C15" s="86"/>
      <c r="D15" s="74">
        <v>14</v>
      </c>
      <c r="E15" s="75" t="s">
        <v>451</v>
      </c>
      <c r="F15" s="66"/>
      <c r="G15" s="94"/>
      <c r="H15" s="80"/>
      <c r="I15" s="81"/>
      <c r="J15" s="83"/>
      <c r="K15" s="85" t="e">
        <f>INDEX(Results!T:T,MATCH(H15,Results!V:V,0))</f>
        <v>#N/A</v>
      </c>
      <c r="L15" s="66"/>
      <c r="M15" s="94"/>
      <c r="N15" s="77" t="s">
        <v>331</v>
      </c>
      <c r="O15" s="81">
        <v>-7</v>
      </c>
      <c r="P15" s="70"/>
      <c r="Q15" s="89" t="e">
        <f>INDEX(Results!T:T,MATCH(N15,Results!V:V,0))</f>
        <v>#VALUE!</v>
      </c>
      <c r="R15" s="67"/>
      <c r="S15" s="72"/>
      <c r="T15" s="71" t="str">
        <f>IF(O28=O29,"Await earlier tie",IF(O28&lt;O29,N29,N28))</f>
        <v>Paul Fairhurst</v>
      </c>
      <c r="U15" s="81">
        <v>-7</v>
      </c>
      <c r="V15" s="73"/>
      <c r="W15" s="89">
        <f>INDEX(Results!T:T,MATCH(T15,Results!V:V,0))</f>
        <v>-4</v>
      </c>
      <c r="X15" s="67"/>
      <c r="Y15" s="72"/>
      <c r="Z15" s="79" t="str">
        <f>IF(U28=U29,"Await earlier tie",IF(U28&lt;U29,T29,T28))</f>
        <v>Nigel Heyes</v>
      </c>
      <c r="AA15" s="107">
        <v>-7</v>
      </c>
      <c r="AB15" s="73"/>
      <c r="AC15" s="89">
        <f>INDEX(Results!T:T,MATCH(Z15,Results!V:V,0))</f>
        <v>-4.8499999999999996</v>
      </c>
      <c r="AD15" s="86"/>
      <c r="AE15" s="86"/>
      <c r="AF15" s="86"/>
      <c r="AG15" s="86"/>
      <c r="AH15" s="86"/>
      <c r="AI15" s="86"/>
      <c r="AJ15" s="86"/>
      <c r="AK15" s="86"/>
      <c r="AL15" s="86"/>
      <c r="AM15" s="86"/>
      <c r="AN15" s="86"/>
      <c r="AO15" s="86"/>
      <c r="AP15" s="86"/>
      <c r="AQ15" s="86"/>
    </row>
    <row r="16" spans="1:43" x14ac:dyDescent="0.25">
      <c r="A16" s="86"/>
      <c r="B16" s="86"/>
      <c r="C16" s="86"/>
      <c r="D16" s="74">
        <v>15</v>
      </c>
      <c r="E16" s="75" t="s">
        <v>331</v>
      </c>
      <c r="F16" s="66"/>
      <c r="G16" s="95">
        <v>8</v>
      </c>
      <c r="H16" s="80"/>
      <c r="I16" s="81"/>
      <c r="J16" s="82" t="str">
        <f>IF(I16="","",IF(I16=I17,"R",""))</f>
        <v/>
      </c>
      <c r="K16" s="85" t="e">
        <f>INDEX(Results!T:T,MATCH(H16,Results!V:V,0))</f>
        <v>#N/A</v>
      </c>
      <c r="L16" s="66"/>
      <c r="M16" s="95">
        <v>8</v>
      </c>
      <c r="N16" s="77" t="s">
        <v>322</v>
      </c>
      <c r="O16" s="81">
        <v>-1.8974358974358978</v>
      </c>
      <c r="P16" s="92" t="str">
        <f>IF(O16="","",IF(O16=O17,"R",""))</f>
        <v/>
      </c>
      <c r="Q16" s="89">
        <f>INDEX(Results!T:T,MATCH(N16,Results!V:V,0))</f>
        <v>-7</v>
      </c>
      <c r="R16" s="67"/>
      <c r="S16" s="69">
        <v>8</v>
      </c>
      <c r="T16" s="71" t="str">
        <f>IF(O30=O31,"Await earlier tie",IF(O30&lt;O31,N31,N30))</f>
        <v>Charlie Griffiths</v>
      </c>
      <c r="U16" s="81">
        <v>-4.9000000000000004</v>
      </c>
      <c r="V16" s="92" t="str">
        <f>IF(U16="","",IF(U16=U17,"R",""))</f>
        <v/>
      </c>
      <c r="W16" s="89">
        <f>INDEX(Results!T:T,MATCH(T16,Results!V:V,0))</f>
        <v>-7</v>
      </c>
      <c r="X16" s="67"/>
      <c r="Y16" s="69">
        <v>8</v>
      </c>
      <c r="Z16" s="79" t="str">
        <f>IF(U30=U31,"Await earlier tie",IF(U30&lt;U31,T31,T30))</f>
        <v>Dan Baxter</v>
      </c>
      <c r="AA16" s="107">
        <v>-10</v>
      </c>
      <c r="AB16" s="82" t="str">
        <f>IF(AA16="","",IF(AA16=AA17,"R",""))</f>
        <v/>
      </c>
      <c r="AC16" s="89">
        <f>INDEX(Results!T:T,MATCH(Z16,Results!V:V,0))</f>
        <v>-2.5999999999999996</v>
      </c>
      <c r="AD16" s="86"/>
      <c r="AE16" s="86"/>
      <c r="AF16" s="86"/>
      <c r="AG16" s="86"/>
      <c r="AH16" s="86"/>
      <c r="AI16" s="86"/>
      <c r="AJ16" s="86"/>
      <c r="AK16" s="86"/>
      <c r="AL16" s="86"/>
      <c r="AM16" s="86"/>
      <c r="AN16" s="86"/>
      <c r="AO16" s="86"/>
      <c r="AP16" s="86"/>
      <c r="AQ16" s="86"/>
    </row>
    <row r="17" spans="1:43" x14ac:dyDescent="0.25">
      <c r="A17" s="86"/>
      <c r="B17" s="86"/>
      <c r="C17" s="86"/>
      <c r="D17" s="74">
        <v>16</v>
      </c>
      <c r="E17" s="75" t="s">
        <v>322</v>
      </c>
      <c r="F17" s="66"/>
      <c r="G17" s="94"/>
      <c r="H17" s="80"/>
      <c r="I17" s="81"/>
      <c r="J17" s="83"/>
      <c r="K17" s="85" t="e">
        <f>INDEX(Results!T:T,MATCH(H17,Results!V:V,0))</f>
        <v>#N/A</v>
      </c>
      <c r="L17" s="66"/>
      <c r="M17" s="94"/>
      <c r="N17" s="77" t="s">
        <v>350</v>
      </c>
      <c r="O17" s="81">
        <v>5.9499999999999993</v>
      </c>
      <c r="P17" s="70"/>
      <c r="Q17" s="89">
        <f>INDEX(Results!T:T,MATCH(N17,Results!V:V,0))</f>
        <v>104.75200000000001</v>
      </c>
      <c r="R17" s="67"/>
      <c r="S17" s="72"/>
      <c r="T17" s="71" t="str">
        <f>IF(O32=O33,"Await earlier tie",IF(O32&lt;O33,N33,N32))</f>
        <v>Mo Sudell</v>
      </c>
      <c r="U17" s="81">
        <v>1.745454545454546</v>
      </c>
      <c r="V17" s="73"/>
      <c r="W17" s="89">
        <f>INDEX(Results!T:T,MATCH(T17,Results!V:V,0))</f>
        <v>-4.7</v>
      </c>
      <c r="X17" s="67"/>
      <c r="Y17" s="76"/>
      <c r="Z17" s="79" t="str">
        <f>IF(U32=U33,"Await earlier tie",IF(U32&lt;U33,T33,T32))</f>
        <v>Graham Miller</v>
      </c>
      <c r="AA17" s="107">
        <v>-7</v>
      </c>
      <c r="AB17" s="70"/>
      <c r="AC17" s="89">
        <f>INDEX(Results!T:T,MATCH(Z17,Results!V:V,0))</f>
        <v>-2.5999999999999996</v>
      </c>
      <c r="AD17" s="86"/>
      <c r="AE17" s="86"/>
      <c r="AF17" s="86"/>
      <c r="AG17" s="86"/>
      <c r="AH17" s="86"/>
      <c r="AI17" s="86"/>
      <c r="AJ17" s="86"/>
      <c r="AK17" s="86"/>
      <c r="AL17" s="86"/>
      <c r="AM17" s="86"/>
      <c r="AN17" s="86"/>
      <c r="AO17" s="86"/>
      <c r="AP17" s="86"/>
      <c r="AQ17" s="86"/>
    </row>
    <row r="18" spans="1:43" x14ac:dyDescent="0.25">
      <c r="A18" s="86"/>
      <c r="B18" s="86"/>
      <c r="C18" s="86"/>
      <c r="D18" s="74">
        <v>17</v>
      </c>
      <c r="E18" s="75" t="s">
        <v>350</v>
      </c>
      <c r="F18" s="66"/>
      <c r="G18" s="95">
        <v>9</v>
      </c>
      <c r="H18" s="80"/>
      <c r="I18" s="81"/>
      <c r="J18" s="82" t="str">
        <f>IF(I18="","",IF(I18=I19,"R",""))</f>
        <v/>
      </c>
      <c r="K18" s="85" t="e">
        <f>INDEX(Results!T:T,MATCH(H18,Results!V:V,0))</f>
        <v>#N/A</v>
      </c>
      <c r="L18" s="66"/>
      <c r="M18" s="95">
        <v>9</v>
      </c>
      <c r="N18" s="77" t="s">
        <v>333</v>
      </c>
      <c r="O18" s="81">
        <v>-7</v>
      </c>
      <c r="P18" s="92" t="str">
        <f>IF(O18="","",IF(O18=O19,"R",""))</f>
        <v/>
      </c>
      <c r="Q18" s="89">
        <f>INDEX(Results!T:T,MATCH(N18,Results!V:V,0))</f>
        <v>-3.8</v>
      </c>
      <c r="R18" s="67"/>
      <c r="S18" s="69">
        <v>9</v>
      </c>
      <c r="T18" s="71" t="str">
        <f>IF(O34=O35,"Await earlier tie",IF(O34&lt;O35,N35,N34))</f>
        <v>Liam Wah</v>
      </c>
      <c r="U18" s="81">
        <v>1.75</v>
      </c>
      <c r="V18" s="92" t="str">
        <f>IF(U18="","",IF(U18=U19,"R",""))</f>
        <v/>
      </c>
      <c r="W18" s="89">
        <f>INDEX(Results!T:T,MATCH(T18,Results!V:V,0))</f>
        <v>15.760000000000002</v>
      </c>
      <c r="X18" s="67"/>
      <c r="Y18" s="66"/>
      <c r="Z18" s="66"/>
      <c r="AA18" s="66"/>
      <c r="AB18" s="66"/>
      <c r="AC18" s="91"/>
      <c r="AD18" s="86"/>
      <c r="AE18" s="86"/>
      <c r="AF18" s="86"/>
      <c r="AG18" s="86"/>
      <c r="AH18" s="86"/>
      <c r="AI18" s="86"/>
      <c r="AJ18" s="86"/>
      <c r="AK18" s="86"/>
      <c r="AL18" s="86"/>
      <c r="AM18" s="86"/>
      <c r="AN18" s="86"/>
      <c r="AO18" s="86"/>
      <c r="AP18" s="86"/>
      <c r="AQ18" s="86"/>
    </row>
    <row r="19" spans="1:43" x14ac:dyDescent="0.25">
      <c r="A19" s="86"/>
      <c r="B19" s="86"/>
      <c r="C19" s="86"/>
      <c r="D19" s="74">
        <v>18</v>
      </c>
      <c r="E19" s="75" t="s">
        <v>333</v>
      </c>
      <c r="F19" s="66"/>
      <c r="G19" s="94"/>
      <c r="H19" s="80"/>
      <c r="I19" s="81"/>
      <c r="J19" s="83"/>
      <c r="K19" s="85" t="e">
        <f>INDEX(Results!T:T,MATCH(H19,Results!V:V,0))</f>
        <v>#N/A</v>
      </c>
      <c r="L19" s="66"/>
      <c r="M19" s="94"/>
      <c r="N19" s="77" t="s">
        <v>361</v>
      </c>
      <c r="O19" s="81">
        <v>-4.0999999999999996</v>
      </c>
      <c r="P19" s="70"/>
      <c r="Q19" s="89">
        <f>INDEX(Results!T:T,MATCH(N19,Results!V:V,0))</f>
        <v>25.969374999999999</v>
      </c>
      <c r="R19" s="67"/>
      <c r="S19" s="72"/>
      <c r="T19" s="71" t="str">
        <f>IF(O36=O37,"Await earlier tie",IF(O36&lt;O37,N37,N36))</f>
        <v>Gareth Fallows</v>
      </c>
      <c r="U19" s="81">
        <v>18.18</v>
      </c>
      <c r="V19" s="73"/>
      <c r="W19" s="89">
        <f>INDEX(Results!T:T,MATCH(T19,Results!V:V,0))</f>
        <v>-4.8</v>
      </c>
      <c r="X19" s="67"/>
      <c r="Y19" s="66"/>
      <c r="Z19" s="66"/>
      <c r="AA19" s="66"/>
      <c r="AB19" s="66"/>
      <c r="AC19" s="91"/>
      <c r="AD19" s="86"/>
      <c r="AE19" s="86"/>
      <c r="AF19" s="86"/>
      <c r="AG19" s="86"/>
      <c r="AH19" s="86"/>
      <c r="AI19" s="86"/>
      <c r="AJ19" s="86"/>
      <c r="AK19" s="86"/>
      <c r="AL19" s="86"/>
      <c r="AM19" s="86"/>
      <c r="AN19" s="86"/>
      <c r="AO19" s="86"/>
      <c r="AP19" s="86"/>
      <c r="AQ19" s="86"/>
    </row>
    <row r="20" spans="1:43" x14ac:dyDescent="0.25">
      <c r="A20" s="86"/>
      <c r="B20" s="86"/>
      <c r="C20" s="86"/>
      <c r="D20" s="74">
        <v>19</v>
      </c>
      <c r="E20" s="75" t="s">
        <v>361</v>
      </c>
      <c r="F20" s="66"/>
      <c r="G20" s="95">
        <v>10</v>
      </c>
      <c r="H20" s="80"/>
      <c r="I20" s="81"/>
      <c r="J20" s="82" t="str">
        <f>IF(I20="","",IF(I20=I21,"R",""))</f>
        <v/>
      </c>
      <c r="K20" s="85" t="e">
        <f>INDEX(Results!T:T,MATCH(H20,Results!V:V,0))</f>
        <v>#N/A</v>
      </c>
      <c r="L20" s="66"/>
      <c r="M20" s="95">
        <v>10</v>
      </c>
      <c r="N20" s="77" t="s">
        <v>459</v>
      </c>
      <c r="O20" s="81">
        <v>-0.70000000000000018</v>
      </c>
      <c r="P20" s="92" t="str">
        <f>IF(O20="","",IF(O20=O21,"R",""))</f>
        <v/>
      </c>
      <c r="Q20" s="89">
        <f>INDEX(Results!T:T,MATCH(N20,Results!V:V,0))</f>
        <v>-3</v>
      </c>
      <c r="R20" s="67"/>
      <c r="S20" s="69">
        <v>10</v>
      </c>
      <c r="T20" s="71" t="str">
        <f>IF(O38=O39,"Await earlier tie",IF(O38&lt;O39,N39,N38))</f>
        <v>Nick Blocksidge</v>
      </c>
      <c r="U20" s="81">
        <v>-7</v>
      </c>
      <c r="V20" s="92" t="str">
        <f>IF(U20="","",IF(U20=U21,"R",""))</f>
        <v/>
      </c>
      <c r="W20" s="89">
        <f>INDEX(Results!T:T,MATCH(T20,Results!V:V,0))</f>
        <v>2.2300000000000004</v>
      </c>
      <c r="X20" s="67"/>
      <c r="Y20" s="66"/>
      <c r="Z20" s="66"/>
      <c r="AA20" s="66"/>
      <c r="AB20" s="66"/>
      <c r="AC20" s="91"/>
      <c r="AD20" s="86"/>
      <c r="AE20" s="86"/>
      <c r="AF20" s="86"/>
      <c r="AG20" s="86"/>
      <c r="AH20" s="86"/>
      <c r="AI20" s="86"/>
      <c r="AJ20" s="86"/>
      <c r="AK20" s="86"/>
      <c r="AL20" s="86"/>
      <c r="AM20" s="86"/>
      <c r="AN20" s="86"/>
      <c r="AO20" s="86"/>
      <c r="AP20" s="86"/>
      <c r="AQ20" s="86"/>
    </row>
    <row r="21" spans="1:43" x14ac:dyDescent="0.25">
      <c r="A21" s="86"/>
      <c r="B21" s="86"/>
      <c r="C21" s="86"/>
      <c r="D21" s="74">
        <v>20</v>
      </c>
      <c r="E21" s="75" t="s">
        <v>459</v>
      </c>
      <c r="F21" s="66"/>
      <c r="G21" s="94"/>
      <c r="H21" s="80"/>
      <c r="I21" s="81"/>
      <c r="J21" s="83"/>
      <c r="K21" s="85" t="e">
        <f>INDEX(Results!T:T,MATCH(H21,Results!V:V,0))</f>
        <v>#N/A</v>
      </c>
      <c r="L21" s="66"/>
      <c r="M21" s="94"/>
      <c r="N21" s="77" t="s">
        <v>365</v>
      </c>
      <c r="O21" s="81">
        <v>1.5999999999999996</v>
      </c>
      <c r="P21" s="70"/>
      <c r="Q21" s="89">
        <f>INDEX(Results!T:T,MATCH(N21,Results!V:V,0))</f>
        <v>-1.6444444444444439</v>
      </c>
      <c r="R21" s="67"/>
      <c r="S21" s="72"/>
      <c r="T21" s="71" t="str">
        <f>IF(O40=O41,"Await earlier tie",IF(O40&lt;O41,N41,N40))</f>
        <v>Paul Allen</v>
      </c>
      <c r="U21" s="81">
        <v>-0.72727272727272663</v>
      </c>
      <c r="V21" s="73"/>
      <c r="W21" s="89">
        <f>INDEX(Results!T:T,MATCH(T21,Results!V:V,0))</f>
        <v>-0.75499999999999989</v>
      </c>
      <c r="X21" s="67"/>
      <c r="Y21" s="66" t="s">
        <v>158</v>
      </c>
      <c r="Z21" s="66"/>
      <c r="AA21" s="66"/>
      <c r="AB21" s="66"/>
      <c r="AC21" s="91"/>
      <c r="AD21" s="86"/>
      <c r="AE21" s="86"/>
      <c r="AF21" s="86"/>
      <c r="AG21" s="86"/>
      <c r="AH21" s="86"/>
      <c r="AI21" s="86"/>
      <c r="AJ21" s="86"/>
      <c r="AK21" s="86"/>
      <c r="AL21" s="86"/>
      <c r="AM21" s="86"/>
      <c r="AN21" s="86"/>
      <c r="AO21" s="86"/>
      <c r="AP21" s="86"/>
      <c r="AQ21" s="86"/>
    </row>
    <row r="22" spans="1:43" x14ac:dyDescent="0.25">
      <c r="A22" s="86"/>
      <c r="B22" s="86"/>
      <c r="C22" s="86"/>
      <c r="D22" s="74">
        <v>21</v>
      </c>
      <c r="E22" s="75" t="s">
        <v>365</v>
      </c>
      <c r="F22" s="66"/>
      <c r="G22" s="95">
        <v>11</v>
      </c>
      <c r="H22" s="80"/>
      <c r="I22" s="81"/>
      <c r="J22" s="82" t="str">
        <f>IF(I22="","",IF(I22=I23,"R",""))</f>
        <v/>
      </c>
      <c r="K22" s="85" t="e">
        <f>INDEX(Results!T:T,MATCH(H22,Results!V:V,0))</f>
        <v>#N/A</v>
      </c>
      <c r="L22" s="66"/>
      <c r="M22" s="95">
        <v>11</v>
      </c>
      <c r="N22" s="77" t="s">
        <v>323</v>
      </c>
      <c r="O22" s="81">
        <v>5.9499999999999993</v>
      </c>
      <c r="P22" s="92" t="str">
        <f>IF(O22="","",IF(O22=O23,"R",""))</f>
        <v/>
      </c>
      <c r="Q22" s="89">
        <f>INDEX(Results!T:T,MATCH(N22,Results!V:V,0))</f>
        <v>2.4000000000000004</v>
      </c>
      <c r="R22" s="67"/>
      <c r="S22" s="69">
        <v>11</v>
      </c>
      <c r="T22" s="71" t="str">
        <f>IF(O42=O43,"Await earlier tie",IF(O42&lt;O43,N43,N42))</f>
        <v>Graeme Holmes</v>
      </c>
      <c r="U22" s="81">
        <v>-2.84375</v>
      </c>
      <c r="V22" s="92" t="str">
        <f>IF(U22="","",IF(U22=U23,"R",""))</f>
        <v/>
      </c>
      <c r="W22" s="89">
        <f>INDEX(Results!T:T,MATCH(T22,Results!V:V,0))</f>
        <v>0.66249999999999964</v>
      </c>
      <c r="X22" s="67"/>
      <c r="Y22" s="69"/>
      <c r="Z22" s="79"/>
      <c r="AA22" s="81"/>
      <c r="AB22" s="92"/>
      <c r="AC22" s="91"/>
      <c r="AD22" s="86"/>
      <c r="AE22" s="86"/>
      <c r="AF22" s="86"/>
      <c r="AG22" s="86"/>
      <c r="AH22" s="86"/>
      <c r="AI22" s="86"/>
      <c r="AJ22" s="86"/>
      <c r="AK22" s="86"/>
      <c r="AL22" s="86"/>
      <c r="AM22" s="86"/>
      <c r="AN22" s="86"/>
      <c r="AO22" s="86"/>
      <c r="AP22" s="86"/>
      <c r="AQ22" s="86"/>
    </row>
    <row r="23" spans="1:43" x14ac:dyDescent="0.25">
      <c r="A23" s="86"/>
      <c r="B23" s="86"/>
      <c r="C23" s="86"/>
      <c r="D23" s="74">
        <v>22</v>
      </c>
      <c r="E23" s="75" t="s">
        <v>323</v>
      </c>
      <c r="F23" s="66"/>
      <c r="G23" s="94"/>
      <c r="H23" s="80"/>
      <c r="I23" s="81"/>
      <c r="J23" s="83"/>
      <c r="K23" s="85" t="e">
        <f>INDEX(Results!T:T,MATCH(H23,Results!V:V,0))</f>
        <v>#N/A</v>
      </c>
      <c r="L23" s="66"/>
      <c r="M23" s="94"/>
      <c r="N23" s="77" t="s">
        <v>366</v>
      </c>
      <c r="O23" s="81">
        <v>-5.666666666666667</v>
      </c>
      <c r="P23" s="70"/>
      <c r="Q23" s="89">
        <f>INDEX(Results!T:T,MATCH(N23,Results!V:V,0))</f>
        <v>5.1999999999999993</v>
      </c>
      <c r="R23" s="67"/>
      <c r="S23" s="72"/>
      <c r="T23" s="71" t="str">
        <f>IF(O44=O45,"Await earlier tie",IF(O44&lt;O45,N45,N44))</f>
        <v>Chris Townsend</v>
      </c>
      <c r="U23" s="81">
        <v>-7</v>
      </c>
      <c r="V23" s="73"/>
      <c r="W23" s="89">
        <f>INDEX(Results!T:T,MATCH(T23,Results!V:V,0))</f>
        <v>-7</v>
      </c>
      <c r="X23" s="67"/>
      <c r="Y23" s="72"/>
      <c r="Z23" s="79"/>
      <c r="AA23" s="81"/>
      <c r="AB23" s="73"/>
      <c r="AC23" s="91"/>
      <c r="AD23" s="86"/>
      <c r="AE23" s="86"/>
      <c r="AF23" s="86"/>
      <c r="AG23" s="86"/>
      <c r="AH23" s="86"/>
      <c r="AI23" s="86"/>
      <c r="AJ23" s="86"/>
      <c r="AK23" s="86"/>
      <c r="AL23" s="86"/>
      <c r="AM23" s="86"/>
      <c r="AN23" s="86"/>
      <c r="AO23" s="86"/>
      <c r="AP23" s="86"/>
      <c r="AQ23" s="86"/>
    </row>
    <row r="24" spans="1:43" x14ac:dyDescent="0.25">
      <c r="A24" s="86"/>
      <c r="B24" s="86"/>
      <c r="C24" s="86"/>
      <c r="D24" s="74">
        <v>23</v>
      </c>
      <c r="E24" s="75" t="s">
        <v>366</v>
      </c>
      <c r="F24" s="66"/>
      <c r="G24" s="95">
        <v>12</v>
      </c>
      <c r="H24" s="80"/>
      <c r="I24" s="81"/>
      <c r="J24" s="82" t="str">
        <f>IF(I24="","",IF(I24=I25,"R",""))</f>
        <v/>
      </c>
      <c r="K24" s="85" t="e">
        <f>INDEX(Results!T:T,MATCH(H24,Results!V:V,0))</f>
        <v>#N/A</v>
      </c>
      <c r="L24" s="66"/>
      <c r="M24" s="95">
        <v>12</v>
      </c>
      <c r="N24" s="77" t="s">
        <v>338</v>
      </c>
      <c r="O24" s="81">
        <v>0.29999999999999982</v>
      </c>
      <c r="P24" s="92" t="str">
        <f>IF(O24="","",IF(O24=O25,"R",""))</f>
        <v/>
      </c>
      <c r="Q24" s="89">
        <f>INDEX(Results!T:T,MATCH(N24,Results!V:V,0))</f>
        <v>2.2300000000000004</v>
      </c>
      <c r="R24" s="67"/>
      <c r="S24" s="69">
        <v>12</v>
      </c>
      <c r="T24" s="71" t="str">
        <f>IF(O46=O47,"Await earlier tie",IF(O46&lt;O47,N47,N46))</f>
        <v>Jack Walsh</v>
      </c>
      <c r="U24" s="81">
        <v>-5.2727272727272725</v>
      </c>
      <c r="V24" s="92" t="str">
        <f>IF(U24="","",IF(U24=U25,"R",""))</f>
        <v/>
      </c>
      <c r="W24" s="89">
        <f>INDEX(Results!T:T,MATCH(T24,Results!V:V,0))</f>
        <v>23.32</v>
      </c>
      <c r="X24" s="67"/>
      <c r="Y24" s="69"/>
      <c r="Z24" s="71"/>
      <c r="AA24" s="81"/>
      <c r="AB24" s="92"/>
      <c r="AC24" s="91"/>
      <c r="AD24" s="86"/>
      <c r="AE24" s="86"/>
      <c r="AF24" s="86"/>
      <c r="AG24" s="86"/>
      <c r="AH24" s="86"/>
      <c r="AI24" s="86"/>
      <c r="AJ24" s="86"/>
      <c r="AK24" s="86"/>
      <c r="AL24" s="86"/>
      <c r="AM24" s="86"/>
      <c r="AN24" s="86"/>
      <c r="AO24" s="86"/>
      <c r="AP24" s="86"/>
      <c r="AQ24" s="86"/>
    </row>
    <row r="25" spans="1:43" x14ac:dyDescent="0.25">
      <c r="A25" s="86"/>
      <c r="B25" s="86"/>
      <c r="C25" s="86"/>
      <c r="D25" s="74">
        <v>24</v>
      </c>
      <c r="E25" s="75" t="s">
        <v>338</v>
      </c>
      <c r="F25" s="66"/>
      <c r="G25" s="94"/>
      <c r="H25" s="80"/>
      <c r="I25" s="81"/>
      <c r="J25" s="83"/>
      <c r="K25" s="85" t="e">
        <f>INDEX(Results!T:T,MATCH(H25,Results!V:V,0))</f>
        <v>#N/A</v>
      </c>
      <c r="L25" s="66"/>
      <c r="M25" s="94"/>
      <c r="N25" s="77" t="s">
        <v>336</v>
      </c>
      <c r="O25" s="81">
        <v>-2.2962962962962967</v>
      </c>
      <c r="P25" s="70"/>
      <c r="Q25" s="89">
        <f>INDEX(Results!T:T,MATCH(N25,Results!V:V,0))</f>
        <v>0.52500000000000036</v>
      </c>
      <c r="R25" s="67"/>
      <c r="S25" s="72"/>
      <c r="T25" s="71" t="str">
        <f>IF(O48=O49,"Await earlier tie",IF(O48&lt;O49,N49,N48))</f>
        <v>Dave Orrell</v>
      </c>
      <c r="U25" s="81">
        <v>-7</v>
      </c>
      <c r="V25" s="73"/>
      <c r="W25" s="89">
        <f>INDEX(Results!T:T,MATCH(T25,Results!V:V,0))</f>
        <v>1.25</v>
      </c>
      <c r="X25" s="67"/>
      <c r="Y25" s="76"/>
      <c r="Z25" s="71"/>
      <c r="AA25" s="81"/>
      <c r="AB25" s="70"/>
      <c r="AC25" s="91"/>
      <c r="AD25" s="86"/>
      <c r="AE25" s="86"/>
      <c r="AF25" s="86"/>
      <c r="AG25" s="86"/>
      <c r="AH25" s="86"/>
      <c r="AI25" s="86"/>
      <c r="AJ25" s="86"/>
      <c r="AK25" s="86"/>
      <c r="AL25" s="86"/>
      <c r="AM25" s="86"/>
      <c r="AN25" s="86"/>
      <c r="AO25" s="86"/>
      <c r="AP25" s="86"/>
      <c r="AQ25" s="86"/>
    </row>
    <row r="26" spans="1:43" x14ac:dyDescent="0.25">
      <c r="A26" s="86"/>
      <c r="B26" s="86"/>
      <c r="C26" s="86"/>
      <c r="D26" s="74">
        <v>25</v>
      </c>
      <c r="E26" s="75" t="s">
        <v>336</v>
      </c>
      <c r="F26" s="66"/>
      <c r="G26" s="95">
        <v>13</v>
      </c>
      <c r="H26" s="80"/>
      <c r="I26" s="81"/>
      <c r="J26" s="82" t="str">
        <f>IF(I26="","",IF(I26=I27,"R",""))</f>
        <v/>
      </c>
      <c r="K26" s="85" t="e">
        <f>INDEX(Results!T:T,MATCH(H26,Results!V:V,0))</f>
        <v>#N/A</v>
      </c>
      <c r="L26" s="66"/>
      <c r="M26" s="95">
        <v>13</v>
      </c>
      <c r="N26" s="77" t="s">
        <v>362</v>
      </c>
      <c r="O26" s="81">
        <v>-4.4000000000000004</v>
      </c>
      <c r="P26" s="92" t="str">
        <f>IF(O26="","",IF(O26=O27,"R",""))</f>
        <v/>
      </c>
      <c r="Q26" s="89">
        <f>INDEX(Results!T:T,MATCH(N26,Results!V:V,0))</f>
        <v>-4.625</v>
      </c>
      <c r="R26" s="67"/>
      <c r="S26" s="69">
        <v>13</v>
      </c>
      <c r="T26" s="71" t="str">
        <f>IF(O50=O51,"Await earlier tie",IF(O50&lt;O51,N51,N50))</f>
        <v>Rob England</v>
      </c>
      <c r="U26" s="81">
        <v>-7</v>
      </c>
      <c r="V26" s="92" t="str">
        <f>IF(U26="","",IF(U26=U27,"R",""))</f>
        <v/>
      </c>
      <c r="W26" s="89">
        <f>INDEX(Results!T:T,MATCH(T26,Results!V:V,0))</f>
        <v>-5.1538461538461533</v>
      </c>
      <c r="X26" s="67"/>
      <c r="Y26" s="69"/>
      <c r="Z26" s="79"/>
      <c r="AA26" s="81"/>
      <c r="AB26" s="92" t="str">
        <f>IF(AA26="","",IF(AA26=AA27,"R",""))</f>
        <v/>
      </c>
      <c r="AC26" s="91"/>
      <c r="AD26" s="86"/>
      <c r="AE26" s="86"/>
      <c r="AF26" s="86"/>
      <c r="AG26" s="86"/>
      <c r="AH26" s="86"/>
      <c r="AI26" s="86"/>
      <c r="AJ26" s="86"/>
      <c r="AK26" s="86"/>
      <c r="AL26" s="86"/>
      <c r="AM26" s="86"/>
      <c r="AN26" s="86"/>
      <c r="AO26" s="86"/>
      <c r="AP26" s="86"/>
      <c r="AQ26" s="86"/>
    </row>
    <row r="27" spans="1:43" x14ac:dyDescent="0.25">
      <c r="A27" s="86"/>
      <c r="B27" s="86"/>
      <c r="C27" s="86"/>
      <c r="D27" s="74">
        <v>26</v>
      </c>
      <c r="E27" s="75" t="s">
        <v>362</v>
      </c>
      <c r="F27" s="66"/>
      <c r="G27" s="94"/>
      <c r="H27" s="80"/>
      <c r="I27" s="81"/>
      <c r="J27" s="83"/>
      <c r="K27" s="85" t="e">
        <f>INDEX(Results!T:T,MATCH(H27,Results!V:V,0))</f>
        <v>#N/A</v>
      </c>
      <c r="L27" s="66"/>
      <c r="M27" s="94"/>
      <c r="N27" s="77" t="s">
        <v>465</v>
      </c>
      <c r="O27" s="81">
        <v>-7</v>
      </c>
      <c r="P27" s="70"/>
      <c r="Q27" s="89">
        <f>INDEX(Results!T:T,MATCH(N27,Results!V:V,0))</f>
        <v>-7</v>
      </c>
      <c r="R27" s="67"/>
      <c r="S27" s="72"/>
      <c r="T27" s="71" t="str">
        <f>IF(O52=O53,"Await earlier tie",IF(O52&lt;O53,N53,N52))</f>
        <v>David Dunn</v>
      </c>
      <c r="U27" s="81">
        <v>18.232307692307689</v>
      </c>
      <c r="V27" s="73"/>
      <c r="W27" s="89">
        <f>INDEX(Results!T:T,MATCH(T27,Results!V:V,0))</f>
        <v>-0.125</v>
      </c>
      <c r="X27" s="67"/>
      <c r="Y27" s="72"/>
      <c r="Z27" s="79"/>
      <c r="AA27" s="81"/>
      <c r="AB27" s="73"/>
      <c r="AC27" s="91"/>
      <c r="AD27" s="86"/>
      <c r="AE27" s="86"/>
      <c r="AF27" s="86"/>
      <c r="AG27" s="86"/>
      <c r="AH27" s="86"/>
      <c r="AI27" s="86"/>
      <c r="AJ27" s="86"/>
      <c r="AK27" s="86"/>
      <c r="AL27" s="86"/>
      <c r="AM27" s="86"/>
      <c r="AN27" s="86"/>
      <c r="AO27" s="86"/>
      <c r="AP27" s="86"/>
      <c r="AQ27" s="86"/>
    </row>
    <row r="28" spans="1:43" x14ac:dyDescent="0.25">
      <c r="A28" s="86"/>
      <c r="B28" s="86"/>
      <c r="C28" s="86"/>
      <c r="D28" s="74">
        <v>27</v>
      </c>
      <c r="E28" s="75" t="s">
        <v>465</v>
      </c>
      <c r="F28" s="66"/>
      <c r="G28" s="95">
        <v>14</v>
      </c>
      <c r="H28" s="80"/>
      <c r="I28" s="81"/>
      <c r="J28" s="82" t="str">
        <f>IF(I28="","",IF(I28=I29,"R",""))</f>
        <v/>
      </c>
      <c r="K28" s="85" t="e">
        <f>INDEX(Results!T:T,MATCH(H28,Results!V:V,0))</f>
        <v>#N/A</v>
      </c>
      <c r="L28" s="66"/>
      <c r="M28" s="95">
        <v>14</v>
      </c>
      <c r="N28" s="77" t="s">
        <v>332</v>
      </c>
      <c r="O28" s="81">
        <v>-5.0909090909090908</v>
      </c>
      <c r="P28" s="92" t="str">
        <f>IF(O28="","",IF(O28=O29,"R",""))</f>
        <v/>
      </c>
      <c r="Q28" s="89">
        <f>INDEX(Results!T:T,MATCH(N28,Results!V:V,0))</f>
        <v>-4.625</v>
      </c>
      <c r="R28" s="67"/>
      <c r="S28" s="69">
        <v>14</v>
      </c>
      <c r="T28" s="71" t="str">
        <f>IF(O54=O55,"Await earlier tie",IF(O54&lt;O55,N55,N54))</f>
        <v>Nigel Heyes</v>
      </c>
      <c r="U28" s="81">
        <v>-5.05</v>
      </c>
      <c r="V28" s="92" t="str">
        <f>IF(U28="","",IF(U28=U29,"R",""))</f>
        <v/>
      </c>
      <c r="W28" s="89">
        <f>INDEX(Results!T:T,MATCH(T28,Results!V:V,0))</f>
        <v>-4.8499999999999996</v>
      </c>
      <c r="X28" s="67"/>
      <c r="Y28" s="69"/>
      <c r="Z28" s="71"/>
      <c r="AA28" s="81"/>
      <c r="AB28" s="92" t="str">
        <f>IF(AA28="","",IF(AA28=AA29,"R",""))</f>
        <v/>
      </c>
      <c r="AC28" s="91"/>
      <c r="AD28" s="86"/>
      <c r="AE28" s="86"/>
      <c r="AF28" s="86"/>
      <c r="AG28" s="86"/>
      <c r="AH28" s="86"/>
      <c r="AI28" s="86"/>
      <c r="AJ28" s="86"/>
      <c r="AK28" s="86"/>
      <c r="AL28" s="86"/>
      <c r="AM28" s="86"/>
      <c r="AN28" s="86"/>
      <c r="AO28" s="86"/>
      <c r="AP28" s="86"/>
      <c r="AQ28" s="86"/>
    </row>
    <row r="29" spans="1:43" x14ac:dyDescent="0.25">
      <c r="A29" s="86"/>
      <c r="B29" s="86"/>
      <c r="C29" s="86"/>
      <c r="D29" s="74">
        <v>28</v>
      </c>
      <c r="E29" s="75" t="s">
        <v>332</v>
      </c>
      <c r="F29" s="66"/>
      <c r="G29" s="94"/>
      <c r="H29" s="80"/>
      <c r="I29" s="81"/>
      <c r="J29" s="83"/>
      <c r="K29" s="85" t="e">
        <f>INDEX(Results!T:T,MATCH(H29,Results!V:V,0))</f>
        <v>#N/A</v>
      </c>
      <c r="L29" s="66"/>
      <c r="M29" s="94"/>
      <c r="N29" s="77" t="s">
        <v>352</v>
      </c>
      <c r="O29" s="81">
        <v>-3</v>
      </c>
      <c r="P29" s="70"/>
      <c r="Q29" s="89">
        <f>INDEX(Results!T:T,MATCH(N29,Results!V:V,0))</f>
        <v>-4</v>
      </c>
      <c r="R29" s="67"/>
      <c r="S29" s="72"/>
      <c r="T29" s="71" t="str">
        <f>IF(O56=O57,"Await earlier tie",IF(O56&lt;O57,N57,N56))</f>
        <v>Martin Molyneux</v>
      </c>
      <c r="U29" s="81">
        <v>-7</v>
      </c>
      <c r="V29" s="73"/>
      <c r="W29" s="89" t="e">
        <f>INDEX(Results!T:T,MATCH(T29,Results!V:V,0))</f>
        <v>#VALUE!</v>
      </c>
      <c r="X29" s="67"/>
      <c r="Y29" s="76"/>
      <c r="Z29" s="71"/>
      <c r="AA29" s="81"/>
      <c r="AB29" s="70"/>
      <c r="AC29" s="91"/>
      <c r="AD29" s="86"/>
      <c r="AE29" s="86"/>
      <c r="AF29" s="86"/>
      <c r="AG29" s="86"/>
      <c r="AH29" s="86"/>
      <c r="AI29" s="86"/>
      <c r="AJ29" s="86"/>
      <c r="AK29" s="86"/>
      <c r="AL29" s="86"/>
      <c r="AM29" s="86"/>
      <c r="AN29" s="86"/>
      <c r="AO29" s="86"/>
      <c r="AP29" s="86"/>
      <c r="AQ29" s="86"/>
    </row>
    <row r="30" spans="1:43" x14ac:dyDescent="0.25">
      <c r="A30" s="86"/>
      <c r="B30" s="86"/>
      <c r="C30" s="86"/>
      <c r="D30" s="74">
        <v>29</v>
      </c>
      <c r="E30" s="75" t="s">
        <v>352</v>
      </c>
      <c r="F30" s="66"/>
      <c r="G30" s="95">
        <v>15</v>
      </c>
      <c r="H30" s="80"/>
      <c r="I30" s="81"/>
      <c r="J30" s="82" t="str">
        <f>IF(I30="","",IF(I30=I31,"R",""))</f>
        <v/>
      </c>
      <c r="K30" s="85" t="e">
        <f>INDEX(Results!T:T,MATCH(H30,Results!V:V,0))</f>
        <v>#N/A</v>
      </c>
      <c r="L30" s="66"/>
      <c r="M30" s="95">
        <v>15</v>
      </c>
      <c r="N30" s="77" t="s">
        <v>461</v>
      </c>
      <c r="O30" s="81">
        <v>-5.0909090909090908</v>
      </c>
      <c r="P30" s="92" t="str">
        <f>IF(O30="","",IF(O30=O31,"R",""))</f>
        <v/>
      </c>
      <c r="Q30" s="89">
        <f>INDEX(Results!T:T,MATCH(N30,Results!V:V,0))</f>
        <v>-4</v>
      </c>
      <c r="R30" s="67"/>
      <c r="S30" s="69">
        <v>15</v>
      </c>
      <c r="T30" s="71" t="str">
        <f>IF(O58=O59,"Await earlier tie",IF(O58&lt;O59,N59,N58))</f>
        <v>Pete Baron</v>
      </c>
      <c r="U30" s="81">
        <v>-4.9000000000000004</v>
      </c>
      <c r="V30" s="92" t="str">
        <f>IF(U30="","",IF(U30=U31,"R",""))</f>
        <v/>
      </c>
      <c r="W30" s="89">
        <f>INDEX(Results!T:T,MATCH(T30,Results!V:V,0))</f>
        <v>-4</v>
      </c>
      <c r="X30" s="67"/>
      <c r="Y30" s="86"/>
      <c r="Z30" s="86"/>
      <c r="AA30" s="86"/>
      <c r="AB30" s="86"/>
      <c r="AC30" s="91"/>
      <c r="AD30" s="86"/>
      <c r="AE30" s="86"/>
      <c r="AF30" s="86"/>
      <c r="AG30" s="86"/>
      <c r="AH30" s="86"/>
      <c r="AI30" s="86"/>
      <c r="AJ30" s="86"/>
      <c r="AK30" s="86"/>
      <c r="AL30" s="86"/>
      <c r="AM30" s="86"/>
      <c r="AN30" s="86"/>
      <c r="AO30" s="86"/>
      <c r="AP30" s="86"/>
      <c r="AQ30" s="86"/>
    </row>
    <row r="31" spans="1:43" x14ac:dyDescent="0.25">
      <c r="A31" s="86"/>
      <c r="B31" s="86"/>
      <c r="C31" s="86"/>
      <c r="D31" s="74">
        <v>30</v>
      </c>
      <c r="E31" s="75" t="s">
        <v>461</v>
      </c>
      <c r="F31" s="66"/>
      <c r="G31" s="94"/>
      <c r="H31" s="80"/>
      <c r="I31" s="81"/>
      <c r="J31" s="83"/>
      <c r="K31" s="85" t="e">
        <f>INDEX(Results!T:T,MATCH(H31,Results!V:V,0))</f>
        <v>#N/A</v>
      </c>
      <c r="L31" s="66"/>
      <c r="M31" s="94"/>
      <c r="N31" s="77" t="s">
        <v>355</v>
      </c>
      <c r="O31" s="81">
        <v>-4.7</v>
      </c>
      <c r="P31" s="70"/>
      <c r="Q31" s="89">
        <f>INDEX(Results!T:T,MATCH(N31,Results!V:V,0))</f>
        <v>-7</v>
      </c>
      <c r="R31" s="67"/>
      <c r="S31" s="72"/>
      <c r="T31" s="71" t="str">
        <f>IF(O60=O61,"Await earlier tie",IF(O60&lt;O61,N61,N60))</f>
        <v>Dan Baxter</v>
      </c>
      <c r="U31" s="81">
        <v>19.003846153846155</v>
      </c>
      <c r="V31" s="73"/>
      <c r="W31" s="89">
        <f>INDEX(Results!T:T,MATCH(T31,Results!V:V,0))</f>
        <v>-2.5999999999999996</v>
      </c>
      <c r="X31" s="67"/>
      <c r="Y31" s="86"/>
      <c r="Z31" s="86"/>
      <c r="AA31" s="86"/>
      <c r="AB31" s="86"/>
      <c r="AC31" s="91"/>
      <c r="AD31" s="86"/>
      <c r="AE31" s="86"/>
      <c r="AF31" s="86"/>
      <c r="AG31" s="86"/>
      <c r="AH31" s="86"/>
      <c r="AI31" s="86"/>
      <c r="AJ31" s="86"/>
      <c r="AK31" s="86"/>
      <c r="AL31" s="86"/>
      <c r="AM31" s="86"/>
      <c r="AN31" s="86"/>
      <c r="AO31" s="86"/>
      <c r="AP31" s="86"/>
      <c r="AQ31" s="86"/>
    </row>
    <row r="32" spans="1:43" x14ac:dyDescent="0.25">
      <c r="A32" s="86"/>
      <c r="B32" s="86"/>
      <c r="C32" s="86"/>
      <c r="D32" s="74">
        <v>31</v>
      </c>
      <c r="E32" s="75" t="s">
        <v>355</v>
      </c>
      <c r="F32" s="66"/>
      <c r="G32" s="95">
        <v>16</v>
      </c>
      <c r="H32" s="80"/>
      <c r="I32" s="81"/>
      <c r="J32" s="82" t="str">
        <f>IF(I32="","",IF(I32=I33,"R",""))</f>
        <v/>
      </c>
      <c r="K32" s="85" t="e">
        <f>INDEX(Results!T:T,MATCH(H32,Results!V:V,0))</f>
        <v>#N/A</v>
      </c>
      <c r="L32" s="66"/>
      <c r="M32" s="95">
        <v>16</v>
      </c>
      <c r="N32" s="77" t="s">
        <v>357</v>
      </c>
      <c r="O32" s="81">
        <v>1.745454545454546</v>
      </c>
      <c r="P32" s="92" t="str">
        <f>IF(O32="","",IF(O32=O33,"R",""))</f>
        <v/>
      </c>
      <c r="Q32" s="89">
        <f>INDEX(Results!T:T,MATCH(N32,Results!V:V,0))</f>
        <v>-4.7</v>
      </c>
      <c r="R32" s="67"/>
      <c r="S32" s="69">
        <v>16</v>
      </c>
      <c r="T32" s="71" t="str">
        <f>IF(O62=O63,"Await earlier tie",IF(O62&lt;O63,N63,N62))</f>
        <v>Chris Luck</v>
      </c>
      <c r="U32" s="81">
        <v>-7</v>
      </c>
      <c r="V32" s="92" t="str">
        <f>IF(U32="","",IF(U32=U33,"R",""))</f>
        <v/>
      </c>
      <c r="W32" s="89">
        <f>INDEX(Results!T:T,MATCH(T32,Results!V:V,0))</f>
        <v>30.272500000000001</v>
      </c>
      <c r="X32" s="67"/>
      <c r="Y32" s="86"/>
      <c r="Z32" s="86"/>
      <c r="AA32" s="86"/>
      <c r="AB32" s="86"/>
      <c r="AC32" s="91"/>
      <c r="AD32" s="86"/>
      <c r="AE32" s="86"/>
      <c r="AF32" s="86"/>
      <c r="AG32" s="86"/>
      <c r="AH32" s="86"/>
      <c r="AI32" s="86"/>
      <c r="AJ32" s="86"/>
      <c r="AK32" s="86"/>
      <c r="AL32" s="86"/>
      <c r="AM32" s="86"/>
      <c r="AN32" s="86"/>
      <c r="AO32" s="86"/>
      <c r="AP32" s="86"/>
      <c r="AQ32" s="86"/>
    </row>
    <row r="33" spans="1:43" x14ac:dyDescent="0.25">
      <c r="A33" s="86"/>
      <c r="B33" s="86"/>
      <c r="C33" s="86"/>
      <c r="D33" s="74">
        <v>32</v>
      </c>
      <c r="E33" s="75" t="s">
        <v>357</v>
      </c>
      <c r="F33" s="66"/>
      <c r="G33" s="94"/>
      <c r="H33" s="80"/>
      <c r="I33" s="81"/>
      <c r="J33" s="83"/>
      <c r="K33" s="85" t="e">
        <f>INDEX(Results!T:T,MATCH(H33,Results!V:V,0))</f>
        <v>#N/A</v>
      </c>
      <c r="L33" s="66"/>
      <c r="M33" s="94"/>
      <c r="N33" s="77" t="s">
        <v>325</v>
      </c>
      <c r="O33" s="81">
        <v>-0.90909090909090917</v>
      </c>
      <c r="P33" s="70"/>
      <c r="Q33" s="89">
        <f>INDEX(Results!T:T,MATCH(N33,Results!V:V,0))</f>
        <v>-7</v>
      </c>
      <c r="R33" s="67"/>
      <c r="S33" s="76"/>
      <c r="T33" s="71" t="str">
        <f>IF(O64=O65,"Await earlier tie",IF(O64&lt;O65,N65,N64))</f>
        <v>Graham Miller</v>
      </c>
      <c r="U33" s="81">
        <v>-0.86713286713286752</v>
      </c>
      <c r="V33" s="70"/>
      <c r="W33" s="89">
        <f>INDEX(Results!T:T,MATCH(T33,Results!V:V,0))</f>
        <v>-2.5999999999999996</v>
      </c>
      <c r="X33" s="67"/>
      <c r="Y33" s="86"/>
      <c r="Z33" s="86"/>
      <c r="AA33" s="86"/>
      <c r="AB33" s="86"/>
      <c r="AC33" s="91"/>
      <c r="AD33" s="86"/>
      <c r="AE33" s="86"/>
      <c r="AF33" s="86"/>
      <c r="AG33" s="86"/>
      <c r="AH33" s="86"/>
      <c r="AI33" s="86"/>
      <c r="AJ33" s="86"/>
      <c r="AK33" s="86"/>
      <c r="AL33" s="86"/>
      <c r="AM33" s="86"/>
      <c r="AN33" s="86"/>
      <c r="AO33" s="86"/>
      <c r="AP33" s="86"/>
      <c r="AQ33" s="86"/>
    </row>
    <row r="34" spans="1:43" x14ac:dyDescent="0.25">
      <c r="A34" s="86"/>
      <c r="B34" s="86"/>
      <c r="C34" s="86"/>
      <c r="D34" s="74">
        <v>33</v>
      </c>
      <c r="E34" s="75" t="s">
        <v>325</v>
      </c>
      <c r="F34" s="66"/>
      <c r="G34" s="95">
        <v>17</v>
      </c>
      <c r="H34" s="80"/>
      <c r="I34" s="81"/>
      <c r="J34" s="82" t="str">
        <f>IF(I34="","",IF(I34=I35,"R",""))</f>
        <v/>
      </c>
      <c r="K34" s="85" t="e">
        <f>INDEX(Results!T:T,MATCH(H34,Results!V:V,0))</f>
        <v>#N/A</v>
      </c>
      <c r="L34" s="66"/>
      <c r="M34" s="95">
        <v>17</v>
      </c>
      <c r="N34" s="77" t="s">
        <v>346</v>
      </c>
      <c r="O34" s="81">
        <v>-4.625</v>
      </c>
      <c r="P34" s="92" t="str">
        <f>IF(O34="","",IF(O34=O35,"R",""))</f>
        <v/>
      </c>
      <c r="Q34" s="89">
        <f>INDEX(Results!T:T,MATCH(N34,Results!V:V,0))</f>
        <v>0.58000000000000007</v>
      </c>
      <c r="R34" s="66"/>
      <c r="S34" s="66"/>
      <c r="T34" s="66"/>
      <c r="U34" s="66"/>
      <c r="V34" s="66"/>
      <c r="W34" s="90"/>
      <c r="X34" s="66"/>
      <c r="Y34" s="86"/>
      <c r="Z34" s="86"/>
      <c r="AA34" s="86"/>
      <c r="AB34" s="86"/>
      <c r="AC34" s="91"/>
      <c r="AD34" s="86"/>
      <c r="AE34" s="86"/>
      <c r="AF34" s="86"/>
      <c r="AG34" s="86"/>
      <c r="AH34" s="86"/>
      <c r="AI34" s="86"/>
      <c r="AJ34" s="86"/>
      <c r="AK34" s="86"/>
      <c r="AL34" s="86"/>
      <c r="AM34" s="86"/>
      <c r="AN34" s="86"/>
      <c r="AO34" s="86"/>
      <c r="AP34" s="86"/>
      <c r="AQ34" s="86"/>
    </row>
    <row r="35" spans="1:43" x14ac:dyDescent="0.25">
      <c r="A35" s="86"/>
      <c r="B35" s="86"/>
      <c r="C35" s="86"/>
      <c r="D35" s="74">
        <v>34</v>
      </c>
      <c r="E35" s="75" t="s">
        <v>346</v>
      </c>
      <c r="F35" s="66"/>
      <c r="G35" s="94"/>
      <c r="H35" s="80"/>
      <c r="I35" s="81"/>
      <c r="J35" s="83"/>
      <c r="K35" s="85" t="e">
        <f>INDEX(Results!T:T,MATCH(H35,Results!V:V,0))</f>
        <v>#N/A</v>
      </c>
      <c r="L35" s="66"/>
      <c r="M35" s="94"/>
      <c r="N35" s="77" t="s">
        <v>450</v>
      </c>
      <c r="O35" s="81">
        <v>13</v>
      </c>
      <c r="P35" s="70"/>
      <c r="Q35" s="89">
        <f>INDEX(Results!T:T,MATCH(N35,Results!V:V,0))</f>
        <v>15.760000000000002</v>
      </c>
      <c r="R35" s="66"/>
      <c r="S35" s="66"/>
      <c r="T35" s="66"/>
      <c r="U35" s="66"/>
      <c r="V35" s="66"/>
      <c r="W35" s="90"/>
      <c r="X35" s="66"/>
      <c r="Y35" s="86"/>
      <c r="Z35" s="86"/>
      <c r="AA35" s="86"/>
      <c r="AB35" s="86"/>
      <c r="AC35" s="91"/>
      <c r="AD35" s="86"/>
      <c r="AE35" s="86"/>
      <c r="AF35" s="86"/>
      <c r="AG35" s="86"/>
      <c r="AH35" s="86"/>
      <c r="AI35" s="86"/>
      <c r="AJ35" s="86"/>
      <c r="AK35" s="86"/>
      <c r="AL35" s="86"/>
      <c r="AM35" s="86"/>
      <c r="AN35" s="86"/>
      <c r="AO35" s="86"/>
      <c r="AP35" s="86"/>
      <c r="AQ35" s="86"/>
    </row>
    <row r="36" spans="1:43" x14ac:dyDescent="0.25">
      <c r="A36" s="86"/>
      <c r="B36" s="86"/>
      <c r="C36" s="86"/>
      <c r="D36" s="74">
        <v>35</v>
      </c>
      <c r="E36" s="75" t="s">
        <v>450</v>
      </c>
      <c r="F36" s="66"/>
      <c r="G36" s="95">
        <v>18</v>
      </c>
      <c r="H36" s="80"/>
      <c r="I36" s="81"/>
      <c r="J36" s="82" t="str">
        <f>IF(I36="","",IF(I36=I37,"R",""))</f>
        <v/>
      </c>
      <c r="K36" s="85" t="e">
        <f>INDEX(Results!T:T,MATCH(H36,Results!V:V,0))</f>
        <v>#N/A</v>
      </c>
      <c r="L36" s="66"/>
      <c r="M36" s="95">
        <v>18</v>
      </c>
      <c r="N36" s="77" t="s">
        <v>354</v>
      </c>
      <c r="O36" s="81">
        <v>1</v>
      </c>
      <c r="P36" s="92" t="str">
        <f>IF(O36="","",IF(O36=O37,"R",""))</f>
        <v/>
      </c>
      <c r="Q36" s="89">
        <f>INDEX(Results!T:T,MATCH(N36,Results!V:V,0))</f>
        <v>6.5199999999999978</v>
      </c>
      <c r="R36" s="66"/>
      <c r="S36" s="66"/>
      <c r="T36" s="66"/>
      <c r="U36" s="66"/>
      <c r="V36" s="66"/>
      <c r="W36" s="90"/>
      <c r="X36" s="66"/>
      <c r="Y36" s="86"/>
      <c r="Z36" s="86"/>
      <c r="AA36" s="86"/>
      <c r="AB36" s="86"/>
      <c r="AC36" s="91"/>
      <c r="AD36" s="86"/>
      <c r="AE36" s="86"/>
      <c r="AF36" s="86"/>
      <c r="AG36" s="86"/>
      <c r="AH36" s="86"/>
      <c r="AI36" s="86"/>
      <c r="AJ36" s="86"/>
      <c r="AK36" s="86"/>
      <c r="AL36" s="86"/>
      <c r="AM36" s="86"/>
      <c r="AN36" s="86"/>
      <c r="AO36" s="86"/>
      <c r="AP36" s="86"/>
      <c r="AQ36" s="86"/>
    </row>
    <row r="37" spans="1:43" x14ac:dyDescent="0.25">
      <c r="A37" s="86"/>
      <c r="B37" s="86"/>
      <c r="C37" s="86"/>
      <c r="D37" s="74">
        <v>36</v>
      </c>
      <c r="E37" s="75" t="s">
        <v>354</v>
      </c>
      <c r="F37" s="66"/>
      <c r="G37" s="94"/>
      <c r="H37" s="80"/>
      <c r="I37" s="81"/>
      <c r="J37" s="83"/>
      <c r="K37" s="85" t="e">
        <f>INDEX(Results!T:T,MATCH(H37,Results!V:V,0))</f>
        <v>#N/A</v>
      </c>
      <c r="L37" s="66"/>
      <c r="M37" s="94"/>
      <c r="N37" s="77" t="s">
        <v>540</v>
      </c>
      <c r="O37" s="81">
        <v>7.48</v>
      </c>
      <c r="P37" s="70"/>
      <c r="Q37" s="89">
        <f>INDEX(Results!T:T,MATCH(N37,Results!V:V,0))</f>
        <v>-4.8</v>
      </c>
      <c r="R37" s="66"/>
      <c r="S37" s="65" t="s">
        <v>575</v>
      </c>
      <c r="T37" s="174">
        <v>43519</v>
      </c>
      <c r="U37" s="66"/>
      <c r="V37" s="66"/>
      <c r="W37" s="90"/>
      <c r="X37" s="66"/>
      <c r="Y37" s="86"/>
      <c r="Z37" s="86"/>
      <c r="AA37" s="86"/>
      <c r="AB37" s="86"/>
      <c r="AC37" s="91"/>
      <c r="AD37" s="86"/>
      <c r="AE37" s="86"/>
      <c r="AF37" s="86"/>
      <c r="AG37" s="86"/>
      <c r="AH37" s="86"/>
      <c r="AI37" s="86"/>
      <c r="AJ37" s="86"/>
      <c r="AK37" s="86"/>
      <c r="AL37" s="86"/>
      <c r="AM37" s="86"/>
      <c r="AN37" s="86"/>
      <c r="AO37" s="86"/>
      <c r="AP37" s="86"/>
      <c r="AQ37" s="86"/>
    </row>
    <row r="38" spans="1:43" x14ac:dyDescent="0.25">
      <c r="A38" s="86"/>
      <c r="B38" s="86"/>
      <c r="C38" s="86"/>
      <c r="D38" s="74">
        <v>37</v>
      </c>
      <c r="E38" s="75" t="s">
        <v>540</v>
      </c>
      <c r="F38" s="66"/>
      <c r="G38" s="95">
        <v>19</v>
      </c>
      <c r="H38" s="80"/>
      <c r="I38" s="81"/>
      <c r="J38" s="82" t="str">
        <f>IF(I38="","",IF(I38=I39,"R",""))</f>
        <v/>
      </c>
      <c r="K38" s="85" t="e">
        <f>INDEX(Results!T:T,MATCH(H38,Results!V:V,0))</f>
        <v>#N/A</v>
      </c>
      <c r="L38" s="66"/>
      <c r="M38" s="95">
        <v>19</v>
      </c>
      <c r="N38" s="77" t="s">
        <v>343</v>
      </c>
      <c r="O38" s="81">
        <v>-7</v>
      </c>
      <c r="P38" s="92" t="str">
        <f>IF(O38="","",IF(O38=O39,"R",""))</f>
        <v/>
      </c>
      <c r="Q38" s="89">
        <f>INDEX(Results!T:T,MATCH(N38,Results!V:V,0))</f>
        <v>-1.8888888888888893</v>
      </c>
      <c r="R38" s="66"/>
      <c r="S38" s="69">
        <v>3</v>
      </c>
      <c r="T38" s="71" t="s">
        <v>457</v>
      </c>
      <c r="U38" s="81">
        <v>17.322916666666668</v>
      </c>
      <c r="V38" s="92" t="str">
        <f>IF(U38="","",IF(U38=U39,"R",""))</f>
        <v/>
      </c>
      <c r="W38" s="89">
        <f>INDEX(Results!T:T,MATCH(T38,Results!V:V,0))</f>
        <v>-1.2777777777777777</v>
      </c>
      <c r="X38" s="66"/>
      <c r="Y38" s="65" t="s">
        <v>141</v>
      </c>
      <c r="Z38" s="174">
        <v>43547</v>
      </c>
      <c r="AA38" s="66"/>
      <c r="AB38" s="66"/>
      <c r="AC38" s="91"/>
      <c r="AD38" s="86"/>
      <c r="AE38" s="86"/>
      <c r="AF38" s="86"/>
      <c r="AG38" s="86"/>
      <c r="AH38" s="86"/>
      <c r="AI38" s="86"/>
      <c r="AJ38" s="86"/>
      <c r="AK38" s="86"/>
      <c r="AL38" s="86"/>
      <c r="AM38" s="86"/>
      <c r="AN38" s="86"/>
      <c r="AO38" s="86"/>
      <c r="AP38" s="86"/>
      <c r="AQ38" s="86"/>
    </row>
    <row r="39" spans="1:43" x14ac:dyDescent="0.25">
      <c r="A39" s="86"/>
      <c r="B39" s="86"/>
      <c r="C39" s="86"/>
      <c r="D39" s="74">
        <v>38</v>
      </c>
      <c r="E39" s="75" t="s">
        <v>343</v>
      </c>
      <c r="F39" s="66"/>
      <c r="G39" s="94"/>
      <c r="H39" s="80"/>
      <c r="I39" s="81"/>
      <c r="J39" s="83"/>
      <c r="K39" s="85" t="e">
        <f>INDEX(Results!T:T,MATCH(H39,Results!V:V,0))</f>
        <v>#N/A</v>
      </c>
      <c r="L39" s="66"/>
      <c r="M39" s="94"/>
      <c r="N39" s="77" t="s">
        <v>460</v>
      </c>
      <c r="O39" s="81">
        <v>-0.79999999999999982</v>
      </c>
      <c r="P39" s="70"/>
      <c r="Q39" s="89">
        <f>INDEX(Results!T:T,MATCH(N39,Results!V:V,0))</f>
        <v>2.2300000000000004</v>
      </c>
      <c r="R39" s="66"/>
      <c r="S39" s="72"/>
      <c r="T39" s="71" t="s">
        <v>339</v>
      </c>
      <c r="U39" s="81">
        <v>-7</v>
      </c>
      <c r="V39" s="73"/>
      <c r="W39" s="89">
        <f>INDEX(Results!T:T,MATCH(T39,Results!V:V,0))</f>
        <v>25.969374999999999</v>
      </c>
      <c r="X39" s="66"/>
      <c r="Y39" s="69">
        <v>1</v>
      </c>
      <c r="Z39" s="79" t="str">
        <f>IF(AA2=AA3,"Await earlier tie",IF(AA2&lt;AA3,Z3,Z2))</f>
        <v>Mike Penk</v>
      </c>
      <c r="AA39" s="107">
        <v>-5.2</v>
      </c>
      <c r="AB39" s="82" t="str">
        <f>IF(AA39="","",IF(AA39=AA40,"R",""))</f>
        <v/>
      </c>
      <c r="AC39" s="89">
        <f>INDEX(Results!T:T,MATCH(Z39,Results!V:V,0))</f>
        <v>-7</v>
      </c>
      <c r="AD39" s="86"/>
      <c r="AE39" s="86"/>
      <c r="AF39" s="86"/>
      <c r="AG39" s="86"/>
      <c r="AH39" s="86"/>
      <c r="AI39" s="86"/>
      <c r="AJ39" s="86"/>
      <c r="AK39" s="86"/>
      <c r="AL39" s="86"/>
      <c r="AM39" s="86"/>
      <c r="AN39" s="86"/>
      <c r="AO39" s="86"/>
      <c r="AP39" s="86"/>
      <c r="AQ39" s="86"/>
    </row>
    <row r="40" spans="1:43" x14ac:dyDescent="0.25">
      <c r="A40" s="86"/>
      <c r="B40" s="86"/>
      <c r="C40" s="86"/>
      <c r="D40" s="74">
        <v>39</v>
      </c>
      <c r="E40" s="75" t="s">
        <v>460</v>
      </c>
      <c r="F40" s="66"/>
      <c r="G40" s="95">
        <v>20</v>
      </c>
      <c r="H40" s="80"/>
      <c r="I40" s="81"/>
      <c r="J40" s="82" t="str">
        <f>IF(I40="","",IF(I40=I41,"R",""))</f>
        <v/>
      </c>
      <c r="K40" s="85" t="e">
        <f>INDEX(Results!T:T,MATCH(H40,Results!V:V,0))</f>
        <v>#N/A</v>
      </c>
      <c r="L40" s="66"/>
      <c r="M40" s="95">
        <v>20</v>
      </c>
      <c r="N40" s="77" t="s">
        <v>341</v>
      </c>
      <c r="O40" s="81">
        <v>-7</v>
      </c>
      <c r="P40" s="92" t="str">
        <f>IF(O40="","",IF(O40=O41,"R",""))</f>
        <v/>
      </c>
      <c r="Q40" s="89">
        <f>INDEX(Results!T:T,MATCH(N40,Results!V:V,0))</f>
        <v>-4.625</v>
      </c>
      <c r="R40" s="66"/>
      <c r="S40" s="69">
        <v>9</v>
      </c>
      <c r="T40" s="71" t="s">
        <v>450</v>
      </c>
      <c r="U40" s="81">
        <v>1.75</v>
      </c>
      <c r="V40" s="92" t="str">
        <f>IF(U40="","",IF(U40=U41,"R",""))</f>
        <v/>
      </c>
      <c r="W40" s="89">
        <f>INDEX(Results!T:T,MATCH(T40,Results!V:V,0))</f>
        <v>15.760000000000002</v>
      </c>
      <c r="X40" s="66"/>
      <c r="Y40" s="72"/>
      <c r="Z40" s="79" t="str">
        <f>IF(AA4=AA5,"Await earlier tie",IF(AA4&lt;AA5,Z5,Z4))</f>
        <v>Ashley Houghton</v>
      </c>
      <c r="AA40" s="107">
        <v>16.196666666666669</v>
      </c>
      <c r="AB40" s="73"/>
      <c r="AC40" s="89">
        <f>INDEX(Results!T:T,MATCH(Z40,Results!V:V,0))</f>
        <v>-1.2777777777777777</v>
      </c>
      <c r="AD40" s="86"/>
      <c r="AE40" s="86"/>
      <c r="AF40" s="86"/>
      <c r="AG40" s="86"/>
      <c r="AH40" s="86"/>
      <c r="AI40" s="86"/>
      <c r="AJ40" s="86"/>
      <c r="AK40" s="86"/>
      <c r="AL40" s="86"/>
      <c r="AM40" s="86"/>
      <c r="AN40" s="86"/>
      <c r="AO40" s="86"/>
      <c r="AP40" s="86"/>
      <c r="AQ40" s="86"/>
    </row>
    <row r="41" spans="1:43" x14ac:dyDescent="0.25">
      <c r="A41" s="86"/>
      <c r="B41" s="86"/>
      <c r="C41" s="86"/>
      <c r="D41" s="74">
        <v>40</v>
      </c>
      <c r="E41" s="75" t="s">
        <v>341</v>
      </c>
      <c r="F41" s="66"/>
      <c r="G41" s="94"/>
      <c r="H41" s="80"/>
      <c r="I41" s="81"/>
      <c r="J41" s="83"/>
      <c r="K41" s="85" t="e">
        <f>INDEX(Results!T:T,MATCH(H41,Results!V:V,0))</f>
        <v>#N/A</v>
      </c>
      <c r="L41" s="66"/>
      <c r="M41" s="94"/>
      <c r="N41" s="77" t="s">
        <v>320</v>
      </c>
      <c r="O41" s="81">
        <v>-5.5555555555555554</v>
      </c>
      <c r="P41" s="70"/>
      <c r="Q41" s="89">
        <f>INDEX(Results!T:T,MATCH(N41,Results!V:V,0))</f>
        <v>-0.75499999999999989</v>
      </c>
      <c r="R41" s="66"/>
      <c r="S41" s="72"/>
      <c r="T41" s="71" t="s">
        <v>540</v>
      </c>
      <c r="U41" s="81">
        <v>18.18</v>
      </c>
      <c r="V41" s="73"/>
      <c r="W41" s="89">
        <f>INDEX(Results!T:T,MATCH(T41,Results!V:V,0))</f>
        <v>-4.8</v>
      </c>
      <c r="X41" s="66"/>
      <c r="Y41" s="69">
        <v>2</v>
      </c>
      <c r="Z41" s="79" t="str">
        <f>IF(AA6=AA7,"Await earlier tie",IF(AA6&lt;AA7,Z7,Z6))</f>
        <v>Andy Charleston</v>
      </c>
      <c r="AA41" s="107">
        <v>-2.5949999999999998</v>
      </c>
      <c r="AB41" s="82" t="str">
        <f>IF(AA41="","",IF(AA41=AA42,"R",""))</f>
        <v/>
      </c>
      <c r="AC41" s="89">
        <f>INDEX(Results!T:T,MATCH(Z41,Results!V:V,0))</f>
        <v>2.2300000000000004</v>
      </c>
      <c r="AD41" s="86"/>
      <c r="AE41" s="86"/>
      <c r="AF41" s="86"/>
      <c r="AG41" s="86"/>
      <c r="AH41" s="86"/>
      <c r="AI41" s="86"/>
      <c r="AJ41" s="86"/>
      <c r="AK41" s="86"/>
      <c r="AL41" s="86"/>
      <c r="AM41" s="86"/>
      <c r="AN41" s="86"/>
      <c r="AO41" s="86"/>
      <c r="AP41" s="86"/>
      <c r="AQ41" s="86"/>
    </row>
    <row r="42" spans="1:43" x14ac:dyDescent="0.25">
      <c r="A42" s="86"/>
      <c r="B42" s="86"/>
      <c r="C42" s="86"/>
      <c r="D42" s="74">
        <v>41</v>
      </c>
      <c r="E42" s="75" t="s">
        <v>320</v>
      </c>
      <c r="F42" s="66"/>
      <c r="G42" s="95">
        <v>21</v>
      </c>
      <c r="H42" s="80"/>
      <c r="I42" s="81"/>
      <c r="J42" s="82" t="str">
        <f>IF(I42="","",IF(I42=I43,"R",""))</f>
        <v/>
      </c>
      <c r="K42" s="85" t="e">
        <f>INDEX(Results!T:T,MATCH(H42,Results!V:V,0))</f>
        <v>#N/A</v>
      </c>
      <c r="L42" s="66"/>
      <c r="M42" s="95">
        <v>21</v>
      </c>
      <c r="N42" s="77" t="s">
        <v>453</v>
      </c>
      <c r="O42" s="81">
        <v>-1.4449999999999994</v>
      </c>
      <c r="P42" s="92" t="str">
        <f>IF(O42="","",IF(O42=O43,"R",""))</f>
        <v/>
      </c>
      <c r="Q42" s="89">
        <f>INDEX(Results!T:T,MATCH(N42,Results!V:V,0))</f>
        <v>0.66249999999999964</v>
      </c>
      <c r="R42" s="66"/>
      <c r="S42" s="69"/>
      <c r="T42" s="71"/>
      <c r="U42" s="81"/>
      <c r="V42" s="92" t="str">
        <f>IF(U42="","",IF(U42=U43,"R",""))</f>
        <v/>
      </c>
      <c r="W42" s="89" t="e">
        <f>INDEX(Results!T:T,MATCH(T42,Results!V:V,0))</f>
        <v>#N/A</v>
      </c>
      <c r="X42" s="66"/>
      <c r="Y42" s="72"/>
      <c r="Z42" s="79" t="str">
        <f>IF(AA8=AA9,"Await earlier tie",IF(AA8&lt;AA9,Z9,Z8))</f>
        <v>Mo Sudell</v>
      </c>
      <c r="AA42" s="107">
        <v>-5.5</v>
      </c>
      <c r="AB42" s="73"/>
      <c r="AC42" s="89">
        <f>INDEX(Results!T:T,MATCH(Z42,Results!V:V,0))</f>
        <v>-4.7</v>
      </c>
      <c r="AD42" s="86"/>
      <c r="AE42" s="86"/>
      <c r="AF42" s="86"/>
      <c r="AG42" s="86"/>
      <c r="AH42" s="86"/>
      <c r="AI42" s="86"/>
      <c r="AJ42" s="86"/>
      <c r="AK42" s="86"/>
      <c r="AL42" s="86"/>
      <c r="AM42" s="86"/>
      <c r="AN42" s="86"/>
      <c r="AO42" s="86"/>
      <c r="AP42" s="86"/>
      <c r="AQ42" s="86"/>
    </row>
    <row r="43" spans="1:43" x14ac:dyDescent="0.25">
      <c r="A43" s="86"/>
      <c r="B43" s="86"/>
      <c r="C43" s="86"/>
      <c r="D43" s="74">
        <v>42</v>
      </c>
      <c r="E43" s="75" t="s">
        <v>453</v>
      </c>
      <c r="F43" s="66"/>
      <c r="G43" s="94"/>
      <c r="H43" s="80"/>
      <c r="I43" s="81"/>
      <c r="J43" s="83"/>
      <c r="K43" s="85" t="e">
        <f>INDEX(Results!T:T,MATCH(H43,Results!V:V,0))</f>
        <v>#N/A</v>
      </c>
      <c r="L43" s="66"/>
      <c r="M43" s="94"/>
      <c r="N43" s="77" t="s">
        <v>330</v>
      </c>
      <c r="O43" s="81">
        <v>-3</v>
      </c>
      <c r="P43" s="70"/>
      <c r="Q43" s="89">
        <f>INDEX(Results!T:T,MATCH(N43,Results!V:V,0))</f>
        <v>-3.5</v>
      </c>
      <c r="R43" s="66"/>
      <c r="S43" s="72"/>
      <c r="T43" s="71"/>
      <c r="U43" s="81"/>
      <c r="V43" s="73"/>
      <c r="W43" s="89" t="e">
        <f>INDEX(Results!T:T,MATCH(T43,Results!V:V,0))</f>
        <v>#N/A</v>
      </c>
      <c r="X43" s="66"/>
      <c r="Y43" s="69">
        <v>3</v>
      </c>
      <c r="Z43" s="79" t="str">
        <f>IF(AA10=AA11,"Await earlier tie",IF(AA10&lt;AA11,Z11,Z10))</f>
        <v>Paul Allen</v>
      </c>
      <c r="AA43" s="107">
        <v>22.744</v>
      </c>
      <c r="AB43" s="82" t="str">
        <f>IF(AA43="","",IF(AA43=AA44,"R",""))</f>
        <v/>
      </c>
      <c r="AC43" s="89">
        <f>INDEX(Results!T:T,MATCH(Z43,Results!V:V,0))</f>
        <v>-0.75499999999999989</v>
      </c>
      <c r="AD43" s="86"/>
      <c r="AE43" s="86"/>
      <c r="AF43" s="86"/>
      <c r="AG43" s="86"/>
      <c r="AH43" s="86"/>
      <c r="AI43" s="86"/>
      <c r="AJ43" s="86"/>
      <c r="AK43" s="86"/>
      <c r="AL43" s="86"/>
      <c r="AM43" s="86"/>
      <c r="AN43" s="86"/>
      <c r="AO43" s="86"/>
      <c r="AP43" s="86"/>
      <c r="AQ43" s="86"/>
    </row>
    <row r="44" spans="1:43" x14ac:dyDescent="0.25">
      <c r="A44" s="86"/>
      <c r="B44" s="86"/>
      <c r="C44" s="86"/>
      <c r="D44" s="74">
        <v>43</v>
      </c>
      <c r="E44" s="75" t="s">
        <v>330</v>
      </c>
      <c r="F44" s="66"/>
      <c r="G44" s="95">
        <v>22</v>
      </c>
      <c r="H44" s="80"/>
      <c r="I44" s="81"/>
      <c r="J44" s="82" t="str">
        <f t="shared" ref="J44:J72" si="0">IF(I44="","",IF(I44=I45,"R",""))</f>
        <v/>
      </c>
      <c r="K44" s="85" t="e">
        <f>INDEX(Results!T:T,MATCH(H44,Results!V:V,0))</f>
        <v>#N/A</v>
      </c>
      <c r="L44" s="66"/>
      <c r="M44" s="95">
        <v>22</v>
      </c>
      <c r="N44" s="77" t="s">
        <v>392</v>
      </c>
      <c r="O44" s="81">
        <v>-7</v>
      </c>
      <c r="P44" s="92" t="str">
        <f>IF(O44="","",IF(O44=O45,"R",""))</f>
        <v/>
      </c>
      <c r="Q44" s="89">
        <f>INDEX(Results!T:T,MATCH(N44,Results!V:V,0))</f>
        <v>-7</v>
      </c>
      <c r="R44" s="66"/>
      <c r="S44" s="69"/>
      <c r="T44" s="71"/>
      <c r="U44" s="81"/>
      <c r="V44" s="82" t="str">
        <f>IF(U44="","",IF(U44=U45,"R",""))</f>
        <v/>
      </c>
      <c r="W44" s="89" t="e">
        <f>INDEX(Results!T:T,MATCH(T44,Results!V:V,0))</f>
        <v>#N/A</v>
      </c>
      <c r="X44" s="66"/>
      <c r="Y44" s="72"/>
      <c r="Z44" s="79" t="str">
        <f>IF(AA12=AA13,"Await earlier tie",IF(AA12&lt;AA13,Z13,Z12))</f>
        <v>Graeme Holmes</v>
      </c>
      <c r="AA44" s="107">
        <v>-1</v>
      </c>
      <c r="AB44" s="73"/>
      <c r="AC44" s="89">
        <f>INDEX(Results!T:T,MATCH(Z44,Results!V:V,0))</f>
        <v>0.66249999999999964</v>
      </c>
      <c r="AD44" s="86"/>
      <c r="AE44" s="86"/>
      <c r="AF44" s="86"/>
      <c r="AG44" s="86"/>
      <c r="AH44" s="86"/>
      <c r="AI44" s="86"/>
      <c r="AJ44" s="86"/>
      <c r="AK44" s="86"/>
      <c r="AL44" s="86"/>
      <c r="AM44" s="86"/>
      <c r="AN44" s="86"/>
      <c r="AO44" s="86"/>
      <c r="AP44" s="86"/>
      <c r="AQ44" s="86"/>
    </row>
    <row r="45" spans="1:43" x14ac:dyDescent="0.25">
      <c r="A45" s="86"/>
      <c r="B45" s="86"/>
      <c r="C45" s="86"/>
      <c r="D45" s="74">
        <v>44</v>
      </c>
      <c r="E45" s="75" t="s">
        <v>392</v>
      </c>
      <c r="F45" s="66"/>
      <c r="G45" s="94"/>
      <c r="H45" s="80"/>
      <c r="I45" s="81"/>
      <c r="J45" s="83"/>
      <c r="K45" s="85" t="e">
        <f>INDEX(Results!T:T,MATCH(H45,Results!V:V,0))</f>
        <v>#N/A</v>
      </c>
      <c r="L45" s="66"/>
      <c r="M45" s="94"/>
      <c r="N45" s="77" t="s">
        <v>358</v>
      </c>
      <c r="O45" s="81">
        <v>16.5</v>
      </c>
      <c r="P45" s="70"/>
      <c r="Q45" s="89">
        <f>INDEX(Results!T:T,MATCH(N45,Results!V:V,0))</f>
        <v>-7</v>
      </c>
      <c r="R45" s="66"/>
      <c r="S45" s="76"/>
      <c r="T45" s="71"/>
      <c r="U45" s="81"/>
      <c r="V45" s="70"/>
      <c r="W45" s="89" t="e">
        <f>INDEX(Results!T:T,MATCH(T45,Results!V:V,0))</f>
        <v>#N/A</v>
      </c>
      <c r="X45" s="66"/>
      <c r="Y45" s="69">
        <v>4</v>
      </c>
      <c r="Z45" s="79" t="str">
        <f>IF(AA14=AA15,"Await earlier tie",IF(AA14&lt;AA15,Z15,Z14))</f>
        <v>David Dunn</v>
      </c>
      <c r="AA45" s="107">
        <v>1.8900000000000006</v>
      </c>
      <c r="AB45" s="82" t="str">
        <f>IF(AA45="","",IF(AA45=AA46,"R",""))</f>
        <v/>
      </c>
      <c r="AC45" s="89">
        <f>INDEX(Results!T:T,MATCH(Z45,Results!V:V,0))</f>
        <v>-0.125</v>
      </c>
      <c r="AD45" s="86"/>
      <c r="AE45" s="86"/>
      <c r="AF45" s="86"/>
      <c r="AG45" s="86"/>
      <c r="AH45" s="86"/>
      <c r="AI45" s="86"/>
      <c r="AJ45" s="86"/>
      <c r="AK45" s="86"/>
      <c r="AL45" s="86"/>
      <c r="AM45" s="86"/>
      <c r="AN45" s="86"/>
      <c r="AO45" s="86"/>
      <c r="AP45" s="86"/>
      <c r="AQ45" s="86"/>
    </row>
    <row r="46" spans="1:43" x14ac:dyDescent="0.25">
      <c r="A46" s="86"/>
      <c r="B46" s="86"/>
      <c r="C46" s="86"/>
      <c r="D46" s="74">
        <v>45</v>
      </c>
      <c r="E46" s="75" t="s">
        <v>358</v>
      </c>
      <c r="F46" s="66"/>
      <c r="G46" s="95">
        <v>23</v>
      </c>
      <c r="H46" s="80"/>
      <c r="I46" s="81"/>
      <c r="J46" s="82" t="str">
        <f t="shared" si="0"/>
        <v/>
      </c>
      <c r="K46" s="85" t="e">
        <f>INDEX(Results!T:T,MATCH(H46,Results!V:V,0))</f>
        <v>#N/A</v>
      </c>
      <c r="L46" s="66"/>
      <c r="M46" s="95">
        <v>23</v>
      </c>
      <c r="N46" s="77" t="s">
        <v>334</v>
      </c>
      <c r="O46" s="81">
        <v>-7</v>
      </c>
      <c r="P46" s="92" t="str">
        <f>IF(O46="","",IF(O46=O47,"R",""))</f>
        <v/>
      </c>
      <c r="Q46" s="89">
        <f>INDEX(Results!T:T,MATCH(N46,Results!V:V,0))</f>
        <v>-7</v>
      </c>
      <c r="R46" s="66"/>
      <c r="S46" s="69"/>
      <c r="T46" s="79"/>
      <c r="U46" s="81"/>
      <c r="V46" s="92" t="str">
        <f>IF(U46="","",IF(U46=U47,"R",""))</f>
        <v/>
      </c>
      <c r="W46" s="89" t="e">
        <f>INDEX(Results!T:T,MATCH(T46,Results!V:V,0))</f>
        <v>#N/A</v>
      </c>
      <c r="X46" s="66"/>
      <c r="Y46" s="76"/>
      <c r="Z46" s="79" t="str">
        <f>IF(AA16=AA17,"Await earlier tie",IF(AA16&lt;AA17,Z17,Z16))</f>
        <v>Graham Miller</v>
      </c>
      <c r="AA46" s="107">
        <v>-7</v>
      </c>
      <c r="AB46" s="70"/>
      <c r="AC46" s="89">
        <f>INDEX(Results!T:T,MATCH(Z46,Results!V:V,0))</f>
        <v>-2.5999999999999996</v>
      </c>
      <c r="AD46" s="86"/>
      <c r="AE46" s="86"/>
      <c r="AF46" s="86"/>
      <c r="AG46" s="86"/>
      <c r="AH46" s="86"/>
      <c r="AI46" s="86"/>
      <c r="AJ46" s="86"/>
      <c r="AK46" s="86"/>
      <c r="AL46" s="86"/>
      <c r="AM46" s="86"/>
      <c r="AN46" s="86"/>
      <c r="AO46" s="86"/>
      <c r="AP46" s="86"/>
      <c r="AQ46" s="86"/>
    </row>
    <row r="47" spans="1:43" x14ac:dyDescent="0.25">
      <c r="A47" s="86"/>
      <c r="B47" s="86"/>
      <c r="C47" s="86"/>
      <c r="D47" s="74">
        <v>46</v>
      </c>
      <c r="E47" s="75" t="s">
        <v>334</v>
      </c>
      <c r="F47" s="66"/>
      <c r="G47" s="94"/>
      <c r="H47" s="80"/>
      <c r="I47" s="81"/>
      <c r="J47" s="83"/>
      <c r="K47" s="85" t="e">
        <f>INDEX(Results!T:T,MATCH(H47,Results!V:V,0))</f>
        <v>#N/A</v>
      </c>
      <c r="L47" s="66"/>
      <c r="M47" s="94"/>
      <c r="N47" s="77" t="s">
        <v>359</v>
      </c>
      <c r="O47" s="81">
        <v>4.2550000000000008</v>
      </c>
      <c r="P47" s="70"/>
      <c r="Q47" s="89">
        <f>INDEX(Results!T:T,MATCH(N47,Results!V:V,0))</f>
        <v>23.32</v>
      </c>
      <c r="R47" s="66"/>
      <c r="S47" s="72"/>
      <c r="T47" s="79"/>
      <c r="U47" s="81"/>
      <c r="V47" s="73"/>
      <c r="W47" s="89" t="e">
        <f>INDEX(Results!T:T,MATCH(T47,Results!V:V,0))</f>
        <v>#N/A</v>
      </c>
      <c r="X47" s="66"/>
      <c r="Y47" s="86"/>
      <c r="Z47" s="86"/>
      <c r="AA47" s="99"/>
      <c r="AB47" s="86"/>
      <c r="AC47" s="91"/>
      <c r="AD47" s="86"/>
      <c r="AE47" s="86"/>
      <c r="AF47" s="86"/>
      <c r="AG47" s="86"/>
      <c r="AH47" s="86"/>
      <c r="AI47" s="86"/>
      <c r="AJ47" s="86"/>
      <c r="AK47" s="86"/>
      <c r="AL47" s="86"/>
      <c r="AM47" s="86"/>
      <c r="AN47" s="86"/>
      <c r="AO47" s="86"/>
      <c r="AP47" s="86"/>
      <c r="AQ47" s="86"/>
    </row>
    <row r="48" spans="1:43" x14ac:dyDescent="0.25">
      <c r="A48" s="86"/>
      <c r="B48" s="86"/>
      <c r="C48" s="86"/>
      <c r="D48" s="74">
        <v>47</v>
      </c>
      <c r="E48" s="75" t="s">
        <v>359</v>
      </c>
      <c r="F48" s="66"/>
      <c r="G48" s="95">
        <v>24</v>
      </c>
      <c r="H48" s="80"/>
      <c r="I48" s="81"/>
      <c r="J48" s="82" t="str">
        <f t="shared" si="0"/>
        <v/>
      </c>
      <c r="K48" s="85" t="e">
        <f>INDEX(Results!T:T,MATCH(H48,Results!V:V,0))</f>
        <v>#N/A</v>
      </c>
      <c r="L48" s="66"/>
      <c r="M48" s="95">
        <v>24</v>
      </c>
      <c r="N48" s="77" t="s">
        <v>452</v>
      </c>
      <c r="O48" s="81">
        <v>-4.95</v>
      </c>
      <c r="P48" s="92" t="str">
        <f>IF(O48="","",IF(O48=O49,"R",""))</f>
        <v/>
      </c>
      <c r="Q48" s="89">
        <f>INDEX(Results!T:T,MATCH(N48,Results!V:V,0))</f>
        <v>1.25</v>
      </c>
      <c r="R48" s="66"/>
      <c r="S48" s="69"/>
      <c r="T48" s="71"/>
      <c r="U48" s="81"/>
      <c r="V48" s="92" t="str">
        <f>IF(U48="","",IF(U48=U49,"R",""))</f>
        <v/>
      </c>
      <c r="W48" s="89" t="e">
        <f>INDEX(Results!T:T,MATCH(T48,Results!V:V,0))</f>
        <v>#N/A</v>
      </c>
      <c r="X48" s="66"/>
      <c r="Y48" s="86"/>
      <c r="Z48" s="86"/>
      <c r="AA48" s="99"/>
      <c r="AB48" s="86"/>
      <c r="AC48" s="91"/>
      <c r="AD48" s="86"/>
      <c r="AE48" s="86"/>
      <c r="AF48" s="86"/>
      <c r="AG48" s="86"/>
      <c r="AH48" s="86"/>
      <c r="AI48" s="86"/>
      <c r="AJ48" s="86"/>
      <c r="AK48" s="86"/>
      <c r="AL48" s="86"/>
      <c r="AM48" s="86"/>
      <c r="AN48" s="86"/>
      <c r="AO48" s="86"/>
      <c r="AP48" s="86"/>
      <c r="AQ48" s="86"/>
    </row>
    <row r="49" spans="1:43" x14ac:dyDescent="0.25">
      <c r="A49" s="86"/>
      <c r="B49" s="86"/>
      <c r="C49" s="86"/>
      <c r="D49" s="74">
        <v>48</v>
      </c>
      <c r="E49" s="75" t="s">
        <v>452</v>
      </c>
      <c r="F49" s="66"/>
      <c r="G49" s="94"/>
      <c r="H49" s="80"/>
      <c r="I49" s="81"/>
      <c r="J49" s="83"/>
      <c r="K49" s="85" t="e">
        <f>INDEX(Results!T:T,MATCH(H49,Results!V:V,0))</f>
        <v>#N/A</v>
      </c>
      <c r="L49" s="66"/>
      <c r="M49" s="94"/>
      <c r="N49" s="77" t="s">
        <v>340</v>
      </c>
      <c r="O49" s="81">
        <v>-7</v>
      </c>
      <c r="P49" s="70"/>
      <c r="Q49" s="89">
        <f>INDEX(Results!T:T,MATCH(N49,Results!V:V,0))</f>
        <v>-7</v>
      </c>
      <c r="R49" s="66"/>
      <c r="S49" s="72"/>
      <c r="T49" s="71"/>
      <c r="U49" s="81"/>
      <c r="V49" s="73"/>
      <c r="W49" s="89" t="e">
        <f>INDEX(Results!T:T,MATCH(T49,Results!V:V,0))</f>
        <v>#N/A</v>
      </c>
      <c r="X49" s="66"/>
      <c r="Y49" s="66" t="s">
        <v>158</v>
      </c>
      <c r="Z49" s="66"/>
      <c r="AA49" s="98"/>
      <c r="AB49" s="66"/>
      <c r="AC49" s="91"/>
      <c r="AD49" s="86"/>
      <c r="AE49" s="86"/>
      <c r="AF49" s="86"/>
      <c r="AG49" s="86"/>
      <c r="AH49" s="86"/>
      <c r="AI49" s="86"/>
      <c r="AJ49" s="86"/>
      <c r="AK49" s="86"/>
      <c r="AL49" s="86"/>
      <c r="AM49" s="86"/>
      <c r="AN49" s="86"/>
      <c r="AO49" s="86"/>
      <c r="AP49" s="86"/>
      <c r="AQ49" s="86"/>
    </row>
    <row r="50" spans="1:43" x14ac:dyDescent="0.25">
      <c r="A50" s="86"/>
      <c r="B50" s="86"/>
      <c r="C50" s="86"/>
      <c r="D50" s="74">
        <v>49</v>
      </c>
      <c r="E50" s="75" t="s">
        <v>340</v>
      </c>
      <c r="F50" s="66"/>
      <c r="G50" s="95">
        <v>25</v>
      </c>
      <c r="H50" s="80"/>
      <c r="I50" s="81"/>
      <c r="J50" s="82" t="str">
        <f t="shared" si="0"/>
        <v/>
      </c>
      <c r="K50" s="85" t="e">
        <f>INDEX(Results!T:T,MATCH(H50,Results!V:V,0))</f>
        <v>#N/A</v>
      </c>
      <c r="L50" s="66"/>
      <c r="M50" s="95">
        <v>25</v>
      </c>
      <c r="N50" s="77" t="s">
        <v>351</v>
      </c>
      <c r="O50" s="81">
        <v>-1.6068376068376065</v>
      </c>
      <c r="P50" s="92" t="str">
        <f>IF(O50="","",IF(O50=O51,"R",""))</f>
        <v/>
      </c>
      <c r="Q50" s="89">
        <f>INDEX(Results!T:T,MATCH(N50,Results!V:V,0))</f>
        <v>-5.1538461538461533</v>
      </c>
      <c r="R50" s="86"/>
      <c r="S50" s="69"/>
      <c r="T50" s="71"/>
      <c r="U50" s="81"/>
      <c r="V50" s="92" t="str">
        <f>IF(U50="","",IF(U50=U51,"R",""))</f>
        <v/>
      </c>
      <c r="W50" s="89" t="e">
        <f>INDEX(Results!T:T,MATCH(T50,Results!V:V,0))</f>
        <v>#N/A</v>
      </c>
      <c r="X50" s="86"/>
      <c r="Y50" s="69"/>
      <c r="Z50" s="79"/>
      <c r="AA50" s="81"/>
      <c r="AB50" s="92" t="str">
        <f>IF(AA50="","",IF(AA50=AA51,"R",""))</f>
        <v/>
      </c>
      <c r="AD50" s="86"/>
      <c r="AE50" s="86"/>
      <c r="AF50" s="86"/>
      <c r="AG50" s="86"/>
      <c r="AH50" s="86"/>
      <c r="AI50" s="86"/>
      <c r="AJ50" s="86"/>
      <c r="AK50" s="86"/>
      <c r="AL50" s="86"/>
      <c r="AM50" s="86"/>
      <c r="AN50" s="86"/>
      <c r="AO50" s="86"/>
      <c r="AP50" s="86"/>
      <c r="AQ50" s="86"/>
    </row>
    <row r="51" spans="1:43" x14ac:dyDescent="0.25">
      <c r="A51" s="86"/>
      <c r="B51" s="86"/>
      <c r="C51" s="86"/>
      <c r="D51" s="74">
        <v>50</v>
      </c>
      <c r="E51" s="75" t="s">
        <v>351</v>
      </c>
      <c r="F51" s="66"/>
      <c r="G51" s="94"/>
      <c r="H51" s="80"/>
      <c r="I51" s="81"/>
      <c r="J51" s="83"/>
      <c r="K51" s="85" t="e">
        <f>INDEX(Results!T:T,MATCH(H51,Results!V:V,0))</f>
        <v>#N/A</v>
      </c>
      <c r="L51" s="66"/>
      <c r="M51" s="94"/>
      <c r="N51" s="77" t="s">
        <v>329</v>
      </c>
      <c r="O51" s="81">
        <v>-3</v>
      </c>
      <c r="P51" s="70"/>
      <c r="Q51" s="89" t="e">
        <f>INDEX(Results!T:T,MATCH(N51,Results!V:V,0))</f>
        <v>#VALUE!</v>
      </c>
      <c r="R51" s="86"/>
      <c r="S51" s="72"/>
      <c r="T51" s="71"/>
      <c r="U51" s="81"/>
      <c r="V51" s="73"/>
      <c r="W51" s="89" t="e">
        <f>INDEX(Results!T:T,MATCH(T51,Results!V:V,0))</f>
        <v>#N/A</v>
      </c>
      <c r="X51" s="86"/>
      <c r="Y51" s="72"/>
      <c r="Z51" s="79"/>
      <c r="AA51" s="81"/>
      <c r="AB51" s="73"/>
      <c r="AC51" s="91"/>
      <c r="AD51" s="86"/>
      <c r="AE51" s="86"/>
      <c r="AF51" s="86"/>
      <c r="AG51" s="86"/>
      <c r="AH51" s="86"/>
      <c r="AI51" s="86"/>
      <c r="AJ51" s="86"/>
      <c r="AK51" s="86"/>
      <c r="AL51" s="86"/>
      <c r="AM51" s="86"/>
      <c r="AN51" s="86"/>
      <c r="AO51" s="86"/>
      <c r="AP51" s="86"/>
      <c r="AQ51" s="86"/>
    </row>
    <row r="52" spans="1:43" x14ac:dyDescent="0.25">
      <c r="A52" s="86"/>
      <c r="B52" s="86"/>
      <c r="C52" s="86"/>
      <c r="D52" s="74">
        <v>51</v>
      </c>
      <c r="E52" s="75" t="s">
        <v>329</v>
      </c>
      <c r="F52" s="66"/>
      <c r="G52" s="95">
        <v>26</v>
      </c>
      <c r="H52" s="80"/>
      <c r="I52" s="81"/>
      <c r="J52" s="82" t="str">
        <f t="shared" si="0"/>
        <v/>
      </c>
      <c r="K52" s="85" t="e">
        <f>INDEX(Results!T:T,MATCH(H52,Results!V:V,0))</f>
        <v>#N/A</v>
      </c>
      <c r="L52" s="66"/>
      <c r="M52" s="95">
        <v>26</v>
      </c>
      <c r="N52" s="77" t="s">
        <v>464</v>
      </c>
      <c r="O52" s="81">
        <v>-10</v>
      </c>
      <c r="P52" s="92" t="str">
        <f>IF(O52="","",IF(O52=O53,"R",""))</f>
        <v/>
      </c>
      <c r="Q52" s="89">
        <f>INDEX(Results!T:T,MATCH(N52,Results!V:V,0))</f>
        <v>-7</v>
      </c>
      <c r="R52" s="86"/>
      <c r="S52" s="69"/>
      <c r="T52" s="71"/>
      <c r="U52" s="81"/>
      <c r="V52" s="82" t="str">
        <f>IF(U52="","",IF(U52=U53,"R",""))</f>
        <v/>
      </c>
      <c r="W52" s="89" t="e">
        <f>INDEX(Results!T:T,MATCH(T52,Results!V:V,0))</f>
        <v>#N/A</v>
      </c>
      <c r="X52" s="86"/>
      <c r="Y52" s="69"/>
      <c r="Z52" s="71"/>
      <c r="AA52" s="81"/>
      <c r="AB52" s="92" t="str">
        <f>IF(AA52="","",IF(AA52=AA53,"R",""))</f>
        <v/>
      </c>
      <c r="AC52" s="91"/>
      <c r="AD52" s="86"/>
      <c r="AE52" s="86"/>
      <c r="AF52" s="86"/>
      <c r="AG52" s="86"/>
      <c r="AH52" s="86"/>
      <c r="AI52" s="86"/>
      <c r="AJ52" s="86"/>
      <c r="AK52" s="86"/>
      <c r="AL52" s="86"/>
      <c r="AM52" s="86"/>
      <c r="AN52" s="86"/>
      <c r="AO52" s="86"/>
      <c r="AP52" s="86"/>
      <c r="AQ52" s="86"/>
    </row>
    <row r="53" spans="1:43" x14ac:dyDescent="0.25">
      <c r="A53" s="86"/>
      <c r="B53" s="86"/>
      <c r="C53" s="86"/>
      <c r="D53" s="74">
        <v>52</v>
      </c>
      <c r="E53" s="75" t="s">
        <v>464</v>
      </c>
      <c r="F53" s="66"/>
      <c r="G53" s="94"/>
      <c r="H53" s="80"/>
      <c r="I53" s="81"/>
      <c r="J53" s="83"/>
      <c r="K53" s="85" t="e">
        <f>INDEX(Results!T:T,MATCH(H53,Results!V:V,0))</f>
        <v>#N/A</v>
      </c>
      <c r="L53" s="66"/>
      <c r="M53" s="94"/>
      <c r="N53" s="77" t="s">
        <v>455</v>
      </c>
      <c r="O53" s="81">
        <v>-5.8571428571428577</v>
      </c>
      <c r="P53" s="70"/>
      <c r="Q53" s="89">
        <f>INDEX(Results!T:T,MATCH(N53,Results!V:V,0))</f>
        <v>-0.125</v>
      </c>
      <c r="R53" s="86"/>
      <c r="S53" s="76"/>
      <c r="T53" s="71"/>
      <c r="U53" s="81"/>
      <c r="V53" s="70"/>
      <c r="W53" s="89" t="e">
        <f>INDEX(Results!T:T,MATCH(T53,Results!V:V,0))</f>
        <v>#N/A</v>
      </c>
      <c r="X53" s="86"/>
      <c r="Y53" s="76"/>
      <c r="Z53" s="71"/>
      <c r="AA53" s="81"/>
      <c r="AB53" s="70"/>
      <c r="AC53" s="91"/>
      <c r="AD53" s="86"/>
      <c r="AE53" s="86"/>
      <c r="AF53" s="86"/>
      <c r="AG53" s="86"/>
      <c r="AH53" s="86"/>
      <c r="AI53" s="86"/>
      <c r="AJ53" s="86"/>
      <c r="AK53" s="86"/>
      <c r="AL53" s="86"/>
      <c r="AM53" s="86"/>
      <c r="AN53" s="86"/>
      <c r="AO53" s="86"/>
      <c r="AP53" s="86"/>
      <c r="AQ53" s="86"/>
    </row>
    <row r="54" spans="1:43" x14ac:dyDescent="0.25">
      <c r="A54" s="86"/>
      <c r="B54" s="86"/>
      <c r="C54" s="86"/>
      <c r="D54" s="74">
        <v>53</v>
      </c>
      <c r="E54" s="75" t="s">
        <v>455</v>
      </c>
      <c r="F54" s="66"/>
      <c r="G54" s="95">
        <v>27</v>
      </c>
      <c r="H54" s="80"/>
      <c r="I54" s="81"/>
      <c r="J54" s="82" t="str">
        <f t="shared" si="0"/>
        <v/>
      </c>
      <c r="K54" s="85" t="e">
        <f>INDEX(Results!T:T,MATCH(H54,Results!V:V,0))</f>
        <v>#N/A</v>
      </c>
      <c r="L54" s="66"/>
      <c r="M54" s="95">
        <v>27</v>
      </c>
      <c r="N54" s="77" t="s">
        <v>353</v>
      </c>
      <c r="O54" s="81">
        <v>-3</v>
      </c>
      <c r="P54" s="92" t="str">
        <f>IF(O54="","",IF(O54=O55,"R",""))</f>
        <v/>
      </c>
      <c r="Q54" s="89">
        <f>INDEX(Results!T:T,MATCH(N54,Results!V:V,0))</f>
        <v>-7</v>
      </c>
      <c r="R54" s="86"/>
      <c r="S54" s="86"/>
      <c r="T54" s="86"/>
      <c r="U54" s="86"/>
      <c r="V54" s="86"/>
      <c r="W54" s="90"/>
      <c r="X54" s="86"/>
      <c r="Y54" s="69"/>
      <c r="Z54" s="79"/>
      <c r="AA54" s="81"/>
      <c r="AB54" s="92" t="str">
        <f>IF(AA54="","",IF(AA54=AA55,"R",""))</f>
        <v/>
      </c>
      <c r="AC54" s="91"/>
      <c r="AD54" s="86"/>
      <c r="AE54" s="86"/>
      <c r="AF54" s="86"/>
      <c r="AG54" s="86"/>
      <c r="AH54" s="86"/>
      <c r="AI54" s="86"/>
      <c r="AJ54" s="86"/>
      <c r="AK54" s="86"/>
      <c r="AL54" s="86"/>
      <c r="AM54" s="86"/>
      <c r="AN54" s="86"/>
      <c r="AO54" s="86"/>
      <c r="AP54" s="86"/>
      <c r="AQ54" s="86"/>
    </row>
    <row r="55" spans="1:43" x14ac:dyDescent="0.25">
      <c r="A55" s="86"/>
      <c r="B55" s="86"/>
      <c r="C55" s="86"/>
      <c r="D55" s="74">
        <v>54</v>
      </c>
      <c r="E55" s="75" t="s">
        <v>353</v>
      </c>
      <c r="F55" s="66"/>
      <c r="G55" s="94"/>
      <c r="H55" s="80"/>
      <c r="I55" s="81"/>
      <c r="J55" s="83"/>
      <c r="K55" s="85" t="e">
        <f>INDEX(Results!T:T,MATCH(H55,Results!V:V,0))</f>
        <v>#N/A</v>
      </c>
      <c r="L55" s="66"/>
      <c r="M55" s="94"/>
      <c r="N55" s="77" t="s">
        <v>356</v>
      </c>
      <c r="O55" s="81">
        <v>2.4727272727272727</v>
      </c>
      <c r="P55" s="70"/>
      <c r="Q55" s="89">
        <f>INDEX(Results!T:T,MATCH(N55,Results!V:V,0))</f>
        <v>-4.8499999999999996</v>
      </c>
      <c r="R55" s="86"/>
      <c r="S55" s="86"/>
      <c r="T55" s="86"/>
      <c r="U55" s="86"/>
      <c r="V55" s="86"/>
      <c r="W55" s="90"/>
      <c r="X55" s="86"/>
      <c r="Y55" s="72"/>
      <c r="Z55" s="79"/>
      <c r="AA55" s="81"/>
      <c r="AB55" s="73"/>
      <c r="AC55" s="91"/>
      <c r="AD55" s="86"/>
      <c r="AE55" s="86"/>
      <c r="AF55" s="86"/>
      <c r="AG55" s="86"/>
      <c r="AH55" s="86"/>
      <c r="AI55" s="86"/>
      <c r="AJ55" s="86"/>
      <c r="AK55" s="86"/>
      <c r="AL55" s="86"/>
      <c r="AM55" s="86"/>
      <c r="AN55" s="86"/>
      <c r="AO55" s="86"/>
      <c r="AP55" s="86"/>
      <c r="AQ55" s="86"/>
    </row>
    <row r="56" spans="1:43" x14ac:dyDescent="0.25">
      <c r="A56" s="86"/>
      <c r="B56" s="86"/>
      <c r="C56" s="86"/>
      <c r="D56" s="74">
        <v>55</v>
      </c>
      <c r="E56" s="75" t="s">
        <v>356</v>
      </c>
      <c r="F56" s="66"/>
      <c r="G56" s="95">
        <v>28</v>
      </c>
      <c r="H56" s="80"/>
      <c r="I56" s="81"/>
      <c r="J56" s="82" t="str">
        <f t="shared" si="0"/>
        <v/>
      </c>
      <c r="K56" s="85" t="e">
        <f>INDEX(Results!T:T,MATCH(H56,Results!V:V,0))</f>
        <v>#N/A</v>
      </c>
      <c r="L56" s="66"/>
      <c r="M56" s="95">
        <v>28</v>
      </c>
      <c r="N56" s="77" t="s">
        <v>328</v>
      </c>
      <c r="O56" s="81">
        <v>-3.8</v>
      </c>
      <c r="P56" s="92" t="str">
        <f>IF(O56="","",IF(O56=O57,"R",""))</f>
        <v/>
      </c>
      <c r="Q56" s="89" t="e">
        <f>INDEX(Results!T:T,MATCH(N56,Results!V:V,0))</f>
        <v>#VALUE!</v>
      </c>
      <c r="R56" s="86"/>
      <c r="S56" s="86"/>
      <c r="T56" s="86"/>
      <c r="U56" s="86"/>
      <c r="V56" s="86"/>
      <c r="W56" s="90"/>
      <c r="X56" s="86"/>
      <c r="Y56" s="69"/>
      <c r="Z56" s="71"/>
      <c r="AA56" s="81"/>
      <c r="AB56" s="92" t="str">
        <f>IF(AA56="","",IF(AA56=AA57,"R",""))</f>
        <v/>
      </c>
      <c r="AC56" s="91"/>
      <c r="AD56" s="86"/>
      <c r="AE56" s="86"/>
      <c r="AF56" s="86"/>
      <c r="AG56" s="86"/>
      <c r="AH56" s="86"/>
      <c r="AI56" s="86"/>
      <c r="AJ56" s="86"/>
      <c r="AK56" s="86"/>
      <c r="AL56" s="86"/>
      <c r="AM56" s="86"/>
      <c r="AN56" s="86"/>
      <c r="AO56" s="86"/>
      <c r="AP56" s="86"/>
      <c r="AQ56" s="86"/>
    </row>
    <row r="57" spans="1:43" x14ac:dyDescent="0.25">
      <c r="A57" s="86"/>
      <c r="B57" s="86"/>
      <c r="C57" s="86"/>
      <c r="D57" s="74">
        <v>56</v>
      </c>
      <c r="E57" s="75" t="s">
        <v>328</v>
      </c>
      <c r="F57" s="66"/>
      <c r="G57" s="94"/>
      <c r="H57" s="80"/>
      <c r="I57" s="81"/>
      <c r="J57" s="83"/>
      <c r="K57" s="85" t="e">
        <f>INDEX(Results!T:T,MATCH(H57,Results!V:V,0))</f>
        <v>#N/A</v>
      </c>
      <c r="L57" s="66"/>
      <c r="M57" s="94"/>
      <c r="N57" s="77" t="s">
        <v>344</v>
      </c>
      <c r="O57" s="81">
        <v>-4.625</v>
      </c>
      <c r="P57" s="70"/>
      <c r="Q57" s="89">
        <f>INDEX(Results!T:T,MATCH(N57,Results!V:V,0))</f>
        <v>-7</v>
      </c>
      <c r="R57" s="86"/>
      <c r="S57" s="86"/>
      <c r="T57" s="86"/>
      <c r="U57" s="86"/>
      <c r="V57" s="86"/>
      <c r="W57" s="90"/>
      <c r="X57" s="86"/>
      <c r="Y57" s="76"/>
      <c r="Z57" s="71"/>
      <c r="AA57" s="81"/>
      <c r="AB57" s="70"/>
      <c r="AC57" s="91"/>
      <c r="AD57" s="86"/>
      <c r="AE57" s="86"/>
      <c r="AF57" s="86"/>
      <c r="AG57" s="86"/>
      <c r="AH57" s="86"/>
      <c r="AI57" s="86"/>
      <c r="AJ57" s="86"/>
      <c r="AK57" s="86"/>
      <c r="AL57" s="86"/>
      <c r="AM57" s="86"/>
      <c r="AN57" s="86"/>
      <c r="AO57" s="86"/>
      <c r="AP57" s="86"/>
      <c r="AQ57" s="86"/>
    </row>
    <row r="58" spans="1:43" x14ac:dyDescent="0.25">
      <c r="A58" s="86"/>
      <c r="B58" s="86"/>
      <c r="C58" s="86"/>
      <c r="D58" s="74">
        <v>57</v>
      </c>
      <c r="E58" s="75" t="s">
        <v>344</v>
      </c>
      <c r="F58" s="66"/>
      <c r="G58" s="95">
        <v>29</v>
      </c>
      <c r="H58" s="80"/>
      <c r="I58" s="81"/>
      <c r="J58" s="82" t="str">
        <f t="shared" si="0"/>
        <v/>
      </c>
      <c r="K58" s="85" t="e">
        <f>INDEX(Results!T:T,MATCH(H58,Results!V:V,0))</f>
        <v>#N/A</v>
      </c>
      <c r="L58" s="66"/>
      <c r="M58" s="95">
        <v>29</v>
      </c>
      <c r="N58" s="77" t="s">
        <v>337</v>
      </c>
      <c r="O58" s="81">
        <v>-4.7</v>
      </c>
      <c r="P58" s="92" t="str">
        <f>IF(O58="","",IF(O58=O59,"R",""))</f>
        <v/>
      </c>
      <c r="Q58" s="89">
        <f>INDEX(Results!T:T,MATCH(N58,Results!V:V,0))</f>
        <v>11.8</v>
      </c>
      <c r="R58" s="86"/>
      <c r="S58" s="86"/>
      <c r="T58" s="86"/>
      <c r="U58" s="86"/>
      <c r="V58" s="86"/>
      <c r="W58" s="90"/>
      <c r="X58" s="86"/>
      <c r="Y58" s="66"/>
      <c r="Z58" s="66"/>
      <c r="AA58" s="66"/>
      <c r="AB58" s="66"/>
      <c r="AC58" s="91"/>
      <c r="AD58" s="86"/>
      <c r="AE58" s="86"/>
      <c r="AF58" s="86"/>
      <c r="AG58" s="86"/>
      <c r="AH58" s="86"/>
      <c r="AI58" s="86"/>
      <c r="AJ58" s="86"/>
      <c r="AK58" s="86"/>
      <c r="AL58" s="86"/>
      <c r="AM58" s="86"/>
      <c r="AN58" s="86"/>
      <c r="AO58" s="86"/>
      <c r="AP58" s="86"/>
      <c r="AQ58" s="86"/>
    </row>
    <row r="59" spans="1:43" x14ac:dyDescent="0.25">
      <c r="A59" s="86"/>
      <c r="B59" s="86"/>
      <c r="C59" s="86"/>
      <c r="D59" s="74">
        <v>58</v>
      </c>
      <c r="E59" s="75" t="s">
        <v>337</v>
      </c>
      <c r="F59" s="66"/>
      <c r="G59" s="94"/>
      <c r="H59" s="80"/>
      <c r="I59" s="81"/>
      <c r="J59" s="83"/>
      <c r="K59" s="85" t="e">
        <f>INDEX(Results!T:T,MATCH(H59,Results!V:V,0))</f>
        <v>#N/A</v>
      </c>
      <c r="L59" s="66"/>
      <c r="M59" s="94"/>
      <c r="N59" s="77" t="s">
        <v>360</v>
      </c>
      <c r="O59" s="81">
        <v>-4.3</v>
      </c>
      <c r="P59" s="70"/>
      <c r="Q59" s="89">
        <f>INDEX(Results!T:T,MATCH(N59,Results!V:V,0))</f>
        <v>-4</v>
      </c>
      <c r="R59" s="86"/>
      <c r="S59" s="86"/>
      <c r="T59" s="86"/>
      <c r="U59" s="86"/>
      <c r="V59" s="86"/>
      <c r="W59" s="90"/>
      <c r="X59" s="86"/>
      <c r="Y59" s="66"/>
      <c r="Z59" s="66"/>
      <c r="AA59" s="66"/>
      <c r="AB59" s="66"/>
      <c r="AC59" s="91"/>
      <c r="AD59" s="86"/>
      <c r="AE59" s="86"/>
      <c r="AF59" s="86"/>
      <c r="AG59" s="86"/>
      <c r="AH59" s="86"/>
      <c r="AI59" s="86"/>
      <c r="AJ59" s="86"/>
      <c r="AK59" s="86"/>
      <c r="AL59" s="86"/>
      <c r="AM59" s="86"/>
      <c r="AN59" s="86"/>
      <c r="AO59" s="86"/>
      <c r="AP59" s="86"/>
      <c r="AQ59" s="86"/>
    </row>
    <row r="60" spans="1:43" x14ac:dyDescent="0.25">
      <c r="A60" s="86"/>
      <c r="B60" s="86"/>
      <c r="C60" s="86"/>
      <c r="D60" s="74">
        <v>59</v>
      </c>
      <c r="E60" s="75" t="s">
        <v>360</v>
      </c>
      <c r="F60" s="66"/>
      <c r="G60" s="95">
        <v>30</v>
      </c>
      <c r="H60" s="80"/>
      <c r="I60" s="81"/>
      <c r="J60" s="82" t="str">
        <f t="shared" si="0"/>
        <v/>
      </c>
      <c r="K60" s="85" t="e">
        <f>INDEX(Results!T:T,MATCH(H60,Results!V:V,0))</f>
        <v>#N/A</v>
      </c>
      <c r="L60" s="66"/>
      <c r="M60" s="95">
        <v>30</v>
      </c>
      <c r="N60" s="77" t="s">
        <v>347</v>
      </c>
      <c r="O60" s="81">
        <v>-7</v>
      </c>
      <c r="P60" s="92" t="str">
        <f>IF(O60="","",IF(O60=O61,"R",""))</f>
        <v/>
      </c>
      <c r="Q60" s="89">
        <f>INDEX(Results!T:T,MATCH(N60,Results!V:V,0))</f>
        <v>11.440000000000001</v>
      </c>
      <c r="R60" s="86"/>
      <c r="S60" s="86"/>
      <c r="T60" s="86"/>
      <c r="U60" s="86"/>
      <c r="V60" s="86"/>
      <c r="W60" s="90"/>
      <c r="X60" s="86"/>
      <c r="Y60" s="66"/>
      <c r="Z60" s="66"/>
      <c r="AA60" s="66"/>
      <c r="AB60" s="66"/>
      <c r="AC60" s="91"/>
      <c r="AD60" s="86"/>
      <c r="AE60" s="86"/>
      <c r="AF60" s="86"/>
      <c r="AG60" s="86"/>
      <c r="AH60" s="86"/>
      <c r="AI60" s="86"/>
      <c r="AJ60" s="86"/>
      <c r="AK60" s="86"/>
      <c r="AL60" s="86"/>
      <c r="AM60" s="86"/>
      <c r="AN60" s="86"/>
      <c r="AO60" s="86"/>
      <c r="AP60" s="86"/>
      <c r="AQ60" s="86"/>
    </row>
    <row r="61" spans="1:43" x14ac:dyDescent="0.25">
      <c r="A61" s="86"/>
      <c r="B61" s="86"/>
      <c r="C61" s="86"/>
      <c r="D61" s="74">
        <v>60</v>
      </c>
      <c r="E61" s="75" t="s">
        <v>347</v>
      </c>
      <c r="F61" s="66"/>
      <c r="G61" s="94"/>
      <c r="H61" s="80"/>
      <c r="I61" s="81"/>
      <c r="J61" s="83"/>
      <c r="K61" s="85" t="e">
        <f>INDEX(Results!T:T,MATCH(H61,Results!V:V,0))</f>
        <v>#N/A</v>
      </c>
      <c r="L61" s="66"/>
      <c r="M61" s="94"/>
      <c r="N61" s="77" t="s">
        <v>335</v>
      </c>
      <c r="O61" s="81">
        <v>-1.4449999999999994</v>
      </c>
      <c r="P61" s="70"/>
      <c r="Q61" s="89">
        <f>INDEX(Results!T:T,MATCH(N61,Results!V:V,0))</f>
        <v>-2.5999999999999996</v>
      </c>
      <c r="R61" s="86"/>
      <c r="S61" s="86"/>
      <c r="T61" s="86"/>
      <c r="U61" s="86"/>
      <c r="V61" s="86"/>
      <c r="W61" s="90"/>
      <c r="X61" s="86"/>
      <c r="Y61" s="66"/>
      <c r="Z61" s="66"/>
      <c r="AA61" s="66"/>
      <c r="AB61" s="66"/>
      <c r="AC61" s="91"/>
      <c r="AD61" s="86"/>
      <c r="AE61" s="86"/>
      <c r="AF61" s="86"/>
      <c r="AG61" s="86"/>
      <c r="AH61" s="86"/>
      <c r="AI61" s="86"/>
      <c r="AJ61" s="86"/>
      <c r="AK61" s="86"/>
      <c r="AL61" s="86"/>
      <c r="AM61" s="86"/>
      <c r="AN61" s="86"/>
      <c r="AO61" s="86"/>
      <c r="AP61" s="86"/>
      <c r="AQ61" s="86"/>
    </row>
    <row r="62" spans="1:43" x14ac:dyDescent="0.25">
      <c r="A62" s="86"/>
      <c r="B62" s="86"/>
      <c r="C62" s="86"/>
      <c r="D62" s="74">
        <v>61</v>
      </c>
      <c r="E62" s="75" t="s">
        <v>335</v>
      </c>
      <c r="F62" s="66"/>
      <c r="G62" s="95">
        <v>31</v>
      </c>
      <c r="H62" s="80"/>
      <c r="I62" s="81"/>
      <c r="J62" s="82" t="str">
        <f t="shared" si="0"/>
        <v/>
      </c>
      <c r="K62" s="85" t="e">
        <f>INDEX(Results!T:T,MATCH(H62,Results!V:V,0))</f>
        <v>#N/A</v>
      </c>
      <c r="L62" s="66"/>
      <c r="M62" s="95">
        <v>31</v>
      </c>
      <c r="N62" s="77" t="s">
        <v>363</v>
      </c>
      <c r="O62" s="81">
        <v>-3.8</v>
      </c>
      <c r="P62" s="92" t="str">
        <f>IF(O62="","",IF(O62=O63,"R",""))</f>
        <v/>
      </c>
      <c r="Q62" s="89">
        <f>INDEX(Results!T:T,MATCH(N62,Results!V:V,0))</f>
        <v>30.272500000000001</v>
      </c>
      <c r="R62" s="86"/>
      <c r="S62" s="86"/>
      <c r="T62" s="86"/>
      <c r="U62" s="86"/>
      <c r="V62" s="86"/>
      <c r="W62" s="90"/>
      <c r="X62" s="86"/>
      <c r="Y62" s="66"/>
      <c r="Z62" s="66"/>
      <c r="AA62" s="66"/>
      <c r="AB62" s="66"/>
      <c r="AC62" s="91"/>
      <c r="AD62" s="86"/>
      <c r="AE62" s="86"/>
      <c r="AF62" s="86"/>
      <c r="AG62" s="86"/>
      <c r="AH62" s="86"/>
      <c r="AI62" s="86"/>
      <c r="AJ62" s="86"/>
      <c r="AK62" s="86"/>
      <c r="AL62" s="86"/>
      <c r="AM62" s="86"/>
      <c r="AN62" s="86"/>
      <c r="AO62" s="86"/>
      <c r="AP62" s="86"/>
      <c r="AQ62" s="86"/>
    </row>
    <row r="63" spans="1:43" x14ac:dyDescent="0.25">
      <c r="A63" s="86"/>
      <c r="B63" s="86"/>
      <c r="C63" s="86"/>
      <c r="D63" s="74">
        <v>62</v>
      </c>
      <c r="E63" s="75" t="s">
        <v>363</v>
      </c>
      <c r="F63" s="66"/>
      <c r="G63" s="94"/>
      <c r="H63" s="80"/>
      <c r="I63" s="81"/>
      <c r="J63" s="83"/>
      <c r="K63" s="85" t="e">
        <f>INDEX(Results!T:T,MATCH(H63,Results!V:V,0))</f>
        <v>#N/A</v>
      </c>
      <c r="L63" s="66"/>
      <c r="M63" s="94"/>
      <c r="N63" s="77" t="s">
        <v>324</v>
      </c>
      <c r="O63" s="81">
        <v>-5.0909090909090908</v>
      </c>
      <c r="P63" s="70"/>
      <c r="Q63" s="89">
        <f>INDEX(Results!T:T,MATCH(N63,Results!V:V,0))</f>
        <v>1.3599999999999994</v>
      </c>
      <c r="R63" s="86"/>
      <c r="S63" s="86"/>
      <c r="T63" s="86"/>
      <c r="U63" s="86"/>
      <c r="V63" s="86"/>
      <c r="W63" s="90"/>
      <c r="X63" s="86"/>
      <c r="Y63" s="65" t="s">
        <v>142</v>
      </c>
      <c r="Z63" s="174">
        <v>43561</v>
      </c>
      <c r="AA63" s="66"/>
      <c r="AB63" s="66"/>
      <c r="AC63" s="91"/>
      <c r="AD63" s="86"/>
      <c r="AE63" s="86"/>
      <c r="AF63" s="86"/>
      <c r="AG63" s="86"/>
      <c r="AH63" s="86"/>
      <c r="AI63" s="86"/>
      <c r="AJ63" s="86"/>
      <c r="AK63" s="86"/>
      <c r="AL63" s="86"/>
      <c r="AM63" s="86"/>
      <c r="AN63" s="86"/>
      <c r="AO63" s="86"/>
      <c r="AP63" s="86"/>
      <c r="AQ63" s="86"/>
    </row>
    <row r="64" spans="1:43" x14ac:dyDescent="0.25">
      <c r="A64" s="86"/>
      <c r="B64" s="86"/>
      <c r="C64" s="86"/>
      <c r="D64" s="74">
        <v>63</v>
      </c>
      <c r="E64" s="75" t="s">
        <v>324</v>
      </c>
      <c r="F64" s="66"/>
      <c r="G64" s="95">
        <v>32</v>
      </c>
      <c r="H64" s="80"/>
      <c r="I64" s="81"/>
      <c r="J64" s="82" t="str">
        <f t="shared" si="0"/>
        <v/>
      </c>
      <c r="K64" s="85" t="e">
        <f>INDEX(Results!T:T,MATCH(H64,Results!V:V,0))</f>
        <v>#N/A</v>
      </c>
      <c r="L64" s="66"/>
      <c r="M64" s="95">
        <v>32</v>
      </c>
      <c r="N64" s="77" t="s">
        <v>364</v>
      </c>
      <c r="O64" s="81">
        <v>-5.15</v>
      </c>
      <c r="P64" s="92" t="str">
        <f>IF(O64="","",IF(O64=O65,"R",""))</f>
        <v/>
      </c>
      <c r="Q64" s="89">
        <f>INDEX(Results!T:T,MATCH(N64,Results!V:V,0))</f>
        <v>-1.8888888888888893</v>
      </c>
      <c r="R64" s="86"/>
      <c r="S64" s="86"/>
      <c r="T64" s="86"/>
      <c r="U64" s="86"/>
      <c r="V64" s="86"/>
      <c r="W64" s="90"/>
      <c r="X64" s="86"/>
      <c r="Y64" s="69">
        <v>1</v>
      </c>
      <c r="Z64" s="79" t="str">
        <f>IF(AA39=AA40,"Await earlier tie",IF(AA39&lt;AA40,Z40,Z39))</f>
        <v>Ashley Houghton</v>
      </c>
      <c r="AA64" s="107">
        <v>-1.1600000000000001</v>
      </c>
      <c r="AB64" s="82" t="str">
        <f>IF(AA64="","",IF(AA64=AA65,"R",""))</f>
        <v/>
      </c>
      <c r="AC64" s="89">
        <f>INDEX(Results!T:T,MATCH(Z64,Results!V:V,0))</f>
        <v>-1.2777777777777777</v>
      </c>
      <c r="AD64" s="86"/>
      <c r="AE64" s="86"/>
      <c r="AF64" s="86"/>
      <c r="AG64" s="86"/>
      <c r="AH64" s="86"/>
      <c r="AI64" s="86"/>
      <c r="AJ64" s="86"/>
      <c r="AK64" s="86"/>
      <c r="AL64" s="86"/>
      <c r="AM64" s="86"/>
      <c r="AN64" s="86"/>
      <c r="AO64" s="86"/>
      <c r="AP64" s="86"/>
      <c r="AQ64" s="86"/>
    </row>
    <row r="65" spans="1:43" x14ac:dyDescent="0.25">
      <c r="A65" s="86"/>
      <c r="B65" s="86"/>
      <c r="C65" s="86"/>
      <c r="D65" s="74">
        <v>64</v>
      </c>
      <c r="E65" s="75" t="s">
        <v>364</v>
      </c>
      <c r="F65" s="66"/>
      <c r="G65" s="94"/>
      <c r="H65" s="80"/>
      <c r="I65" s="81"/>
      <c r="J65" s="83"/>
      <c r="K65" s="85" t="e">
        <f>INDEX(Results!T:T,MATCH(H65,Results!V:V,0))</f>
        <v>#N/A</v>
      </c>
      <c r="L65" s="66"/>
      <c r="M65" s="94"/>
      <c r="N65" s="77" t="s">
        <v>327</v>
      </c>
      <c r="O65" s="81">
        <v>4.2181818181818187</v>
      </c>
      <c r="P65" s="70"/>
      <c r="Q65" s="89">
        <f>INDEX(Results!T:T,MATCH(N65,Results!V:V,0))</f>
        <v>-2.5999999999999996</v>
      </c>
      <c r="R65" s="86"/>
      <c r="S65" s="86"/>
      <c r="T65" s="86"/>
      <c r="U65" s="86"/>
      <c r="V65" s="86"/>
      <c r="W65" s="90"/>
      <c r="X65" s="86"/>
      <c r="Y65" s="72"/>
      <c r="Z65" s="79" t="str">
        <f>IF(AA41=AA42,"Await earlier tie",IF(AA41&lt;AA42,Z42,Z41))</f>
        <v>Andy Charleston</v>
      </c>
      <c r="AA65" s="107">
        <v>-7</v>
      </c>
      <c r="AB65" s="73"/>
      <c r="AC65" s="89">
        <f>INDEX(Results!T:T,MATCH(Z65,Results!V:V,0))</f>
        <v>2.2300000000000004</v>
      </c>
      <c r="AD65" s="86"/>
      <c r="AE65" s="86"/>
      <c r="AF65" s="86"/>
      <c r="AG65" s="86"/>
      <c r="AH65" s="86"/>
      <c r="AI65" s="86"/>
      <c r="AJ65" s="86"/>
      <c r="AK65" s="86"/>
      <c r="AL65" s="86"/>
      <c r="AM65" s="86"/>
      <c r="AN65" s="86"/>
      <c r="AO65" s="86"/>
      <c r="AP65" s="86"/>
      <c r="AQ65" s="86"/>
    </row>
    <row r="66" spans="1:43" x14ac:dyDescent="0.25">
      <c r="A66" s="86"/>
      <c r="B66" s="86"/>
      <c r="C66" s="86"/>
      <c r="D66" s="74">
        <v>65</v>
      </c>
      <c r="E66" s="75" t="s">
        <v>327</v>
      </c>
      <c r="F66" s="66"/>
      <c r="G66" s="95">
        <v>33</v>
      </c>
      <c r="H66" s="80"/>
      <c r="I66" s="81"/>
      <c r="J66" s="82" t="str">
        <f t="shared" si="0"/>
        <v/>
      </c>
      <c r="K66" s="85" t="e">
        <f>INDEX(Results!T:T,MATCH(H66,Results!V:V,0))</f>
        <v>#N/A</v>
      </c>
      <c r="L66" s="66"/>
      <c r="M66" s="68"/>
      <c r="N66" s="66"/>
      <c r="O66" s="98"/>
      <c r="P66" s="66"/>
      <c r="Q66" s="90"/>
      <c r="R66" s="86"/>
      <c r="S66" s="86"/>
      <c r="T66" s="86"/>
      <c r="U66" s="86"/>
      <c r="V66" s="86"/>
      <c r="W66" s="90"/>
      <c r="X66" s="86"/>
      <c r="Y66" s="69">
        <v>2</v>
      </c>
      <c r="Z66" s="79" t="str">
        <f>IF(AA43=AA44,"Await earlier tie",IF(AA43&lt;AA44,Z44,Z43))</f>
        <v>Paul Allen</v>
      </c>
      <c r="AA66" s="107">
        <v>-1.2000000000000002</v>
      </c>
      <c r="AB66" s="82" t="str">
        <f>IF(AA66="","",IF(AA66=AA67,"R",""))</f>
        <v/>
      </c>
      <c r="AC66" s="89">
        <f>INDEX(Results!T:T,MATCH(Z66,Results!V:V,0))</f>
        <v>-0.75499999999999989</v>
      </c>
      <c r="AD66" s="86"/>
      <c r="AE66" s="86"/>
      <c r="AF66" s="86"/>
      <c r="AG66" s="86"/>
      <c r="AH66" s="86"/>
      <c r="AI66" s="86"/>
      <c r="AJ66" s="86"/>
      <c r="AK66" s="86"/>
      <c r="AL66" s="86"/>
      <c r="AM66" s="86"/>
      <c r="AN66" s="86"/>
      <c r="AO66" s="86"/>
      <c r="AP66" s="86"/>
      <c r="AQ66" s="86"/>
    </row>
    <row r="67" spans="1:43" x14ac:dyDescent="0.25">
      <c r="A67" s="86"/>
      <c r="B67" s="86"/>
      <c r="C67" s="86"/>
      <c r="D67" s="74"/>
      <c r="E67" s="75"/>
      <c r="F67" s="66"/>
      <c r="G67" s="94"/>
      <c r="H67" s="80"/>
      <c r="I67" s="81"/>
      <c r="J67" s="83"/>
      <c r="K67" s="85" t="e">
        <f>INDEX(Results!T:T,MATCH(H67,Results!V:V,0))</f>
        <v>#N/A</v>
      </c>
      <c r="L67" s="66"/>
      <c r="M67" s="68"/>
      <c r="N67" s="66"/>
      <c r="O67" s="98"/>
      <c r="P67" s="66"/>
      <c r="Q67" s="90"/>
      <c r="R67" s="86"/>
      <c r="S67" s="86"/>
      <c r="T67" s="86"/>
      <c r="U67" s="86"/>
      <c r="V67" s="86"/>
      <c r="W67" s="90"/>
      <c r="X67" s="86"/>
      <c r="Y67" s="76"/>
      <c r="Z67" s="79" t="str">
        <f>IF(AA45=AA46,"Await earlier tie",IF(AA45&lt;AA46,Z46,Z45))</f>
        <v>David Dunn</v>
      </c>
      <c r="AA67" s="107">
        <v>6.625</v>
      </c>
      <c r="AB67" s="70"/>
      <c r="AC67" s="89">
        <f>INDEX(Results!T:T,MATCH(Z67,Results!V:V,0))</f>
        <v>-0.125</v>
      </c>
      <c r="AD67" s="86"/>
      <c r="AE67" s="86"/>
      <c r="AF67" s="86"/>
      <c r="AG67" s="86"/>
      <c r="AH67" s="86"/>
      <c r="AI67" s="86"/>
      <c r="AJ67" s="86"/>
      <c r="AK67" s="86"/>
      <c r="AL67" s="86"/>
      <c r="AM67" s="86"/>
      <c r="AN67" s="86"/>
      <c r="AO67" s="86"/>
      <c r="AP67" s="86"/>
      <c r="AQ67" s="86"/>
    </row>
    <row r="68" spans="1:43" x14ac:dyDescent="0.25">
      <c r="A68" s="86"/>
      <c r="B68" s="86"/>
      <c r="C68" s="86"/>
      <c r="D68" s="74"/>
      <c r="E68" s="75"/>
      <c r="F68" s="66"/>
      <c r="G68" s="95">
        <v>34</v>
      </c>
      <c r="H68" s="80"/>
      <c r="I68" s="81"/>
      <c r="J68" s="82" t="str">
        <f t="shared" si="0"/>
        <v/>
      </c>
      <c r="K68" s="85" t="e">
        <f>INDEX(Results!T:T,MATCH(H68,Results!V:V,0))</f>
        <v>#N/A</v>
      </c>
      <c r="L68" s="66"/>
      <c r="M68" s="68" t="s">
        <v>157</v>
      </c>
      <c r="N68" s="86"/>
      <c r="O68" s="99"/>
      <c r="P68" s="86"/>
      <c r="Q68" s="91"/>
      <c r="R68" s="86"/>
      <c r="S68" s="86"/>
      <c r="T68" s="86"/>
      <c r="U68" s="86"/>
      <c r="V68" s="86"/>
      <c r="W68" s="90"/>
      <c r="X68" s="86"/>
      <c r="Y68" s="86"/>
      <c r="Z68" s="86"/>
      <c r="AA68" s="86"/>
      <c r="AB68" s="86"/>
      <c r="AC68" s="91"/>
      <c r="AD68" s="86"/>
      <c r="AE68" s="86"/>
      <c r="AF68" s="86"/>
      <c r="AG68" s="86"/>
      <c r="AH68" s="86"/>
      <c r="AI68" s="86"/>
      <c r="AJ68" s="86"/>
      <c r="AK68" s="86"/>
      <c r="AL68" s="86"/>
      <c r="AM68" s="86"/>
      <c r="AN68" s="86"/>
      <c r="AO68" s="86"/>
      <c r="AP68" s="86"/>
      <c r="AQ68" s="86"/>
    </row>
    <row r="69" spans="1:43" x14ac:dyDescent="0.25">
      <c r="A69" s="86"/>
      <c r="B69" s="86"/>
      <c r="C69" s="86"/>
      <c r="D69" s="74"/>
      <c r="E69" s="75"/>
      <c r="F69" s="66"/>
      <c r="G69" s="94"/>
      <c r="H69" s="80"/>
      <c r="I69" s="81"/>
      <c r="J69" s="83"/>
      <c r="K69" s="85" t="e">
        <f>INDEX(Results!T:T,MATCH(H69,Results!V:V,0))</f>
        <v>#N/A</v>
      </c>
      <c r="L69" s="66"/>
      <c r="M69" s="95">
        <v>16</v>
      </c>
      <c r="N69" s="77" t="s">
        <v>357</v>
      </c>
      <c r="O69" s="81">
        <v>1.745454545454546</v>
      </c>
      <c r="P69" s="92" t="str">
        <f>IF(O69="","",IF(O69=O70,"R",""))</f>
        <v/>
      </c>
      <c r="Q69" s="89"/>
      <c r="R69" s="86"/>
      <c r="S69" s="86"/>
      <c r="T69" s="86"/>
      <c r="U69" s="86"/>
      <c r="V69" s="86"/>
      <c r="W69" s="90"/>
      <c r="X69" s="86"/>
      <c r="Y69" s="68" t="s">
        <v>157</v>
      </c>
      <c r="Z69" s="66"/>
      <c r="AA69" s="66"/>
      <c r="AB69" s="66"/>
      <c r="AC69" s="91"/>
      <c r="AD69" s="86"/>
      <c r="AE69" s="86"/>
      <c r="AF69" s="86"/>
      <c r="AG69" s="86"/>
      <c r="AH69" s="86"/>
      <c r="AI69" s="86"/>
      <c r="AJ69" s="86"/>
      <c r="AK69" s="86"/>
      <c r="AL69" s="86"/>
      <c r="AM69" s="86"/>
      <c r="AN69" s="86"/>
      <c r="AO69" s="86"/>
      <c r="AP69" s="86"/>
      <c r="AQ69" s="86"/>
    </row>
    <row r="70" spans="1:43" x14ac:dyDescent="0.25">
      <c r="A70" s="86"/>
      <c r="B70" s="86"/>
      <c r="C70" s="86"/>
      <c r="D70" s="87"/>
      <c r="F70" s="66"/>
      <c r="G70" s="95">
        <v>35</v>
      </c>
      <c r="H70" s="80"/>
      <c r="I70" s="81"/>
      <c r="J70" s="82" t="str">
        <f t="shared" si="0"/>
        <v/>
      </c>
      <c r="K70" s="85" t="e">
        <f>INDEX(Results!T:T,MATCH(H70,Results!V:V,0))</f>
        <v>#N/A</v>
      </c>
      <c r="L70" s="66"/>
      <c r="M70" s="94"/>
      <c r="N70" s="77" t="s">
        <v>325</v>
      </c>
      <c r="O70" s="81">
        <v>-0.90909090909090917</v>
      </c>
      <c r="P70" s="70"/>
      <c r="Q70" s="89"/>
      <c r="R70" s="86"/>
      <c r="S70" s="86"/>
      <c r="T70" s="86"/>
      <c r="U70" s="86"/>
      <c r="V70" s="86"/>
      <c r="W70" s="90"/>
      <c r="X70" s="86"/>
      <c r="Y70" s="711"/>
      <c r="Z70" s="77"/>
      <c r="AA70" s="107"/>
      <c r="AB70" s="92" t="str">
        <f>IF(AA70="","",IF(AA70=AA71,"R",""))</f>
        <v/>
      </c>
      <c r="AC70" s="91"/>
      <c r="AD70" s="86"/>
      <c r="AE70" s="86"/>
      <c r="AF70" s="86"/>
      <c r="AG70" s="86"/>
      <c r="AH70" s="86"/>
      <c r="AI70" s="86"/>
      <c r="AJ70" s="86"/>
      <c r="AK70" s="86"/>
      <c r="AL70" s="86"/>
      <c r="AM70" s="86"/>
      <c r="AN70" s="86"/>
      <c r="AO70" s="86"/>
      <c r="AP70" s="86"/>
      <c r="AQ70" s="86"/>
    </row>
    <row r="71" spans="1:43" x14ac:dyDescent="0.25">
      <c r="A71" s="86"/>
      <c r="B71" s="86"/>
      <c r="C71" s="86"/>
      <c r="D71" s="87"/>
      <c r="F71" s="66"/>
      <c r="G71" s="94"/>
      <c r="H71" s="80"/>
      <c r="I71" s="81"/>
      <c r="J71" s="83"/>
      <c r="K71" s="85" t="e">
        <f>INDEX(Results!T:T,MATCH(H71,Results!V:V,0))</f>
        <v>#N/A</v>
      </c>
      <c r="L71" s="66"/>
      <c r="M71" s="95"/>
      <c r="N71" s="77"/>
      <c r="O71" s="81"/>
      <c r="P71" s="92" t="str">
        <f>IF(O71="","",IF(O71=O72,"R",""))</f>
        <v/>
      </c>
      <c r="Q71" s="89"/>
      <c r="R71" s="86"/>
      <c r="S71" s="86"/>
      <c r="T71" s="86"/>
      <c r="U71" s="86"/>
      <c r="V71" s="86"/>
      <c r="W71" s="90"/>
      <c r="X71" s="86"/>
      <c r="Y71" s="712"/>
      <c r="Z71" s="77"/>
      <c r="AA71" s="107"/>
      <c r="AB71" s="70"/>
      <c r="AC71" s="91"/>
      <c r="AD71" s="86"/>
      <c r="AE71" s="86"/>
      <c r="AF71" s="86"/>
      <c r="AG71" s="86"/>
      <c r="AH71" s="86"/>
      <c r="AI71" s="86"/>
      <c r="AJ71" s="86"/>
      <c r="AK71" s="86"/>
      <c r="AL71" s="86"/>
      <c r="AM71" s="86"/>
      <c r="AN71" s="86"/>
      <c r="AO71" s="86"/>
      <c r="AP71" s="86"/>
      <c r="AQ71" s="86"/>
    </row>
    <row r="72" spans="1:43" x14ac:dyDescent="0.25">
      <c r="A72" s="86"/>
      <c r="B72" s="86"/>
      <c r="C72" s="86"/>
      <c r="F72" s="66"/>
      <c r="G72" s="95">
        <v>36</v>
      </c>
      <c r="H72" s="80"/>
      <c r="I72" s="81"/>
      <c r="J72" s="82" t="str">
        <f t="shared" si="0"/>
        <v/>
      </c>
      <c r="K72" s="85" t="e">
        <f>INDEX(Results!T:T,MATCH(H72,Results!V:V,0))</f>
        <v>#N/A</v>
      </c>
      <c r="L72" s="66"/>
      <c r="M72" s="94"/>
      <c r="N72" s="77"/>
      <c r="O72" s="81"/>
      <c r="P72" s="70"/>
      <c r="Q72" s="89"/>
      <c r="R72" s="86"/>
      <c r="S72" s="86"/>
      <c r="T72" s="86"/>
      <c r="U72" s="86"/>
      <c r="V72" s="86"/>
      <c r="W72" s="90"/>
      <c r="X72" s="86"/>
      <c r="Y72" s="93"/>
      <c r="Z72" s="77"/>
      <c r="AA72" s="78"/>
      <c r="AB72" s="92" t="str">
        <f>IF(AA72="","",IF(AA72=AA73,"R",""))</f>
        <v/>
      </c>
      <c r="AC72" s="91"/>
      <c r="AD72" s="86"/>
      <c r="AE72" s="86"/>
      <c r="AF72" s="86"/>
      <c r="AG72" s="86"/>
      <c r="AH72" s="86"/>
      <c r="AI72" s="86"/>
      <c r="AJ72" s="86"/>
      <c r="AK72" s="86"/>
      <c r="AL72" s="86"/>
      <c r="AM72" s="86"/>
      <c r="AN72" s="86"/>
      <c r="AO72" s="86"/>
      <c r="AP72" s="86"/>
      <c r="AQ72" s="86"/>
    </row>
    <row r="73" spans="1:43" x14ac:dyDescent="0.25">
      <c r="A73" s="86"/>
      <c r="B73" s="86"/>
      <c r="C73" s="86"/>
      <c r="F73" s="66"/>
      <c r="G73" s="94"/>
      <c r="H73" s="80"/>
      <c r="I73" s="81"/>
      <c r="J73" s="83"/>
      <c r="K73" s="85" t="e">
        <f>INDEX(Results!T:T,MATCH(H73,Results!V:V,0))</f>
        <v>#N/A</v>
      </c>
      <c r="L73" s="66"/>
      <c r="M73" s="95"/>
      <c r="N73" s="77"/>
      <c r="O73" s="81"/>
      <c r="P73" s="92" t="str">
        <f>IF(O73="","",IF(O73=O74,"R",""))</f>
        <v/>
      </c>
      <c r="Q73" s="89"/>
      <c r="R73" s="86"/>
      <c r="S73" s="86"/>
      <c r="T73" s="86"/>
      <c r="U73" s="86"/>
      <c r="V73" s="86"/>
      <c r="W73" s="90"/>
      <c r="X73" s="86"/>
      <c r="Y73" s="94"/>
      <c r="Z73" s="77"/>
      <c r="AA73" s="78"/>
      <c r="AB73" s="70"/>
      <c r="AC73" s="91"/>
      <c r="AD73" s="86"/>
      <c r="AE73" s="86"/>
      <c r="AF73" s="86"/>
      <c r="AG73" s="86"/>
      <c r="AH73" s="86"/>
      <c r="AI73" s="86"/>
      <c r="AJ73" s="86"/>
      <c r="AK73" s="86"/>
      <c r="AL73" s="86"/>
      <c r="AM73" s="86"/>
      <c r="AN73" s="86"/>
      <c r="AO73" s="86"/>
      <c r="AP73" s="86"/>
      <c r="AQ73" s="86"/>
    </row>
    <row r="74" spans="1:43" x14ac:dyDescent="0.25">
      <c r="A74" s="86"/>
      <c r="B74" s="86"/>
      <c r="C74" s="86"/>
      <c r="F74" s="66"/>
      <c r="G74" s="68"/>
      <c r="H74" s="66"/>
      <c r="I74" s="66"/>
      <c r="J74" s="66"/>
      <c r="K74" s="66"/>
      <c r="L74" s="66"/>
      <c r="M74" s="94"/>
      <c r="N74" s="77"/>
      <c r="O74" s="81"/>
      <c r="P74" s="70"/>
      <c r="Q74" s="89"/>
      <c r="R74" s="86"/>
      <c r="S74" s="86"/>
      <c r="T74" s="86"/>
      <c r="U74" s="86"/>
      <c r="V74" s="86"/>
      <c r="W74" s="90"/>
      <c r="X74" s="86"/>
      <c r="Y74" s="86"/>
      <c r="Z74" s="86"/>
      <c r="AA74" s="86"/>
      <c r="AB74" s="86"/>
      <c r="AC74" s="91"/>
      <c r="AD74" s="86"/>
      <c r="AE74" s="86"/>
      <c r="AF74" s="86"/>
      <c r="AG74" s="86"/>
      <c r="AH74" s="86"/>
      <c r="AI74" s="86"/>
      <c r="AJ74" s="86"/>
      <c r="AK74" s="86"/>
      <c r="AL74" s="86"/>
      <c r="AM74" s="86"/>
      <c r="AN74" s="86"/>
      <c r="AO74" s="86"/>
      <c r="AP74" s="86"/>
      <c r="AQ74" s="86"/>
    </row>
    <row r="75" spans="1:43" x14ac:dyDescent="0.25">
      <c r="A75" s="86"/>
      <c r="B75" s="86"/>
      <c r="C75" s="86"/>
      <c r="F75" s="66"/>
      <c r="G75" s="68"/>
      <c r="H75" s="66"/>
      <c r="I75" s="66"/>
      <c r="J75" s="66"/>
      <c r="K75" s="66"/>
      <c r="L75" s="66"/>
      <c r="M75" s="95"/>
      <c r="N75" s="77"/>
      <c r="O75" s="81"/>
      <c r="P75" s="92" t="str">
        <f>IF(O75="","",IF(O75=O76,"R",""))</f>
        <v/>
      </c>
      <c r="Q75" s="89"/>
      <c r="R75" s="86"/>
      <c r="S75" s="86"/>
      <c r="T75" s="86"/>
      <c r="U75" s="86"/>
      <c r="V75" s="86"/>
      <c r="W75" s="90"/>
      <c r="X75" s="86"/>
      <c r="Y75" s="86"/>
      <c r="Z75" s="86"/>
      <c r="AA75" s="86"/>
      <c r="AB75" s="86"/>
      <c r="AC75" s="91"/>
      <c r="AD75" s="86"/>
      <c r="AE75" s="86"/>
      <c r="AF75" s="86"/>
      <c r="AG75" s="86"/>
      <c r="AH75" s="86"/>
      <c r="AI75" s="86"/>
      <c r="AJ75" s="86"/>
      <c r="AK75" s="86"/>
      <c r="AL75" s="86"/>
      <c r="AM75" s="86"/>
      <c r="AN75" s="86"/>
      <c r="AO75" s="86"/>
      <c r="AP75" s="86"/>
      <c r="AQ75" s="86"/>
    </row>
    <row r="76" spans="1:43" x14ac:dyDescent="0.25">
      <c r="A76" s="86"/>
      <c r="B76" s="86"/>
      <c r="C76" s="86"/>
      <c r="F76" s="66"/>
      <c r="G76" s="68"/>
      <c r="H76" s="66"/>
      <c r="I76" s="66"/>
      <c r="J76" s="66"/>
      <c r="K76" s="66"/>
      <c r="L76" s="66"/>
      <c r="M76" s="94"/>
      <c r="N76" s="77"/>
      <c r="O76" s="81"/>
      <c r="P76" s="70"/>
      <c r="Q76" s="89"/>
      <c r="R76" s="86"/>
      <c r="S76" s="86"/>
      <c r="T76" s="86"/>
      <c r="U76" s="86"/>
      <c r="V76" s="86"/>
      <c r="W76" s="90"/>
      <c r="X76" s="86"/>
      <c r="Y76" s="86"/>
      <c r="Z76" s="86"/>
      <c r="AA76" s="86"/>
      <c r="AB76" s="86"/>
      <c r="AC76" s="91"/>
      <c r="AD76" s="86"/>
      <c r="AE76" s="86"/>
      <c r="AF76" s="86"/>
      <c r="AG76" s="86"/>
      <c r="AH76" s="86"/>
      <c r="AI76" s="86"/>
      <c r="AJ76" s="86"/>
      <c r="AK76" s="86"/>
      <c r="AL76" s="86"/>
      <c r="AM76" s="86"/>
      <c r="AN76" s="86"/>
      <c r="AO76" s="86"/>
      <c r="AP76" s="86"/>
      <c r="AQ76" s="86"/>
    </row>
    <row r="77" spans="1:43" x14ac:dyDescent="0.25">
      <c r="A77" s="86"/>
      <c r="B77" s="86"/>
      <c r="C77" s="86"/>
      <c r="F77" s="66"/>
      <c r="G77" s="68"/>
      <c r="H77" s="66"/>
      <c r="I77" s="66"/>
      <c r="J77" s="66"/>
      <c r="K77" s="66"/>
      <c r="L77" s="66"/>
      <c r="M77" s="709"/>
      <c r="N77" s="77"/>
      <c r="O77" s="81"/>
      <c r="P77" s="92" t="str">
        <f>IF(O77="","",IF(O77=O78,"R",""))</f>
        <v/>
      </c>
      <c r="Q77" s="90"/>
      <c r="R77" s="86"/>
      <c r="S77" s="86"/>
      <c r="T77" s="86"/>
      <c r="U77" s="86"/>
      <c r="V77" s="86"/>
      <c r="W77" s="90"/>
      <c r="X77" s="86"/>
      <c r="Y77" s="86"/>
      <c r="Z77" s="86"/>
      <c r="AA77" s="86"/>
      <c r="AB77" s="86"/>
      <c r="AC77" s="91"/>
      <c r="AD77" s="86"/>
      <c r="AE77" s="86"/>
      <c r="AF77" s="86"/>
      <c r="AG77" s="86"/>
      <c r="AH77" s="86"/>
      <c r="AI77" s="86"/>
      <c r="AJ77" s="86"/>
      <c r="AK77" s="86"/>
      <c r="AL77" s="86"/>
      <c r="AM77" s="86"/>
      <c r="AN77" s="86"/>
      <c r="AO77" s="86"/>
      <c r="AP77" s="86"/>
      <c r="AQ77" s="86"/>
    </row>
    <row r="78" spans="1:43" x14ac:dyDescent="0.25">
      <c r="A78" s="86"/>
      <c r="B78" s="86"/>
      <c r="C78" s="86"/>
      <c r="F78" s="66"/>
      <c r="G78" s="68" t="s">
        <v>157</v>
      </c>
      <c r="H78" s="86"/>
      <c r="I78" s="86"/>
      <c r="J78" s="86"/>
      <c r="K78" s="66"/>
      <c r="L78" s="66"/>
      <c r="M78" s="710"/>
      <c r="N78" s="77"/>
      <c r="O78" s="81"/>
      <c r="P78" s="70"/>
      <c r="Q78" s="90"/>
      <c r="R78" s="86"/>
      <c r="S78" s="86"/>
      <c r="T78" s="86"/>
      <c r="U78" s="86"/>
      <c r="V78" s="86"/>
      <c r="W78" s="90"/>
      <c r="X78" s="86"/>
      <c r="Y78" s="86"/>
      <c r="Z78" s="86"/>
      <c r="AA78" s="86"/>
      <c r="AB78" s="86"/>
      <c r="AC78" s="91"/>
      <c r="AD78" s="86"/>
      <c r="AE78" s="86"/>
      <c r="AF78" s="86"/>
      <c r="AG78" s="86"/>
      <c r="AH78" s="86"/>
      <c r="AI78" s="86"/>
      <c r="AJ78" s="86"/>
      <c r="AK78" s="86"/>
      <c r="AL78" s="86"/>
      <c r="AM78" s="86"/>
      <c r="AN78" s="86"/>
      <c r="AO78" s="86"/>
      <c r="AP78" s="86"/>
      <c r="AQ78" s="86"/>
    </row>
    <row r="79" spans="1:43" x14ac:dyDescent="0.25">
      <c r="A79" s="86"/>
      <c r="B79" s="86"/>
      <c r="C79" s="86"/>
      <c r="F79" s="66"/>
      <c r="G79" s="145"/>
      <c r="H79" s="77"/>
      <c r="I79" s="81"/>
      <c r="J79" s="92" t="str">
        <f>IF(I79="","",IF(I79=I80,"R",""))</f>
        <v/>
      </c>
      <c r="K79" s="66"/>
      <c r="L79" s="66"/>
      <c r="M79" s="93"/>
      <c r="N79" s="77"/>
      <c r="O79" s="81"/>
      <c r="P79" s="92" t="str">
        <f>IF(O79="","",IF(O79=O80,"R",""))</f>
        <v/>
      </c>
      <c r="Q79" s="90"/>
      <c r="R79" s="86"/>
      <c r="S79" s="86"/>
      <c r="T79" s="86"/>
      <c r="U79" s="86"/>
      <c r="V79" s="86"/>
      <c r="W79" s="90"/>
      <c r="X79" s="86"/>
      <c r="Y79" s="86"/>
      <c r="Z79" s="86"/>
      <c r="AA79" s="86"/>
      <c r="AB79" s="86"/>
      <c r="AC79" s="91"/>
      <c r="AD79" s="86"/>
      <c r="AE79" s="86"/>
      <c r="AF79" s="86"/>
      <c r="AG79" s="86"/>
      <c r="AH79" s="86"/>
      <c r="AI79" s="86"/>
      <c r="AJ79" s="86"/>
      <c r="AK79" s="86"/>
      <c r="AL79" s="86"/>
      <c r="AM79" s="86"/>
      <c r="AN79" s="86"/>
      <c r="AO79" s="86"/>
      <c r="AP79" s="86"/>
      <c r="AQ79" s="86"/>
    </row>
    <row r="80" spans="1:43" x14ac:dyDescent="0.25">
      <c r="A80" s="86"/>
      <c r="B80" s="86"/>
      <c r="C80" s="86"/>
      <c r="F80" s="66"/>
      <c r="G80" s="146"/>
      <c r="H80" s="77"/>
      <c r="I80" s="81"/>
      <c r="J80" s="70"/>
      <c r="K80" s="66"/>
      <c r="L80" s="66"/>
      <c r="M80" s="94"/>
      <c r="N80" s="77"/>
      <c r="O80" s="81"/>
      <c r="P80" s="70"/>
      <c r="Q80" s="90"/>
      <c r="R80" s="86"/>
      <c r="S80" s="86"/>
      <c r="T80" s="86"/>
      <c r="U80" s="86"/>
      <c r="V80" s="86"/>
      <c r="W80" s="90"/>
      <c r="X80" s="86"/>
      <c r="Y80" s="65" t="s">
        <v>18</v>
      </c>
      <c r="Z80" s="174">
        <v>43575</v>
      </c>
      <c r="AA80" s="66"/>
      <c r="AB80" s="66"/>
      <c r="AC80" s="91"/>
      <c r="AD80" s="86"/>
      <c r="AE80" s="86"/>
      <c r="AF80" s="86"/>
      <c r="AG80" s="86"/>
      <c r="AH80" s="86"/>
      <c r="AI80" s="86"/>
      <c r="AJ80" s="86"/>
      <c r="AK80" s="86"/>
      <c r="AL80" s="86"/>
      <c r="AM80" s="86"/>
      <c r="AN80" s="86"/>
      <c r="AO80" s="86"/>
      <c r="AP80" s="86"/>
      <c r="AQ80" s="86"/>
    </row>
    <row r="81" spans="1:43" x14ac:dyDescent="0.25">
      <c r="A81" s="86"/>
      <c r="B81" s="86"/>
      <c r="C81" s="86"/>
      <c r="F81" s="66"/>
      <c r="G81" s="93"/>
      <c r="H81" s="77"/>
      <c r="I81" s="81"/>
      <c r="J81" s="92" t="str">
        <f>IF(I81="","",IF(I81=I82,"R",""))</f>
        <v/>
      </c>
      <c r="K81" s="66"/>
      <c r="L81" s="66"/>
      <c r="M81" s="709"/>
      <c r="N81" s="77"/>
      <c r="O81" s="81"/>
      <c r="P81" s="92" t="str">
        <f>IF(O81="","",IF(O81=O82,"R",""))</f>
        <v/>
      </c>
      <c r="Q81" s="90"/>
      <c r="R81" s="86"/>
      <c r="S81" s="86"/>
      <c r="T81" s="86"/>
      <c r="U81" s="86"/>
      <c r="V81" s="86"/>
      <c r="W81" s="90"/>
      <c r="X81" s="86"/>
      <c r="Y81" s="69">
        <v>1</v>
      </c>
      <c r="Z81" s="79" t="str">
        <f>IF(AA64=AA65,"Await earlier tie",IF(AA64&lt;AA65,Z65,Z64))</f>
        <v>Ashley Houghton</v>
      </c>
      <c r="AA81" s="107">
        <v>8.5454545454545467</v>
      </c>
      <c r="AB81" s="82" t="str">
        <f>IF(AA81="","",IF(AA81=AA82,"R",""))</f>
        <v/>
      </c>
      <c r="AC81" s="89">
        <f>INDEX(Results!T:T,MATCH(Z81,Results!V:V,0))</f>
        <v>-1.2777777777777777</v>
      </c>
      <c r="AD81" s="86"/>
      <c r="AE81" s="86"/>
      <c r="AF81" s="86"/>
      <c r="AG81" s="86"/>
      <c r="AH81" s="86"/>
      <c r="AI81" s="86"/>
      <c r="AJ81" s="86"/>
      <c r="AK81" s="86"/>
      <c r="AL81" s="86"/>
      <c r="AM81" s="86"/>
      <c r="AN81" s="86"/>
      <c r="AO81" s="86"/>
      <c r="AP81" s="86"/>
      <c r="AQ81" s="86"/>
    </row>
    <row r="82" spans="1:43" x14ac:dyDescent="0.25">
      <c r="A82" s="86"/>
      <c r="B82" s="86"/>
      <c r="C82" s="86"/>
      <c r="F82" s="86"/>
      <c r="G82" s="94"/>
      <c r="H82" s="77"/>
      <c r="I82" s="81"/>
      <c r="J82" s="70"/>
      <c r="K82" s="66"/>
      <c r="L82" s="66"/>
      <c r="M82" s="710"/>
      <c r="N82" s="77"/>
      <c r="O82" s="81"/>
      <c r="P82" s="70"/>
      <c r="Q82" s="91"/>
      <c r="R82" s="86"/>
      <c r="S82" s="86"/>
      <c r="T82" s="86"/>
      <c r="U82" s="86"/>
      <c r="V82" s="86"/>
      <c r="W82" s="91"/>
      <c r="X82" s="86"/>
      <c r="Y82" s="76"/>
      <c r="Z82" s="79" t="str">
        <f>IF(AA66=AA67,"Await earlier tie",IF(AA66&lt;AA67,Z67,Z66))</f>
        <v>David Dunn</v>
      </c>
      <c r="AA82" s="107">
        <v>-1.3818181818181809</v>
      </c>
      <c r="AB82" s="70"/>
      <c r="AC82" s="89">
        <f>INDEX(Results!T:T,MATCH(Z82,Results!V:V,0))</f>
        <v>-0.125</v>
      </c>
      <c r="AD82" s="86"/>
      <c r="AE82" s="86"/>
      <c r="AF82" s="86"/>
      <c r="AG82" s="86"/>
      <c r="AH82" s="86"/>
      <c r="AI82" s="86"/>
      <c r="AJ82" s="86"/>
      <c r="AK82" s="86"/>
      <c r="AL82" s="86"/>
      <c r="AM82" s="86"/>
      <c r="AN82" s="86"/>
      <c r="AO82" s="86"/>
      <c r="AP82" s="86"/>
      <c r="AQ82" s="86"/>
    </row>
    <row r="83" spans="1:43" x14ac:dyDescent="0.25">
      <c r="A83" s="86"/>
      <c r="B83" s="86"/>
      <c r="C83" s="86"/>
      <c r="F83" s="86"/>
      <c r="G83" s="145"/>
      <c r="H83" s="77"/>
      <c r="I83" s="81"/>
      <c r="J83" s="92" t="str">
        <f>IF(I83="","",IF(I83=I84,"R",""))</f>
        <v/>
      </c>
      <c r="K83" s="66"/>
      <c r="L83" s="66"/>
      <c r="M83" s="93"/>
      <c r="N83" s="77"/>
      <c r="O83" s="81"/>
      <c r="P83" s="92" t="str">
        <f>IF(O83="","",IF(O83=O84,"R",""))</f>
        <v/>
      </c>
      <c r="Q83" s="91"/>
      <c r="R83" s="86"/>
      <c r="S83" s="86"/>
      <c r="T83" s="86"/>
      <c r="U83" s="86"/>
      <c r="V83" s="86"/>
      <c r="W83" s="91"/>
      <c r="X83" s="86"/>
      <c r="AD83" s="86"/>
      <c r="AE83" s="86"/>
      <c r="AF83" s="86"/>
      <c r="AG83" s="86"/>
      <c r="AH83" s="86"/>
      <c r="AI83" s="86"/>
      <c r="AJ83" s="86"/>
      <c r="AK83" s="86"/>
      <c r="AL83" s="86"/>
      <c r="AM83" s="86"/>
      <c r="AN83" s="86"/>
      <c r="AO83" s="86"/>
      <c r="AP83" s="86"/>
      <c r="AQ83" s="86"/>
    </row>
    <row r="84" spans="1:43" x14ac:dyDescent="0.25">
      <c r="A84" s="86"/>
      <c r="B84" s="86"/>
      <c r="C84" s="86"/>
      <c r="F84" s="86"/>
      <c r="G84" s="146"/>
      <c r="H84" s="77"/>
      <c r="I84" s="81"/>
      <c r="J84" s="70"/>
      <c r="K84" s="66"/>
      <c r="L84" s="66"/>
      <c r="M84" s="94"/>
      <c r="N84" s="77"/>
      <c r="O84" s="81"/>
      <c r="P84" s="70"/>
      <c r="Q84" s="91"/>
      <c r="R84" s="86"/>
      <c r="S84" s="86"/>
      <c r="T84" s="86"/>
      <c r="U84" s="86"/>
      <c r="V84" s="86"/>
      <c r="W84" s="91"/>
      <c r="X84" s="86"/>
      <c r="Y84" s="68"/>
      <c r="Z84" s="66"/>
      <c r="AA84" s="66"/>
      <c r="AB84" s="66"/>
      <c r="AC84" s="90"/>
      <c r="AD84" s="86"/>
      <c r="AE84" s="86"/>
      <c r="AF84" s="86"/>
      <c r="AG84" s="86"/>
      <c r="AH84" s="86"/>
      <c r="AI84" s="86"/>
      <c r="AJ84" s="86"/>
      <c r="AK84" s="86"/>
      <c r="AL84" s="86"/>
      <c r="AM84" s="86"/>
      <c r="AN84" s="86"/>
      <c r="AO84" s="86"/>
      <c r="AP84" s="86"/>
      <c r="AQ84" s="86"/>
    </row>
    <row r="85" spans="1:43" x14ac:dyDescent="0.25">
      <c r="A85" s="86"/>
      <c r="B85" s="86"/>
      <c r="C85" s="86"/>
      <c r="F85" s="86"/>
      <c r="G85" s="93"/>
      <c r="H85" s="77"/>
      <c r="I85" s="81"/>
      <c r="J85" s="92" t="str">
        <f>IF(I85="","",IF(I85=I86,"R",""))</f>
        <v/>
      </c>
      <c r="K85" s="66"/>
      <c r="L85" s="66"/>
      <c r="M85" s="709"/>
      <c r="N85" s="77"/>
      <c r="O85" s="81"/>
      <c r="P85" s="92" t="str">
        <f>IF(O85="","",IF(O85=O86,"R",""))</f>
        <v/>
      </c>
      <c r="Q85" s="91"/>
      <c r="R85" s="86"/>
      <c r="S85" s="86"/>
      <c r="T85" s="86"/>
      <c r="U85" s="86"/>
      <c r="V85" s="86"/>
      <c r="W85" s="91"/>
      <c r="X85" s="86"/>
      <c r="Y85" s="68" t="s">
        <v>157</v>
      </c>
      <c r="Z85" s="66"/>
      <c r="AA85" s="66"/>
      <c r="AB85" s="66"/>
      <c r="AC85" s="90"/>
      <c r="AD85" s="86"/>
      <c r="AE85" s="86"/>
      <c r="AF85" s="86"/>
      <c r="AG85" s="86"/>
      <c r="AH85" s="86"/>
      <c r="AI85" s="86"/>
      <c r="AJ85" s="86"/>
      <c r="AK85" s="86"/>
      <c r="AL85" s="86"/>
      <c r="AM85" s="86"/>
      <c r="AN85" s="86"/>
      <c r="AO85" s="86"/>
      <c r="AP85" s="86"/>
      <c r="AQ85" s="86"/>
    </row>
    <row r="86" spans="1:43" x14ac:dyDescent="0.25">
      <c r="A86" s="86"/>
      <c r="B86" s="86"/>
      <c r="C86" s="86"/>
      <c r="F86" s="86"/>
      <c r="G86" s="94"/>
      <c r="H86" s="77"/>
      <c r="I86" s="81"/>
      <c r="J86" s="70"/>
      <c r="K86" s="66"/>
      <c r="L86" s="66"/>
      <c r="M86" s="710"/>
      <c r="N86" s="77"/>
      <c r="O86" s="81"/>
      <c r="P86" s="70"/>
      <c r="Q86" s="91"/>
      <c r="R86" s="86"/>
      <c r="S86" s="86"/>
      <c r="T86" s="86"/>
      <c r="U86" s="86"/>
      <c r="V86" s="86"/>
      <c r="W86" s="91"/>
      <c r="X86" s="86"/>
      <c r="Y86" s="711"/>
      <c r="Z86" s="77"/>
      <c r="AA86" s="78"/>
      <c r="AB86" s="92" t="str">
        <f>IF(AA86="","",IF(AA86=AA87,"R",""))</f>
        <v/>
      </c>
      <c r="AC86" s="90"/>
      <c r="AD86" s="86"/>
      <c r="AE86" s="86"/>
      <c r="AF86" s="86"/>
      <c r="AG86" s="86"/>
      <c r="AH86" s="86"/>
      <c r="AI86" s="86"/>
      <c r="AJ86" s="86"/>
      <c r="AK86" s="86"/>
      <c r="AL86" s="86"/>
      <c r="AM86" s="86"/>
      <c r="AN86" s="86"/>
      <c r="AO86" s="86"/>
      <c r="AP86" s="86"/>
      <c r="AQ86" s="86"/>
    </row>
    <row r="87" spans="1:43" x14ac:dyDescent="0.25">
      <c r="A87" s="86"/>
      <c r="B87" s="86"/>
      <c r="C87" s="86"/>
      <c r="F87" s="86"/>
      <c r="G87" s="709"/>
      <c r="H87" s="77"/>
      <c r="I87" s="81"/>
      <c r="J87" s="92" t="str">
        <f>IF(I87="","",IF(I87=I88,"R",""))</f>
        <v/>
      </c>
      <c r="K87" s="66"/>
      <c r="L87" s="66"/>
      <c r="M87" s="93"/>
      <c r="N87" s="77"/>
      <c r="O87" s="81"/>
      <c r="P87" s="92" t="str">
        <f>IF(O87="","",IF(O87=O88,"R",""))</f>
        <v/>
      </c>
      <c r="Q87" s="91"/>
      <c r="R87" s="86"/>
      <c r="S87" s="86"/>
      <c r="T87" s="86"/>
      <c r="U87" s="86"/>
      <c r="V87" s="86"/>
      <c r="W87" s="91"/>
      <c r="X87" s="86"/>
      <c r="Y87" s="712"/>
      <c r="Z87" s="77"/>
      <c r="AA87" s="78"/>
      <c r="AB87" s="70"/>
      <c r="AC87" s="90"/>
      <c r="AD87" s="86"/>
      <c r="AE87" s="86"/>
      <c r="AF87" s="86"/>
      <c r="AG87" s="86"/>
      <c r="AH87" s="86"/>
      <c r="AI87" s="86"/>
      <c r="AJ87" s="86"/>
      <c r="AK87" s="86"/>
      <c r="AL87" s="86"/>
      <c r="AM87" s="86"/>
      <c r="AN87" s="86"/>
      <c r="AO87" s="86"/>
      <c r="AP87" s="86"/>
      <c r="AQ87" s="86"/>
    </row>
    <row r="88" spans="1:43" x14ac:dyDescent="0.25">
      <c r="A88" s="86"/>
      <c r="B88" s="86"/>
      <c r="C88" s="86"/>
      <c r="F88" s="86"/>
      <c r="G88" s="710"/>
      <c r="H88" s="77"/>
      <c r="I88" s="81"/>
      <c r="J88" s="70"/>
      <c r="K88" s="66"/>
      <c r="L88" s="66"/>
      <c r="M88" s="94"/>
      <c r="N88" s="77"/>
      <c r="O88" s="81"/>
      <c r="P88" s="70"/>
      <c r="Q88" s="91"/>
      <c r="R88" s="86"/>
      <c r="S88" s="86"/>
      <c r="T88" s="86"/>
      <c r="U88" s="86"/>
      <c r="V88" s="86"/>
      <c r="W88" s="91"/>
      <c r="X88" s="86"/>
      <c r="Y88" s="93"/>
      <c r="Z88" s="77"/>
      <c r="AA88" s="78"/>
      <c r="AB88" s="92" t="str">
        <f>IF(AA88="","",IF(AA88=AA89,"R",""))</f>
        <v/>
      </c>
      <c r="AC88" s="90"/>
      <c r="AD88" s="86"/>
      <c r="AE88" s="86"/>
      <c r="AF88" s="86"/>
      <c r="AG88" s="86"/>
      <c r="AH88" s="86"/>
      <c r="AI88" s="86"/>
      <c r="AJ88" s="86"/>
      <c r="AK88" s="86"/>
      <c r="AL88" s="86"/>
      <c r="AM88" s="86"/>
      <c r="AN88" s="86"/>
      <c r="AO88" s="86"/>
      <c r="AP88" s="86"/>
      <c r="AQ88" s="86"/>
    </row>
    <row r="89" spans="1:43" x14ac:dyDescent="0.25">
      <c r="A89" s="86"/>
      <c r="B89" s="86"/>
      <c r="C89" s="86"/>
      <c r="F89" s="86"/>
      <c r="G89" s="93"/>
      <c r="H89" s="77"/>
      <c r="I89" s="81"/>
      <c r="J89" s="92" t="str">
        <f>IF(I89="","",IF(I89=I90,"R",""))</f>
        <v/>
      </c>
      <c r="K89" s="66"/>
      <c r="L89" s="66"/>
      <c r="M89" s="709"/>
      <c r="N89" s="77"/>
      <c r="O89" s="81"/>
      <c r="P89" s="92" t="str">
        <f>IF(O89="","",IF(O89=O90,"R",""))</f>
        <v/>
      </c>
      <c r="Q89" s="91"/>
      <c r="R89" s="86"/>
      <c r="S89" s="86"/>
      <c r="T89" s="86"/>
      <c r="U89" s="86"/>
      <c r="V89" s="86"/>
      <c r="W89" s="91"/>
      <c r="X89" s="86"/>
      <c r="Y89" s="94"/>
      <c r="Z89" s="77"/>
      <c r="AA89" s="78"/>
      <c r="AB89" s="70"/>
      <c r="AC89" s="90"/>
      <c r="AD89" s="86"/>
      <c r="AE89" s="86"/>
      <c r="AF89" s="86"/>
      <c r="AG89" s="86"/>
      <c r="AH89" s="86"/>
      <c r="AI89" s="86"/>
      <c r="AJ89" s="86"/>
      <c r="AK89" s="86"/>
      <c r="AL89" s="86"/>
      <c r="AM89" s="86"/>
      <c r="AN89" s="86"/>
      <c r="AO89" s="86"/>
      <c r="AP89" s="86"/>
      <c r="AQ89" s="86"/>
    </row>
    <row r="90" spans="1:43" x14ac:dyDescent="0.25">
      <c r="A90" s="86"/>
      <c r="B90" s="86"/>
      <c r="C90" s="86"/>
      <c r="F90" s="86"/>
      <c r="G90" s="94"/>
      <c r="H90" s="77"/>
      <c r="I90" s="81"/>
      <c r="J90" s="70"/>
      <c r="K90" s="66"/>
      <c r="L90" s="66"/>
      <c r="M90" s="710"/>
      <c r="N90" s="77"/>
      <c r="O90" s="81"/>
      <c r="P90" s="70"/>
      <c r="Q90" s="91"/>
      <c r="R90" s="86"/>
      <c r="S90" s="86"/>
      <c r="T90" s="86"/>
      <c r="U90" s="86"/>
      <c r="V90" s="86"/>
      <c r="W90" s="91"/>
      <c r="X90" s="86"/>
      <c r="Y90" s="86"/>
      <c r="Z90" s="86"/>
      <c r="AA90" s="86"/>
      <c r="AB90" s="86"/>
      <c r="AC90" s="91"/>
      <c r="AD90" s="86"/>
      <c r="AE90" s="86"/>
      <c r="AF90" s="86"/>
      <c r="AG90" s="86"/>
      <c r="AH90" s="86"/>
      <c r="AI90" s="86"/>
      <c r="AJ90" s="86"/>
      <c r="AK90" s="86"/>
      <c r="AL90" s="86"/>
      <c r="AM90" s="86"/>
      <c r="AN90" s="86"/>
      <c r="AO90" s="86"/>
      <c r="AP90" s="86"/>
      <c r="AQ90" s="86"/>
    </row>
    <row r="91" spans="1:43" x14ac:dyDescent="0.25">
      <c r="A91" s="86"/>
      <c r="B91" s="86"/>
      <c r="C91" s="86"/>
      <c r="F91" s="86"/>
      <c r="G91" s="709"/>
      <c r="H91" s="77"/>
      <c r="I91" s="81"/>
      <c r="J91" s="92" t="str">
        <f>IF(I91="","",IF(I91=I92,"R",""))</f>
        <v/>
      </c>
      <c r="K91" s="66"/>
      <c r="L91" s="66"/>
      <c r="M91" s="93"/>
      <c r="N91" s="77"/>
      <c r="O91" s="81"/>
      <c r="P91" s="92" t="str">
        <f>IF(O91="","",IF(O91=O92,"R",""))</f>
        <v/>
      </c>
      <c r="Q91" s="91"/>
      <c r="R91" s="86"/>
      <c r="S91" s="86"/>
      <c r="T91" s="86"/>
      <c r="U91" s="86"/>
      <c r="V91" s="86"/>
      <c r="W91" s="91"/>
      <c r="X91" s="86"/>
      <c r="Y91" s="86"/>
      <c r="Z91" s="86"/>
      <c r="AA91" s="86"/>
      <c r="AB91" s="86"/>
      <c r="AC91" s="91"/>
      <c r="AD91" s="86"/>
      <c r="AE91" s="86"/>
      <c r="AF91" s="86"/>
      <c r="AG91" s="86"/>
      <c r="AH91" s="86"/>
      <c r="AI91" s="86"/>
      <c r="AJ91" s="86"/>
      <c r="AK91" s="86"/>
      <c r="AL91" s="86"/>
      <c r="AM91" s="86"/>
      <c r="AN91" s="86"/>
      <c r="AO91" s="86"/>
      <c r="AP91" s="86"/>
      <c r="AQ91" s="86"/>
    </row>
    <row r="92" spans="1:43" x14ac:dyDescent="0.25">
      <c r="A92" s="86"/>
      <c r="B92" s="86"/>
      <c r="C92" s="86"/>
      <c r="F92" s="86"/>
      <c r="G92" s="710"/>
      <c r="H92" s="77"/>
      <c r="I92" s="81"/>
      <c r="J92" s="70"/>
      <c r="K92" s="66"/>
      <c r="L92" s="66"/>
      <c r="M92" s="94"/>
      <c r="N92" s="77"/>
      <c r="O92" s="81"/>
      <c r="P92" s="70"/>
      <c r="Q92" s="91"/>
      <c r="R92" s="86"/>
      <c r="S92" s="86"/>
      <c r="T92" s="86"/>
      <c r="U92" s="86"/>
      <c r="V92" s="86"/>
      <c r="W92" s="91"/>
      <c r="X92" s="86"/>
      <c r="Y92" s="86"/>
      <c r="Z92" s="86"/>
      <c r="AA92" s="86"/>
      <c r="AB92" s="86"/>
      <c r="AC92" s="91"/>
      <c r="AD92" s="86"/>
      <c r="AE92" s="86"/>
      <c r="AF92" s="86"/>
      <c r="AG92" s="86"/>
      <c r="AH92" s="86"/>
      <c r="AI92" s="86"/>
      <c r="AJ92" s="86"/>
      <c r="AK92" s="86"/>
      <c r="AL92" s="86"/>
      <c r="AM92" s="86"/>
      <c r="AN92" s="86"/>
      <c r="AO92" s="86"/>
      <c r="AP92" s="86"/>
      <c r="AQ92" s="86"/>
    </row>
    <row r="93" spans="1:43" x14ac:dyDescent="0.25">
      <c r="A93" s="86"/>
      <c r="B93" s="86"/>
      <c r="C93" s="86"/>
      <c r="F93" s="86"/>
      <c r="G93" s="93"/>
      <c r="H93" s="77"/>
      <c r="I93" s="81"/>
      <c r="J93" s="92" t="str">
        <f>IF(I93="","",IF(I93=I94,"R",""))</f>
        <v/>
      </c>
      <c r="K93" s="66"/>
      <c r="L93" s="66"/>
      <c r="M93" s="87"/>
      <c r="N93" s="86"/>
      <c r="O93" s="86"/>
      <c r="P93" s="86"/>
      <c r="Q93" s="91"/>
      <c r="R93" s="86"/>
      <c r="S93" s="86"/>
      <c r="T93" s="86"/>
      <c r="U93" s="86"/>
      <c r="V93" s="86"/>
      <c r="W93" s="91"/>
      <c r="X93" s="86"/>
      <c r="Y93" s="86"/>
      <c r="Z93" s="86"/>
      <c r="AA93" s="86"/>
      <c r="AB93" s="86"/>
      <c r="AC93" s="91"/>
      <c r="AD93" s="86"/>
      <c r="AE93" s="86"/>
      <c r="AF93" s="86"/>
      <c r="AG93" s="86"/>
      <c r="AH93" s="86"/>
      <c r="AI93" s="86"/>
      <c r="AJ93" s="86"/>
      <c r="AK93" s="86"/>
      <c r="AL93" s="86"/>
      <c r="AM93" s="86"/>
      <c r="AN93" s="86"/>
      <c r="AO93" s="86"/>
      <c r="AP93" s="86"/>
      <c r="AQ93" s="86"/>
    </row>
    <row r="94" spans="1:43" x14ac:dyDescent="0.25">
      <c r="A94" s="86"/>
      <c r="B94" s="86"/>
      <c r="C94" s="86"/>
      <c r="F94" s="86"/>
      <c r="G94" s="94"/>
      <c r="H94" s="77"/>
      <c r="I94" s="81"/>
      <c r="J94" s="70"/>
      <c r="K94" s="66"/>
      <c r="L94" s="66"/>
      <c r="M94" s="87"/>
      <c r="N94" s="86"/>
      <c r="O94" s="86"/>
      <c r="P94" s="86"/>
      <c r="Q94" s="91"/>
      <c r="R94" s="86"/>
      <c r="S94" s="86"/>
      <c r="T94" s="86"/>
      <c r="U94" s="86"/>
      <c r="V94" s="86"/>
      <c r="W94" s="91"/>
      <c r="X94" s="86"/>
      <c r="Y94" s="86"/>
      <c r="Z94" s="86"/>
      <c r="AA94" s="86"/>
      <c r="AB94" s="86"/>
      <c r="AC94" s="91"/>
      <c r="AD94" s="86"/>
      <c r="AE94" s="86"/>
      <c r="AF94" s="86"/>
      <c r="AG94" s="86"/>
      <c r="AH94" s="86"/>
      <c r="AI94" s="86"/>
      <c r="AJ94" s="86"/>
      <c r="AK94" s="86"/>
      <c r="AL94" s="86"/>
      <c r="AM94" s="86"/>
      <c r="AN94" s="86"/>
      <c r="AO94" s="86"/>
      <c r="AP94" s="86"/>
      <c r="AQ94" s="86"/>
    </row>
    <row r="95" spans="1:43" x14ac:dyDescent="0.25">
      <c r="A95" s="86"/>
      <c r="B95" s="86"/>
      <c r="C95" s="86"/>
      <c r="F95" s="86"/>
      <c r="G95" s="68"/>
      <c r="H95" s="66"/>
      <c r="I95" s="66"/>
      <c r="J95" s="66"/>
      <c r="K95" s="66"/>
      <c r="L95" s="66"/>
      <c r="M95" s="87"/>
      <c r="N95" s="86"/>
      <c r="O95" s="86"/>
      <c r="P95" s="86"/>
      <c r="Q95" s="91"/>
      <c r="R95" s="86"/>
      <c r="S95" s="86"/>
      <c r="T95" s="86"/>
      <c r="U95" s="86"/>
      <c r="V95" s="86"/>
      <c r="W95" s="91"/>
      <c r="X95" s="86"/>
      <c r="Y95" s="86"/>
      <c r="Z95" s="86"/>
      <c r="AA95" s="86"/>
      <c r="AB95" s="86"/>
      <c r="AC95" s="91"/>
      <c r="AD95" s="86"/>
      <c r="AE95" s="86"/>
      <c r="AF95" s="86"/>
      <c r="AG95" s="86"/>
      <c r="AH95" s="86"/>
      <c r="AI95" s="86"/>
      <c r="AJ95" s="86"/>
      <c r="AK95" s="86"/>
      <c r="AL95" s="86"/>
      <c r="AM95" s="86"/>
      <c r="AN95" s="86"/>
      <c r="AO95" s="86"/>
      <c r="AP95" s="86"/>
      <c r="AQ95" s="86"/>
    </row>
    <row r="96" spans="1:43" x14ac:dyDescent="0.25">
      <c r="A96" s="86"/>
      <c r="B96" s="86"/>
      <c r="C96" s="86"/>
      <c r="F96" s="86"/>
      <c r="G96" s="68"/>
      <c r="H96" s="66"/>
      <c r="I96" s="66"/>
      <c r="J96" s="66"/>
      <c r="K96" s="66"/>
      <c r="L96" s="66"/>
      <c r="M96" s="87"/>
      <c r="N96" s="86"/>
      <c r="O96" s="86"/>
      <c r="P96" s="86"/>
      <c r="Q96" s="91"/>
      <c r="R96" s="86"/>
      <c r="S96" s="86"/>
      <c r="T96" s="86"/>
      <c r="U96" s="86"/>
      <c r="V96" s="86"/>
      <c r="W96" s="91"/>
      <c r="X96" s="86"/>
      <c r="Y96" s="86"/>
      <c r="Z96" s="86"/>
      <c r="AA96" s="86"/>
      <c r="AB96" s="86"/>
      <c r="AC96" s="91"/>
      <c r="AD96" s="86"/>
      <c r="AE96" s="86"/>
      <c r="AF96" s="86"/>
      <c r="AG96" s="86"/>
      <c r="AH96" s="86"/>
      <c r="AI96" s="86"/>
      <c r="AJ96" s="86"/>
      <c r="AK96" s="86"/>
      <c r="AL96" s="86"/>
      <c r="AM96" s="86"/>
      <c r="AN96" s="86"/>
      <c r="AO96" s="86"/>
      <c r="AP96" s="86"/>
      <c r="AQ96" s="86"/>
    </row>
    <row r="97" spans="1:43" x14ac:dyDescent="0.25">
      <c r="A97" s="86"/>
      <c r="B97" s="86"/>
      <c r="C97" s="86"/>
      <c r="F97" s="86"/>
      <c r="G97" s="68"/>
      <c r="H97" s="66"/>
      <c r="I97" s="66"/>
      <c r="J97" s="66"/>
      <c r="K97" s="66"/>
      <c r="L97" s="66"/>
      <c r="M97" s="87"/>
      <c r="N97" s="86"/>
      <c r="O97" s="86"/>
      <c r="P97" s="86"/>
      <c r="Q97" s="91"/>
      <c r="R97" s="86"/>
      <c r="S97" s="86"/>
      <c r="T97" s="86"/>
      <c r="U97" s="86"/>
      <c r="V97" s="86"/>
      <c r="W97" s="91"/>
      <c r="X97" s="86"/>
      <c r="Y97" s="86"/>
      <c r="Z97" s="86"/>
      <c r="AA97" s="86"/>
      <c r="AB97" s="86"/>
      <c r="AC97" s="91"/>
      <c r="AD97" s="86"/>
      <c r="AE97" s="86"/>
      <c r="AF97" s="86"/>
      <c r="AG97" s="86"/>
      <c r="AH97" s="86"/>
      <c r="AI97" s="86"/>
      <c r="AJ97" s="86"/>
      <c r="AK97" s="86"/>
      <c r="AL97" s="86"/>
      <c r="AM97" s="86"/>
      <c r="AN97" s="86"/>
      <c r="AO97" s="86"/>
      <c r="AP97" s="86"/>
      <c r="AQ97" s="86"/>
    </row>
    <row r="98" spans="1:43" x14ac:dyDescent="0.25">
      <c r="A98" s="86"/>
      <c r="B98" s="86"/>
      <c r="C98" s="86"/>
      <c r="F98" s="86"/>
      <c r="G98" s="68"/>
      <c r="H98" s="66"/>
      <c r="I98" s="66"/>
      <c r="J98" s="66"/>
      <c r="K98" s="66"/>
      <c r="L98" s="66"/>
      <c r="M98" s="87"/>
      <c r="N98" s="86"/>
      <c r="O98" s="86"/>
      <c r="P98" s="86"/>
      <c r="Q98" s="91"/>
      <c r="R98" s="86"/>
      <c r="S98" s="86"/>
      <c r="T98" s="86"/>
      <c r="U98" s="86"/>
      <c r="V98" s="86"/>
      <c r="W98" s="91"/>
      <c r="X98" s="86"/>
      <c r="Y98" s="86"/>
      <c r="Z98" s="86"/>
      <c r="AA98" s="86"/>
      <c r="AB98" s="86"/>
      <c r="AC98" s="91"/>
      <c r="AD98" s="86"/>
      <c r="AE98" s="86"/>
      <c r="AF98" s="86"/>
      <c r="AG98" s="86"/>
      <c r="AH98" s="86"/>
      <c r="AI98" s="86"/>
      <c r="AJ98" s="86"/>
      <c r="AK98" s="86"/>
      <c r="AL98" s="86"/>
      <c r="AM98" s="86"/>
      <c r="AN98" s="86"/>
      <c r="AO98" s="86"/>
      <c r="AP98" s="86"/>
      <c r="AQ98" s="86"/>
    </row>
    <row r="99" spans="1:43" x14ac:dyDescent="0.25">
      <c r="A99" s="86"/>
      <c r="B99" s="86"/>
      <c r="C99" s="86"/>
      <c r="F99" s="86"/>
      <c r="G99" s="68"/>
      <c r="H99" s="66"/>
      <c r="I99" s="66"/>
      <c r="J99" s="66"/>
      <c r="K99" s="66"/>
      <c r="L99" s="66"/>
      <c r="M99" s="87"/>
      <c r="N99" s="86"/>
      <c r="O99" s="86"/>
      <c r="P99" s="86"/>
      <c r="Q99" s="91"/>
      <c r="R99" s="86"/>
      <c r="S99" s="86"/>
      <c r="T99" s="86"/>
      <c r="U99" s="86"/>
      <c r="V99" s="86"/>
      <c r="W99" s="91"/>
      <c r="X99" s="86"/>
      <c r="Y99" s="86"/>
      <c r="Z99" s="86"/>
      <c r="AA99" s="86"/>
      <c r="AB99" s="86"/>
      <c r="AC99" s="91"/>
      <c r="AD99" s="86"/>
      <c r="AE99" s="86"/>
      <c r="AF99" s="86"/>
      <c r="AG99" s="86"/>
      <c r="AH99" s="86"/>
      <c r="AI99" s="86"/>
      <c r="AJ99" s="86"/>
      <c r="AK99" s="86"/>
      <c r="AL99" s="86"/>
      <c r="AM99" s="86"/>
      <c r="AN99" s="86"/>
      <c r="AO99" s="86"/>
      <c r="AP99" s="86"/>
      <c r="AQ99" s="86"/>
    </row>
    <row r="100" spans="1:43" x14ac:dyDescent="0.25">
      <c r="A100" s="86"/>
      <c r="B100" s="86"/>
      <c r="C100" s="86"/>
      <c r="F100" s="86"/>
      <c r="G100" s="68"/>
      <c r="H100" s="66"/>
      <c r="I100" s="66"/>
      <c r="J100" s="66"/>
      <c r="K100" s="66"/>
      <c r="L100" s="66"/>
      <c r="M100" s="87"/>
      <c r="N100" s="86"/>
      <c r="O100" s="86"/>
      <c r="P100" s="86"/>
      <c r="Q100" s="91"/>
      <c r="R100" s="86"/>
      <c r="S100" s="86"/>
      <c r="T100" s="86"/>
      <c r="U100" s="86"/>
      <c r="V100" s="86"/>
      <c r="W100" s="91"/>
      <c r="X100" s="86"/>
      <c r="Y100" s="86"/>
      <c r="Z100" s="86"/>
      <c r="AA100" s="86"/>
      <c r="AB100" s="86"/>
      <c r="AC100" s="91"/>
      <c r="AD100" s="86"/>
      <c r="AE100" s="86"/>
      <c r="AF100" s="86"/>
      <c r="AG100" s="86"/>
      <c r="AH100" s="86"/>
      <c r="AI100" s="86"/>
      <c r="AJ100" s="86"/>
      <c r="AK100" s="86"/>
      <c r="AL100" s="86"/>
      <c r="AM100" s="86"/>
      <c r="AN100" s="86"/>
      <c r="AO100" s="86"/>
      <c r="AP100" s="86"/>
      <c r="AQ100" s="86"/>
    </row>
    <row r="101" spans="1:43" x14ac:dyDescent="0.25">
      <c r="A101" s="86"/>
      <c r="B101" s="86"/>
      <c r="C101" s="86"/>
      <c r="F101" s="86"/>
      <c r="G101" s="68"/>
      <c r="H101" s="66"/>
      <c r="I101" s="66"/>
      <c r="J101" s="66"/>
      <c r="K101" s="66"/>
      <c r="L101" s="66"/>
      <c r="M101" s="87"/>
      <c r="N101" s="86"/>
      <c r="O101" s="86"/>
      <c r="P101" s="86"/>
      <c r="Q101" s="91"/>
      <c r="R101" s="86"/>
      <c r="S101" s="86"/>
      <c r="T101" s="86"/>
      <c r="U101" s="86"/>
      <c r="V101" s="86"/>
      <c r="W101" s="91"/>
      <c r="X101" s="86"/>
      <c r="Y101" s="86"/>
      <c r="Z101" s="86"/>
      <c r="AA101" s="86"/>
      <c r="AB101" s="86"/>
      <c r="AC101" s="91"/>
      <c r="AD101" s="86"/>
      <c r="AE101" s="86"/>
      <c r="AF101" s="86"/>
      <c r="AG101" s="86"/>
      <c r="AH101" s="86"/>
      <c r="AI101" s="86"/>
      <c r="AJ101" s="86"/>
      <c r="AK101" s="86"/>
      <c r="AL101" s="86"/>
      <c r="AM101" s="86"/>
      <c r="AN101" s="86"/>
      <c r="AO101" s="86"/>
      <c r="AP101" s="86"/>
      <c r="AQ101" s="86"/>
    </row>
    <row r="102" spans="1:43" x14ac:dyDescent="0.25">
      <c r="A102" s="86"/>
      <c r="B102" s="86"/>
      <c r="C102" s="86"/>
      <c r="F102" s="86"/>
      <c r="G102" s="68"/>
      <c r="H102" s="66"/>
      <c r="I102" s="66"/>
      <c r="J102" s="66"/>
      <c r="K102" s="66"/>
      <c r="L102" s="66"/>
      <c r="M102" s="87"/>
      <c r="N102" s="86"/>
      <c r="O102" s="86"/>
      <c r="P102" s="86"/>
      <c r="Q102" s="91"/>
      <c r="R102" s="86"/>
      <c r="S102" s="86"/>
      <c r="T102" s="86"/>
      <c r="U102" s="86"/>
      <c r="V102" s="86"/>
      <c r="W102" s="91"/>
      <c r="X102" s="86"/>
      <c r="Y102" s="86"/>
      <c r="Z102" s="86"/>
      <c r="AA102" s="86"/>
      <c r="AB102" s="86"/>
      <c r="AC102" s="91"/>
      <c r="AD102" s="86"/>
      <c r="AE102" s="86"/>
      <c r="AF102" s="86"/>
      <c r="AG102" s="86"/>
      <c r="AH102" s="86"/>
      <c r="AI102" s="86"/>
      <c r="AJ102" s="86"/>
      <c r="AK102" s="86"/>
      <c r="AL102" s="86"/>
      <c r="AM102" s="86"/>
      <c r="AN102" s="86"/>
      <c r="AO102" s="86"/>
      <c r="AP102" s="86"/>
      <c r="AQ102" s="86"/>
    </row>
    <row r="103" spans="1:43" x14ac:dyDescent="0.25">
      <c r="A103" s="86"/>
      <c r="B103" s="86"/>
      <c r="C103" s="86"/>
      <c r="F103" s="86"/>
      <c r="G103" s="68"/>
      <c r="H103" s="66"/>
      <c r="I103" s="66"/>
      <c r="J103" s="66"/>
      <c r="K103" s="66"/>
      <c r="L103" s="66"/>
      <c r="M103" s="87"/>
      <c r="N103" s="86"/>
      <c r="O103" s="86"/>
      <c r="P103" s="86"/>
      <c r="Q103" s="91"/>
      <c r="R103" s="86"/>
      <c r="S103" s="86"/>
      <c r="T103" s="86"/>
      <c r="U103" s="86"/>
      <c r="V103" s="86"/>
      <c r="W103" s="91"/>
      <c r="X103" s="86"/>
      <c r="Y103" s="86"/>
      <c r="Z103" s="86"/>
      <c r="AA103" s="86"/>
      <c r="AB103" s="86"/>
      <c r="AC103" s="91"/>
      <c r="AD103" s="86"/>
      <c r="AE103" s="86"/>
      <c r="AF103" s="86"/>
      <c r="AG103" s="86"/>
      <c r="AH103" s="86"/>
      <c r="AI103" s="86"/>
      <c r="AJ103" s="86"/>
      <c r="AK103" s="86"/>
      <c r="AL103" s="86"/>
      <c r="AM103" s="86"/>
      <c r="AN103" s="86"/>
      <c r="AO103" s="86"/>
      <c r="AP103" s="86"/>
      <c r="AQ103" s="86"/>
    </row>
    <row r="104" spans="1:43" x14ac:dyDescent="0.25">
      <c r="A104" s="86"/>
      <c r="B104" s="86"/>
      <c r="C104" s="86"/>
      <c r="F104" s="86"/>
      <c r="G104" s="68"/>
      <c r="H104" s="66"/>
      <c r="I104" s="66"/>
      <c r="J104" s="66"/>
      <c r="K104" s="66"/>
      <c r="L104" s="66"/>
      <c r="M104" s="87"/>
      <c r="N104" s="86"/>
      <c r="O104" s="86"/>
      <c r="P104" s="86"/>
      <c r="Q104" s="91"/>
      <c r="R104" s="86"/>
      <c r="S104" s="86"/>
      <c r="T104" s="86"/>
      <c r="U104" s="86"/>
      <c r="V104" s="86"/>
      <c r="W104" s="91"/>
      <c r="X104" s="86"/>
      <c r="Y104" s="86"/>
      <c r="Z104" s="86"/>
      <c r="AA104" s="86"/>
      <c r="AB104" s="86"/>
      <c r="AC104" s="91"/>
      <c r="AD104" s="86"/>
      <c r="AE104" s="86"/>
      <c r="AF104" s="86"/>
      <c r="AG104" s="86"/>
      <c r="AH104" s="86"/>
      <c r="AI104" s="86"/>
      <c r="AJ104" s="86"/>
      <c r="AK104" s="86"/>
      <c r="AL104" s="86"/>
      <c r="AM104" s="86"/>
      <c r="AN104" s="86"/>
      <c r="AO104" s="86"/>
      <c r="AP104" s="86"/>
      <c r="AQ104" s="86"/>
    </row>
    <row r="105" spans="1:43" x14ac:dyDescent="0.25">
      <c r="A105" s="86"/>
      <c r="B105" s="86"/>
      <c r="C105" s="86"/>
      <c r="F105" s="86"/>
      <c r="G105" s="68"/>
      <c r="H105" s="66"/>
      <c r="I105" s="66"/>
      <c r="J105" s="66"/>
      <c r="K105" s="66"/>
      <c r="L105" s="66"/>
      <c r="M105" s="87"/>
      <c r="N105" s="86"/>
      <c r="O105" s="86"/>
      <c r="P105" s="86"/>
      <c r="Q105" s="91"/>
      <c r="R105" s="86"/>
      <c r="S105" s="86"/>
      <c r="T105" s="86"/>
      <c r="U105" s="86"/>
      <c r="V105" s="86"/>
      <c r="W105" s="91"/>
      <c r="X105" s="86"/>
      <c r="Y105" s="86"/>
      <c r="Z105" s="86"/>
      <c r="AA105" s="86"/>
      <c r="AB105" s="86"/>
      <c r="AC105" s="91"/>
      <c r="AD105" s="86"/>
      <c r="AE105" s="86"/>
      <c r="AF105" s="86"/>
      <c r="AG105" s="86"/>
      <c r="AH105" s="86"/>
      <c r="AI105" s="86"/>
      <c r="AJ105" s="86"/>
      <c r="AK105" s="86"/>
      <c r="AL105" s="86"/>
      <c r="AM105" s="86"/>
      <c r="AN105" s="86"/>
      <c r="AO105" s="86"/>
      <c r="AP105" s="86"/>
      <c r="AQ105" s="86"/>
    </row>
    <row r="106" spans="1:43" x14ac:dyDescent="0.25">
      <c r="A106" s="86"/>
      <c r="B106" s="86"/>
      <c r="C106" s="86"/>
      <c r="F106" s="86"/>
      <c r="G106" s="68"/>
      <c r="H106" s="66"/>
      <c r="I106" s="66"/>
      <c r="J106" s="66"/>
      <c r="K106" s="66"/>
      <c r="L106" s="66"/>
      <c r="M106" s="87"/>
      <c r="N106" s="86"/>
      <c r="O106" s="86"/>
      <c r="P106" s="86"/>
      <c r="Q106" s="91"/>
      <c r="R106" s="86"/>
      <c r="S106" s="86"/>
      <c r="T106" s="86"/>
      <c r="U106" s="86"/>
      <c r="V106" s="86"/>
      <c r="W106" s="91"/>
      <c r="X106" s="86"/>
      <c r="Y106" s="86"/>
      <c r="Z106" s="86"/>
      <c r="AA106" s="86"/>
      <c r="AB106" s="86"/>
      <c r="AC106" s="91"/>
      <c r="AD106" s="86"/>
      <c r="AE106" s="86"/>
      <c r="AF106" s="86"/>
      <c r="AG106" s="86"/>
      <c r="AH106" s="86"/>
      <c r="AI106" s="86"/>
      <c r="AJ106" s="86"/>
      <c r="AK106" s="86"/>
      <c r="AL106" s="86"/>
      <c r="AM106" s="86"/>
      <c r="AN106" s="86"/>
      <c r="AO106" s="86"/>
      <c r="AP106" s="86"/>
      <c r="AQ106" s="86"/>
    </row>
    <row r="107" spans="1:43" x14ac:dyDescent="0.25">
      <c r="A107" s="86"/>
      <c r="B107" s="86"/>
      <c r="C107" s="86"/>
      <c r="F107" s="86"/>
      <c r="G107" s="68"/>
      <c r="H107" s="66"/>
      <c r="I107" s="66"/>
      <c r="J107" s="66"/>
      <c r="K107" s="66"/>
      <c r="L107" s="66"/>
      <c r="M107" s="87"/>
      <c r="N107" s="86"/>
      <c r="O107" s="86"/>
      <c r="P107" s="86"/>
      <c r="Q107" s="91"/>
      <c r="R107" s="86"/>
      <c r="S107" s="86"/>
      <c r="T107" s="86"/>
      <c r="U107" s="86"/>
      <c r="V107" s="86"/>
      <c r="W107" s="91"/>
      <c r="X107" s="86"/>
      <c r="Y107" s="86"/>
      <c r="Z107" s="86"/>
      <c r="AA107" s="86"/>
      <c r="AB107" s="86"/>
      <c r="AC107" s="91"/>
      <c r="AD107" s="86"/>
      <c r="AE107" s="86"/>
      <c r="AF107" s="86"/>
      <c r="AG107" s="86"/>
      <c r="AH107" s="86"/>
      <c r="AI107" s="86"/>
      <c r="AJ107" s="86"/>
      <c r="AK107" s="86"/>
      <c r="AL107" s="86"/>
      <c r="AM107" s="86"/>
      <c r="AN107" s="86"/>
      <c r="AO107" s="86"/>
      <c r="AP107" s="86"/>
      <c r="AQ107" s="86"/>
    </row>
    <row r="108" spans="1:43" x14ac:dyDescent="0.25">
      <c r="A108" s="86"/>
      <c r="B108" s="86"/>
      <c r="C108" s="86"/>
      <c r="F108" s="86"/>
      <c r="G108" s="68"/>
      <c r="H108" s="66"/>
      <c r="I108" s="66"/>
      <c r="J108" s="66"/>
      <c r="K108" s="66"/>
      <c r="L108" s="66"/>
      <c r="M108" s="87"/>
      <c r="N108" s="86"/>
      <c r="O108" s="86"/>
      <c r="P108" s="86"/>
      <c r="Q108" s="91"/>
      <c r="R108" s="86"/>
      <c r="S108" s="86"/>
      <c r="T108" s="86"/>
      <c r="U108" s="86"/>
      <c r="V108" s="86"/>
      <c r="W108" s="91"/>
      <c r="X108" s="86"/>
      <c r="Y108" s="86"/>
      <c r="Z108" s="86"/>
      <c r="AA108" s="86"/>
      <c r="AB108" s="86"/>
      <c r="AC108" s="91"/>
      <c r="AD108" s="86"/>
      <c r="AE108" s="86"/>
      <c r="AF108" s="86"/>
      <c r="AG108" s="86"/>
      <c r="AH108" s="86"/>
      <c r="AI108" s="86"/>
      <c r="AJ108" s="86"/>
      <c r="AK108" s="86"/>
      <c r="AL108" s="86"/>
      <c r="AM108" s="86"/>
      <c r="AN108" s="86"/>
      <c r="AO108" s="86"/>
      <c r="AP108" s="86"/>
      <c r="AQ108" s="86"/>
    </row>
    <row r="109" spans="1:43" x14ac:dyDescent="0.25">
      <c r="A109" s="86"/>
      <c r="B109" s="86"/>
      <c r="C109" s="86"/>
      <c r="F109" s="86"/>
      <c r="G109" s="68"/>
      <c r="H109" s="66"/>
      <c r="I109" s="66"/>
      <c r="J109" s="66"/>
      <c r="K109" s="66"/>
      <c r="L109" s="66"/>
      <c r="M109" s="87"/>
      <c r="N109" s="86"/>
      <c r="O109" s="86"/>
      <c r="P109" s="86"/>
      <c r="Q109" s="91"/>
      <c r="R109" s="86"/>
      <c r="S109" s="86"/>
      <c r="T109" s="86"/>
      <c r="U109" s="86"/>
      <c r="V109" s="86"/>
      <c r="W109" s="91"/>
      <c r="X109" s="86"/>
      <c r="Y109" s="86"/>
      <c r="Z109" s="86"/>
      <c r="AA109" s="86"/>
      <c r="AB109" s="86"/>
      <c r="AC109" s="91"/>
      <c r="AD109" s="86"/>
      <c r="AE109" s="86"/>
      <c r="AF109" s="86"/>
      <c r="AG109" s="86"/>
      <c r="AH109" s="86"/>
      <c r="AI109" s="86"/>
      <c r="AJ109" s="86"/>
      <c r="AK109" s="86"/>
      <c r="AL109" s="86"/>
      <c r="AM109" s="86"/>
      <c r="AN109" s="86"/>
      <c r="AO109" s="86"/>
      <c r="AP109" s="86"/>
      <c r="AQ109" s="86"/>
    </row>
    <row r="110" spans="1:43" x14ac:dyDescent="0.25">
      <c r="A110" s="86"/>
      <c r="B110" s="86"/>
      <c r="C110" s="86"/>
      <c r="F110" s="86"/>
      <c r="G110" s="68"/>
      <c r="H110" s="66"/>
      <c r="I110" s="66"/>
      <c r="J110" s="66"/>
      <c r="K110" s="66"/>
      <c r="L110" s="66"/>
      <c r="M110" s="87"/>
      <c r="N110" s="86"/>
      <c r="O110" s="86"/>
      <c r="P110" s="86"/>
      <c r="Q110" s="91"/>
      <c r="R110" s="86"/>
      <c r="S110" s="86"/>
      <c r="T110" s="86"/>
      <c r="U110" s="86"/>
      <c r="V110" s="86"/>
      <c r="W110" s="91"/>
      <c r="X110" s="86"/>
      <c r="Y110" s="86"/>
      <c r="Z110" s="86"/>
      <c r="AA110" s="86"/>
      <c r="AB110" s="86"/>
      <c r="AC110" s="91"/>
      <c r="AD110" s="86"/>
      <c r="AE110" s="86"/>
      <c r="AF110" s="86"/>
      <c r="AG110" s="86"/>
      <c r="AH110" s="86"/>
      <c r="AI110" s="86"/>
      <c r="AJ110" s="86"/>
      <c r="AK110" s="86"/>
      <c r="AL110" s="86"/>
      <c r="AM110" s="86"/>
      <c r="AN110" s="86"/>
      <c r="AO110" s="86"/>
      <c r="AP110" s="86"/>
      <c r="AQ110" s="86"/>
    </row>
    <row r="111" spans="1:43" x14ac:dyDescent="0.25">
      <c r="A111" s="86"/>
      <c r="B111" s="86"/>
      <c r="C111" s="86"/>
      <c r="F111" s="86"/>
      <c r="G111" s="68"/>
      <c r="H111" s="66"/>
      <c r="I111" s="66"/>
      <c r="J111" s="66"/>
      <c r="K111" s="66"/>
      <c r="L111" s="66"/>
      <c r="M111" s="87"/>
      <c r="N111" s="86"/>
      <c r="O111" s="86"/>
      <c r="P111" s="86"/>
      <c r="Q111" s="91"/>
      <c r="R111" s="86"/>
      <c r="S111" s="86"/>
      <c r="T111" s="86"/>
      <c r="U111" s="86"/>
      <c r="V111" s="86"/>
      <c r="W111" s="91"/>
      <c r="X111" s="86"/>
      <c r="Y111" s="86"/>
      <c r="Z111" s="86"/>
      <c r="AA111" s="86"/>
      <c r="AB111" s="86"/>
      <c r="AC111" s="91"/>
      <c r="AD111" s="86"/>
      <c r="AE111" s="86"/>
      <c r="AF111" s="86"/>
      <c r="AG111" s="86"/>
      <c r="AH111" s="86"/>
      <c r="AI111" s="86"/>
      <c r="AJ111" s="86"/>
      <c r="AK111" s="86"/>
      <c r="AL111" s="86"/>
      <c r="AM111" s="86"/>
      <c r="AN111" s="86"/>
      <c r="AO111" s="86"/>
      <c r="AP111" s="86"/>
      <c r="AQ111" s="86"/>
    </row>
    <row r="112" spans="1:43" x14ac:dyDescent="0.25">
      <c r="A112" s="86"/>
      <c r="B112" s="86"/>
      <c r="C112" s="86"/>
      <c r="F112" s="86"/>
      <c r="G112" s="68"/>
      <c r="H112" s="66"/>
      <c r="I112" s="66"/>
      <c r="J112" s="66"/>
      <c r="K112" s="66"/>
      <c r="L112" s="66"/>
      <c r="M112" s="87"/>
      <c r="N112" s="86"/>
      <c r="O112" s="86"/>
      <c r="P112" s="86"/>
      <c r="Q112" s="91"/>
      <c r="R112" s="86"/>
      <c r="S112" s="86"/>
      <c r="T112" s="86"/>
      <c r="U112" s="86"/>
      <c r="V112" s="86"/>
      <c r="W112" s="91"/>
      <c r="X112" s="86"/>
      <c r="Y112" s="86"/>
      <c r="Z112" s="86"/>
      <c r="AA112" s="86"/>
      <c r="AB112" s="86"/>
      <c r="AC112" s="91"/>
      <c r="AD112" s="86"/>
      <c r="AE112" s="86"/>
      <c r="AF112" s="86"/>
      <c r="AG112" s="86"/>
      <c r="AH112" s="86"/>
      <c r="AI112" s="86"/>
      <c r="AJ112" s="86"/>
      <c r="AK112" s="86"/>
      <c r="AL112" s="86"/>
      <c r="AM112" s="86"/>
      <c r="AN112" s="86"/>
      <c r="AO112" s="86"/>
      <c r="AP112" s="86"/>
      <c r="AQ112" s="86"/>
    </row>
    <row r="113" spans="1:43" x14ac:dyDescent="0.25">
      <c r="A113" s="86"/>
      <c r="B113" s="86"/>
      <c r="C113" s="86"/>
      <c r="F113" s="86"/>
      <c r="G113" s="68"/>
      <c r="H113" s="66"/>
      <c r="I113" s="66"/>
      <c r="J113" s="66"/>
      <c r="K113" s="66"/>
      <c r="L113" s="66"/>
      <c r="M113" s="87"/>
      <c r="N113" s="86"/>
      <c r="O113" s="86"/>
      <c r="P113" s="86"/>
      <c r="Q113" s="91"/>
      <c r="R113" s="86"/>
      <c r="S113" s="86"/>
      <c r="T113" s="86"/>
      <c r="U113" s="86"/>
      <c r="V113" s="86"/>
      <c r="W113" s="91"/>
      <c r="X113" s="86"/>
      <c r="Y113" s="86"/>
      <c r="Z113" s="86"/>
      <c r="AA113" s="86"/>
      <c r="AB113" s="86"/>
      <c r="AC113" s="91"/>
      <c r="AD113" s="86"/>
      <c r="AE113" s="86"/>
      <c r="AF113" s="86"/>
      <c r="AG113" s="86"/>
      <c r="AH113" s="86"/>
      <c r="AI113" s="86"/>
      <c r="AJ113" s="86"/>
      <c r="AK113" s="86"/>
      <c r="AL113" s="86"/>
      <c r="AM113" s="86"/>
      <c r="AN113" s="86"/>
      <c r="AO113" s="86"/>
      <c r="AP113" s="86"/>
      <c r="AQ113" s="86"/>
    </row>
    <row r="114" spans="1:43" x14ac:dyDescent="0.25">
      <c r="A114" s="86"/>
      <c r="B114" s="86"/>
      <c r="C114" s="86"/>
      <c r="F114" s="86"/>
      <c r="G114" s="68"/>
      <c r="H114" s="66"/>
      <c r="I114" s="66"/>
      <c r="J114" s="66"/>
      <c r="K114" s="66"/>
      <c r="L114" s="66"/>
      <c r="M114" s="87"/>
      <c r="N114" s="86"/>
      <c r="O114" s="86"/>
      <c r="P114" s="86"/>
      <c r="Q114" s="91"/>
      <c r="R114" s="86"/>
      <c r="S114" s="86"/>
      <c r="T114" s="86"/>
      <c r="U114" s="86"/>
      <c r="V114" s="86"/>
      <c r="W114" s="91"/>
      <c r="X114" s="86"/>
      <c r="Y114" s="86"/>
      <c r="Z114" s="86"/>
      <c r="AA114" s="86"/>
      <c r="AB114" s="86"/>
      <c r="AC114" s="91"/>
      <c r="AD114" s="86"/>
      <c r="AE114" s="86"/>
      <c r="AF114" s="86"/>
      <c r="AG114" s="86"/>
      <c r="AH114" s="86"/>
      <c r="AI114" s="86"/>
      <c r="AJ114" s="86"/>
      <c r="AK114" s="86"/>
      <c r="AL114" s="86"/>
      <c r="AM114" s="86"/>
      <c r="AN114" s="86"/>
      <c r="AO114" s="86"/>
      <c r="AP114" s="86"/>
      <c r="AQ114" s="86"/>
    </row>
    <row r="115" spans="1:43" x14ac:dyDescent="0.25">
      <c r="A115" s="86"/>
      <c r="B115" s="86"/>
      <c r="C115" s="86"/>
      <c r="F115" s="86"/>
      <c r="G115" s="68"/>
      <c r="H115" s="66"/>
      <c r="I115" s="66"/>
      <c r="J115" s="66"/>
      <c r="K115" s="66"/>
      <c r="L115" s="66"/>
      <c r="M115" s="87"/>
      <c r="N115" s="86"/>
      <c r="O115" s="86"/>
      <c r="P115" s="86"/>
      <c r="Q115" s="91"/>
      <c r="R115" s="86"/>
      <c r="S115" s="86"/>
      <c r="T115" s="86"/>
      <c r="U115" s="86"/>
      <c r="V115" s="86"/>
      <c r="W115" s="91"/>
      <c r="X115" s="86"/>
      <c r="Y115" s="86"/>
      <c r="Z115" s="86"/>
      <c r="AA115" s="86"/>
      <c r="AB115" s="86"/>
      <c r="AC115" s="91"/>
      <c r="AD115" s="86"/>
      <c r="AE115" s="86"/>
      <c r="AF115" s="86"/>
      <c r="AG115" s="86"/>
      <c r="AH115" s="86"/>
      <c r="AI115" s="86"/>
      <c r="AJ115" s="86"/>
      <c r="AK115" s="86"/>
      <c r="AL115" s="86"/>
      <c r="AM115" s="86"/>
      <c r="AN115" s="86"/>
      <c r="AO115" s="86"/>
      <c r="AP115" s="86"/>
      <c r="AQ115" s="86"/>
    </row>
    <row r="116" spans="1:43" x14ac:dyDescent="0.25">
      <c r="A116" s="86"/>
      <c r="B116" s="86"/>
      <c r="C116" s="86"/>
      <c r="F116" s="86"/>
      <c r="G116" s="68"/>
      <c r="H116" s="66"/>
      <c r="I116" s="66"/>
      <c r="J116" s="66"/>
      <c r="K116" s="66"/>
      <c r="L116" s="66"/>
      <c r="M116" s="87"/>
      <c r="N116" s="86"/>
      <c r="O116" s="86"/>
      <c r="P116" s="86"/>
      <c r="Q116" s="91"/>
      <c r="R116" s="86"/>
      <c r="S116" s="86"/>
      <c r="T116" s="86"/>
      <c r="U116" s="86"/>
      <c r="V116" s="86"/>
      <c r="W116" s="91"/>
      <c r="X116" s="86"/>
      <c r="Y116" s="86"/>
      <c r="Z116" s="86"/>
      <c r="AA116" s="86"/>
      <c r="AB116" s="86"/>
      <c r="AC116" s="91"/>
      <c r="AD116" s="86"/>
      <c r="AE116" s="86"/>
      <c r="AF116" s="86"/>
      <c r="AG116" s="86"/>
      <c r="AH116" s="86"/>
      <c r="AI116" s="86"/>
      <c r="AJ116" s="86"/>
      <c r="AK116" s="86"/>
      <c r="AL116" s="86"/>
      <c r="AM116" s="86"/>
      <c r="AN116" s="86"/>
      <c r="AO116" s="86"/>
      <c r="AP116" s="86"/>
      <c r="AQ116" s="86"/>
    </row>
    <row r="117" spans="1:43" x14ac:dyDescent="0.25">
      <c r="A117" s="86"/>
      <c r="B117" s="86"/>
      <c r="C117" s="86"/>
      <c r="F117" s="86"/>
      <c r="G117" s="68"/>
      <c r="H117" s="66"/>
      <c r="I117" s="66"/>
      <c r="J117" s="66"/>
      <c r="K117" s="66"/>
      <c r="L117" s="66"/>
      <c r="M117" s="87"/>
      <c r="N117" s="86"/>
      <c r="O117" s="86"/>
      <c r="P117" s="86"/>
      <c r="Q117" s="91"/>
      <c r="R117" s="86"/>
      <c r="S117" s="86"/>
      <c r="T117" s="86"/>
      <c r="U117" s="86"/>
      <c r="V117" s="86"/>
      <c r="W117" s="91"/>
      <c r="X117" s="86"/>
      <c r="Y117" s="86"/>
      <c r="Z117" s="86"/>
      <c r="AA117" s="86"/>
      <c r="AB117" s="86"/>
      <c r="AC117" s="91"/>
      <c r="AD117" s="86"/>
      <c r="AE117" s="86"/>
      <c r="AF117" s="86"/>
      <c r="AG117" s="86"/>
      <c r="AH117" s="86"/>
      <c r="AI117" s="86"/>
      <c r="AJ117" s="86"/>
      <c r="AK117" s="86"/>
      <c r="AL117" s="86"/>
      <c r="AM117" s="86"/>
      <c r="AN117" s="86"/>
      <c r="AO117" s="86"/>
      <c r="AP117" s="86"/>
      <c r="AQ117" s="86"/>
    </row>
    <row r="118" spans="1:43" x14ac:dyDescent="0.25">
      <c r="A118" s="86"/>
      <c r="B118" s="86"/>
      <c r="C118" s="86"/>
      <c r="F118" s="86"/>
      <c r="G118" s="68"/>
      <c r="H118" s="66"/>
      <c r="I118" s="66"/>
      <c r="J118" s="66"/>
      <c r="K118" s="66"/>
      <c r="L118" s="66"/>
      <c r="M118" s="87"/>
      <c r="N118" s="86"/>
      <c r="O118" s="86"/>
      <c r="P118" s="86"/>
      <c r="Q118" s="91"/>
      <c r="R118" s="86"/>
      <c r="S118" s="86"/>
      <c r="T118" s="86"/>
      <c r="U118" s="86"/>
      <c r="V118" s="86"/>
      <c r="W118" s="91"/>
      <c r="X118" s="86"/>
      <c r="Y118" s="86"/>
      <c r="Z118" s="86"/>
      <c r="AA118" s="86"/>
      <c r="AB118" s="86"/>
      <c r="AC118" s="91"/>
      <c r="AD118" s="86"/>
      <c r="AE118" s="86"/>
      <c r="AF118" s="86"/>
      <c r="AG118" s="86"/>
      <c r="AH118" s="86"/>
      <c r="AI118" s="86"/>
      <c r="AJ118" s="86"/>
      <c r="AK118" s="86"/>
      <c r="AL118" s="86"/>
      <c r="AM118" s="86"/>
      <c r="AN118" s="86"/>
      <c r="AO118" s="86"/>
      <c r="AP118" s="86"/>
      <c r="AQ118" s="86"/>
    </row>
    <row r="119" spans="1:43" x14ac:dyDescent="0.25">
      <c r="A119" s="86"/>
      <c r="B119" s="86"/>
      <c r="C119" s="86"/>
      <c r="F119" s="86"/>
      <c r="G119" s="68"/>
      <c r="H119" s="66"/>
      <c r="I119" s="66"/>
      <c r="J119" s="66"/>
      <c r="K119" s="66"/>
      <c r="L119" s="66"/>
      <c r="M119" s="87"/>
      <c r="N119" s="86"/>
      <c r="O119" s="86"/>
      <c r="P119" s="86"/>
      <c r="Q119" s="91"/>
      <c r="R119" s="86"/>
      <c r="S119" s="86"/>
      <c r="T119" s="86"/>
      <c r="U119" s="86"/>
      <c r="V119" s="86"/>
      <c r="W119" s="91"/>
      <c r="X119" s="86"/>
      <c r="Y119" s="86"/>
      <c r="Z119" s="86"/>
      <c r="AA119" s="86"/>
      <c r="AB119" s="86"/>
      <c r="AC119" s="91"/>
      <c r="AD119" s="86"/>
      <c r="AE119" s="86"/>
      <c r="AF119" s="86"/>
      <c r="AG119" s="86"/>
      <c r="AH119" s="86"/>
      <c r="AI119" s="86"/>
      <c r="AJ119" s="86"/>
      <c r="AK119" s="86"/>
      <c r="AL119" s="86"/>
      <c r="AM119" s="86"/>
      <c r="AN119" s="86"/>
      <c r="AO119" s="86"/>
      <c r="AP119" s="86"/>
      <c r="AQ119" s="86"/>
    </row>
    <row r="120" spans="1:43" x14ac:dyDescent="0.25">
      <c r="A120" s="86"/>
      <c r="B120" s="86"/>
      <c r="C120" s="86"/>
      <c r="F120" s="86"/>
      <c r="G120" s="68"/>
      <c r="H120" s="66"/>
      <c r="I120" s="66"/>
      <c r="J120" s="66"/>
      <c r="K120" s="66"/>
      <c r="L120" s="66"/>
      <c r="M120" s="87"/>
      <c r="N120" s="86"/>
      <c r="O120" s="86"/>
      <c r="P120" s="86"/>
      <c r="Q120" s="91"/>
      <c r="R120" s="86"/>
      <c r="S120" s="86"/>
      <c r="T120" s="86"/>
      <c r="U120" s="86"/>
      <c r="V120" s="86"/>
      <c r="W120" s="91"/>
      <c r="X120" s="86"/>
      <c r="Y120" s="86"/>
      <c r="Z120" s="86"/>
      <c r="AA120" s="86"/>
      <c r="AB120" s="86"/>
      <c r="AC120" s="91"/>
      <c r="AD120" s="86"/>
      <c r="AE120" s="86"/>
      <c r="AF120" s="86"/>
      <c r="AG120" s="86"/>
      <c r="AH120" s="86"/>
      <c r="AI120" s="86"/>
      <c r="AJ120" s="86"/>
      <c r="AK120" s="86"/>
      <c r="AL120" s="86"/>
      <c r="AM120" s="86"/>
      <c r="AN120" s="86"/>
      <c r="AO120" s="86"/>
      <c r="AP120" s="86"/>
      <c r="AQ120" s="86"/>
    </row>
    <row r="121" spans="1:43" x14ac:dyDescent="0.25">
      <c r="G121" s="68"/>
      <c r="H121" s="66"/>
      <c r="I121" s="66"/>
      <c r="J121" s="66"/>
      <c r="K121" s="66"/>
      <c r="L121" s="66"/>
    </row>
    <row r="122" spans="1:43" x14ac:dyDescent="0.25">
      <c r="G122" s="68"/>
      <c r="H122" s="66"/>
      <c r="I122" s="66"/>
      <c r="J122" s="66"/>
      <c r="K122" s="66"/>
      <c r="L122" s="66"/>
    </row>
    <row r="123" spans="1:43" x14ac:dyDescent="0.25">
      <c r="G123" s="68"/>
      <c r="H123" s="66"/>
      <c r="I123" s="66"/>
      <c r="J123" s="66"/>
      <c r="K123" s="66"/>
      <c r="L123" s="86"/>
    </row>
    <row r="124" spans="1:43" x14ac:dyDescent="0.25">
      <c r="G124" s="68"/>
      <c r="H124" s="66"/>
      <c r="I124" s="66"/>
      <c r="J124" s="66"/>
      <c r="K124" s="66"/>
      <c r="L124" s="86"/>
    </row>
    <row r="125" spans="1:43" x14ac:dyDescent="0.25">
      <c r="G125" s="68"/>
      <c r="H125" s="66"/>
      <c r="I125" s="66"/>
      <c r="J125" s="66"/>
      <c r="K125" s="66"/>
      <c r="L125" s="86"/>
    </row>
    <row r="126" spans="1:43" x14ac:dyDescent="0.25">
      <c r="G126" s="68"/>
      <c r="H126" s="66"/>
      <c r="I126" s="66"/>
      <c r="J126" s="66"/>
      <c r="K126" s="66"/>
      <c r="L126" s="86"/>
    </row>
    <row r="127" spans="1:43" x14ac:dyDescent="0.25">
      <c r="G127" s="68"/>
      <c r="H127" s="66"/>
      <c r="I127" s="66"/>
      <c r="J127" s="66"/>
      <c r="K127" s="66"/>
      <c r="L127" s="86"/>
    </row>
    <row r="128" spans="1:43" x14ac:dyDescent="0.25">
      <c r="G128" s="68"/>
      <c r="H128" s="66"/>
      <c r="I128" s="66"/>
      <c r="J128" s="66"/>
      <c r="K128" s="66"/>
      <c r="L128" s="86"/>
    </row>
    <row r="129" spans="7:12" x14ac:dyDescent="0.25">
      <c r="G129" s="68"/>
      <c r="H129" s="66"/>
      <c r="I129" s="66"/>
      <c r="J129" s="66"/>
      <c r="K129" s="66"/>
      <c r="L129" s="86"/>
    </row>
    <row r="130" spans="7:12" x14ac:dyDescent="0.25">
      <c r="G130" s="68"/>
      <c r="H130" s="66"/>
      <c r="I130" s="66"/>
      <c r="J130" s="66"/>
      <c r="K130" s="66"/>
      <c r="L130" s="86"/>
    </row>
    <row r="131" spans="7:12" x14ac:dyDescent="0.25">
      <c r="G131" s="68"/>
      <c r="H131" s="66"/>
      <c r="I131" s="66"/>
      <c r="J131" s="66"/>
      <c r="K131" s="66"/>
      <c r="L131" s="86"/>
    </row>
    <row r="132" spans="7:12" x14ac:dyDescent="0.25">
      <c r="G132" s="68"/>
      <c r="H132" s="66"/>
      <c r="I132" s="66"/>
      <c r="J132" s="66"/>
      <c r="K132" s="66"/>
      <c r="L132" s="86"/>
    </row>
    <row r="133" spans="7:12" x14ac:dyDescent="0.25">
      <c r="G133" s="87"/>
      <c r="H133" s="86"/>
      <c r="I133" s="86"/>
      <c r="J133" s="86"/>
      <c r="K133" s="86"/>
      <c r="L133" s="86"/>
    </row>
    <row r="134" spans="7:12" x14ac:dyDescent="0.25">
      <c r="G134" s="87"/>
      <c r="H134" s="86"/>
      <c r="I134" s="86"/>
      <c r="J134" s="86"/>
      <c r="K134" s="86"/>
      <c r="L134" s="86"/>
    </row>
    <row r="135" spans="7:12" x14ac:dyDescent="0.25">
      <c r="G135" s="87"/>
      <c r="H135" s="86"/>
      <c r="I135" s="86"/>
      <c r="J135" s="86"/>
      <c r="K135" s="86"/>
      <c r="L135" s="86"/>
    </row>
    <row r="136" spans="7:12" x14ac:dyDescent="0.25">
      <c r="G136" s="87"/>
      <c r="H136" s="86"/>
      <c r="I136" s="86"/>
      <c r="J136" s="86"/>
      <c r="K136" s="86"/>
      <c r="L136" s="86"/>
    </row>
    <row r="137" spans="7:12" x14ac:dyDescent="0.25">
      <c r="G137" s="87"/>
      <c r="H137" s="86"/>
      <c r="I137" s="86"/>
      <c r="J137" s="86"/>
      <c r="K137" s="86"/>
      <c r="L137" s="86"/>
    </row>
    <row r="138" spans="7:12" x14ac:dyDescent="0.25">
      <c r="G138" s="87"/>
      <c r="H138" s="86"/>
      <c r="I138" s="86"/>
      <c r="J138" s="86"/>
      <c r="K138" s="86"/>
      <c r="L138" s="86"/>
    </row>
    <row r="139" spans="7:12" x14ac:dyDescent="0.25">
      <c r="G139" s="87"/>
      <c r="H139" s="86"/>
      <c r="I139" s="86"/>
      <c r="J139" s="86"/>
      <c r="K139" s="86"/>
      <c r="L139" s="86"/>
    </row>
    <row r="140" spans="7:12" x14ac:dyDescent="0.25">
      <c r="G140" s="87"/>
      <c r="H140" s="86"/>
      <c r="I140" s="86"/>
      <c r="J140" s="86"/>
      <c r="K140" s="86"/>
      <c r="L140" s="86"/>
    </row>
    <row r="141" spans="7:12" x14ac:dyDescent="0.25">
      <c r="G141" s="87"/>
      <c r="H141" s="86"/>
      <c r="I141" s="86"/>
      <c r="J141" s="86"/>
      <c r="K141" s="86"/>
      <c r="L141" s="86"/>
    </row>
    <row r="142" spans="7:12" x14ac:dyDescent="0.25">
      <c r="G142" s="87"/>
      <c r="H142" s="86"/>
      <c r="I142" s="86"/>
      <c r="J142" s="86"/>
      <c r="K142" s="86"/>
      <c r="L142" s="86"/>
    </row>
    <row r="143" spans="7:12" x14ac:dyDescent="0.25">
      <c r="G143" s="87"/>
      <c r="H143" s="86"/>
      <c r="I143" s="86"/>
      <c r="J143" s="86"/>
      <c r="K143" s="86"/>
      <c r="L143" s="86"/>
    </row>
    <row r="144" spans="7:12" x14ac:dyDescent="0.25">
      <c r="G144" s="87"/>
      <c r="H144" s="86"/>
      <c r="I144" s="86"/>
      <c r="J144" s="86"/>
      <c r="K144" s="86"/>
      <c r="L144" s="86"/>
    </row>
    <row r="145" spans="7:12" x14ac:dyDescent="0.25">
      <c r="G145" s="87"/>
      <c r="H145" s="86"/>
      <c r="I145" s="86"/>
      <c r="J145" s="86"/>
      <c r="K145" s="86"/>
      <c r="L145" s="86"/>
    </row>
    <row r="146" spans="7:12" x14ac:dyDescent="0.25">
      <c r="G146" s="87"/>
      <c r="H146" s="86"/>
      <c r="I146" s="86"/>
      <c r="J146" s="86"/>
      <c r="K146" s="86"/>
      <c r="L146" s="86"/>
    </row>
    <row r="147" spans="7:12" x14ac:dyDescent="0.25">
      <c r="G147" s="87"/>
      <c r="H147" s="86"/>
      <c r="I147" s="86"/>
      <c r="J147" s="86"/>
      <c r="K147" s="86"/>
      <c r="L147" s="86"/>
    </row>
    <row r="148" spans="7:12" x14ac:dyDescent="0.25">
      <c r="G148" s="87"/>
      <c r="H148" s="86"/>
      <c r="I148" s="86"/>
      <c r="J148" s="86"/>
      <c r="K148" s="86"/>
      <c r="L148" s="86"/>
    </row>
    <row r="149" spans="7:12" x14ac:dyDescent="0.25">
      <c r="G149" s="87"/>
      <c r="H149" s="86"/>
      <c r="I149" s="86"/>
      <c r="J149" s="86"/>
      <c r="K149" s="86"/>
      <c r="L149" s="86"/>
    </row>
    <row r="150" spans="7:12" x14ac:dyDescent="0.25">
      <c r="G150" s="87"/>
      <c r="H150" s="86"/>
      <c r="I150" s="86"/>
      <c r="J150" s="86"/>
      <c r="K150" s="86"/>
      <c r="L150" s="86"/>
    </row>
    <row r="151" spans="7:12" x14ac:dyDescent="0.25">
      <c r="G151" s="87"/>
      <c r="H151" s="86"/>
      <c r="I151" s="86"/>
      <c r="J151" s="86"/>
      <c r="K151" s="86"/>
      <c r="L151" s="86"/>
    </row>
    <row r="152" spans="7:12" x14ac:dyDescent="0.25">
      <c r="G152" s="87"/>
      <c r="H152" s="86"/>
      <c r="I152" s="86"/>
      <c r="J152" s="86"/>
      <c r="K152" s="86"/>
      <c r="L152" s="86"/>
    </row>
    <row r="153" spans="7:12" x14ac:dyDescent="0.25">
      <c r="G153" s="87"/>
      <c r="H153" s="86"/>
      <c r="I153" s="86"/>
      <c r="J153" s="86"/>
      <c r="K153" s="86"/>
      <c r="L153" s="86"/>
    </row>
    <row r="154" spans="7:12" x14ac:dyDescent="0.25">
      <c r="G154" s="87"/>
      <c r="H154" s="86"/>
      <c r="I154" s="86"/>
      <c r="J154" s="86"/>
      <c r="K154" s="86"/>
      <c r="L154" s="86"/>
    </row>
    <row r="155" spans="7:12" x14ac:dyDescent="0.25">
      <c r="G155" s="87"/>
      <c r="H155" s="86"/>
      <c r="I155" s="86"/>
      <c r="J155" s="86"/>
      <c r="K155" s="86"/>
      <c r="L155" s="86"/>
    </row>
    <row r="156" spans="7:12" x14ac:dyDescent="0.25">
      <c r="G156" s="87"/>
      <c r="H156" s="86"/>
      <c r="I156" s="86"/>
      <c r="J156" s="86"/>
      <c r="K156" s="86"/>
      <c r="L156" s="86"/>
    </row>
    <row r="157" spans="7:12" x14ac:dyDescent="0.25">
      <c r="G157" s="87"/>
      <c r="H157" s="86"/>
      <c r="I157" s="86"/>
      <c r="J157" s="86"/>
      <c r="K157" s="86"/>
      <c r="L157" s="86"/>
    </row>
    <row r="158" spans="7:12" x14ac:dyDescent="0.25">
      <c r="G158" s="87"/>
      <c r="H158" s="86"/>
      <c r="I158" s="86"/>
      <c r="J158" s="86"/>
      <c r="K158" s="86"/>
      <c r="L158" s="86"/>
    </row>
    <row r="159" spans="7:12" x14ac:dyDescent="0.25">
      <c r="G159" s="87"/>
      <c r="H159" s="86"/>
      <c r="I159" s="86"/>
      <c r="J159" s="86"/>
      <c r="K159" s="86"/>
      <c r="L159" s="86"/>
    </row>
    <row r="160" spans="7:12" x14ac:dyDescent="0.25">
      <c r="G160" s="87"/>
      <c r="H160" s="86"/>
      <c r="I160" s="86"/>
      <c r="J160" s="86"/>
      <c r="K160" s="86"/>
      <c r="L160" s="86"/>
    </row>
    <row r="161" spans="7:12" x14ac:dyDescent="0.25">
      <c r="G161" s="87"/>
      <c r="H161" s="86"/>
      <c r="I161" s="86"/>
      <c r="J161" s="86"/>
      <c r="K161" s="86"/>
      <c r="L161" s="86"/>
    </row>
    <row r="162" spans="7:12" x14ac:dyDescent="0.25">
      <c r="G162" s="87"/>
      <c r="H162" s="86"/>
      <c r="I162" s="86"/>
      <c r="J162" s="86"/>
      <c r="K162" s="86"/>
    </row>
    <row r="163" spans="7:12" x14ac:dyDescent="0.25">
      <c r="G163" s="87"/>
      <c r="H163" s="86"/>
      <c r="I163" s="86"/>
      <c r="J163" s="86"/>
      <c r="K163" s="86"/>
    </row>
    <row r="164" spans="7:12" x14ac:dyDescent="0.25">
      <c r="G164" s="87"/>
      <c r="H164" s="86"/>
      <c r="I164" s="86"/>
      <c r="J164" s="86"/>
      <c r="K164" s="86"/>
    </row>
    <row r="165" spans="7:12" x14ac:dyDescent="0.25">
      <c r="G165" s="87"/>
      <c r="H165" s="86"/>
      <c r="I165" s="86"/>
      <c r="J165" s="86"/>
      <c r="K165" s="86"/>
    </row>
    <row r="166" spans="7:12" x14ac:dyDescent="0.25">
      <c r="G166" s="87"/>
      <c r="H166" s="86"/>
      <c r="I166" s="86"/>
      <c r="J166" s="86"/>
      <c r="K166" s="86"/>
    </row>
    <row r="167" spans="7:12" x14ac:dyDescent="0.25">
      <c r="G167" s="87"/>
      <c r="H167" s="86"/>
      <c r="I167" s="86"/>
      <c r="J167" s="86"/>
      <c r="K167" s="86"/>
    </row>
    <row r="168" spans="7:12" x14ac:dyDescent="0.25">
      <c r="G168" s="87"/>
      <c r="H168" s="86"/>
      <c r="I168" s="86"/>
      <c r="J168" s="86"/>
      <c r="K168" s="86"/>
    </row>
    <row r="169" spans="7:12" x14ac:dyDescent="0.25">
      <c r="G169" s="87"/>
      <c r="H169" s="86"/>
      <c r="I169" s="86"/>
      <c r="J169" s="86"/>
      <c r="K169" s="86"/>
    </row>
    <row r="170" spans="7:12" x14ac:dyDescent="0.25">
      <c r="G170" s="87"/>
      <c r="H170" s="86"/>
      <c r="I170" s="86"/>
      <c r="J170" s="86"/>
      <c r="K170" s="86"/>
    </row>
    <row r="171" spans="7:12" x14ac:dyDescent="0.25">
      <c r="G171" s="87"/>
      <c r="H171" s="86"/>
      <c r="I171" s="86"/>
      <c r="J171" s="86"/>
      <c r="K171" s="86"/>
    </row>
  </sheetData>
  <sheetCalcPr fullCalcOnLoad="1"/>
  <mergeCells count="9">
    <mergeCell ref="Y70:Y71"/>
    <mergeCell ref="M77:M78"/>
    <mergeCell ref="M81:M82"/>
    <mergeCell ref="G87:G88"/>
    <mergeCell ref="G91:G92"/>
    <mergeCell ref="M2:M3"/>
    <mergeCell ref="Y86:Y87"/>
    <mergeCell ref="M85:M86"/>
    <mergeCell ref="M89:M90"/>
  </mergeCells>
  <hyperlinks>
    <hyperlink ref="A11" r:id="rId1"/>
    <hyperlink ref="A1" location="Menu!A1" display="Number of competitors"/>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K197"/>
  <sheetViews>
    <sheetView zoomScale="80" zoomScaleNormal="80" workbookViewId="0">
      <pane ySplit="1" topLeftCell="A5" activePane="bottomLeft" state="frozen"/>
      <selection activeCell="A194" sqref="A194"/>
      <selection pane="bottomLeft" activeCell="A5" sqref="A5"/>
    </sheetView>
  </sheetViews>
  <sheetFormatPr defaultColWidth="9.109375" defaultRowHeight="13.2" x14ac:dyDescent="0.25"/>
  <cols>
    <col min="1" max="1" width="22.109375" style="11" bestFit="1" customWidth="1"/>
    <col min="2" max="2" width="20.44140625" style="15" customWidth="1"/>
    <col min="3" max="3" width="10.33203125" style="19" customWidth="1"/>
    <col min="4" max="4" width="9.109375" style="20" customWidth="1"/>
    <col min="5" max="5" width="8.5546875" style="11" customWidth="1"/>
    <col min="6" max="6" width="8.5546875" style="154" customWidth="1"/>
    <col min="7" max="7" width="8.88671875" style="11" customWidth="1"/>
    <col min="8" max="8" width="8.33203125" style="648" customWidth="1"/>
    <col min="9" max="9" width="9.44140625" style="507" customWidth="1"/>
    <col min="10" max="10" width="29.33203125" style="15" customWidth="1"/>
    <col min="11" max="11" width="10.6640625" style="11" hidden="1" customWidth="1"/>
    <col min="12" max="12" width="10.88671875" style="215" hidden="1" customWidth="1"/>
    <col min="13" max="13" width="6.5546875" style="11" hidden="1" customWidth="1"/>
    <col min="14" max="14" width="9" style="21" hidden="1" customWidth="1"/>
    <col min="15" max="15" width="29.33203125" style="21" customWidth="1"/>
    <col min="16" max="16" width="38.6640625" style="9" hidden="1" customWidth="1"/>
    <col min="17" max="17" width="3.5546875" style="66" hidden="1" customWidth="1"/>
    <col min="18" max="18" width="25.6640625" style="9" hidden="1" customWidth="1"/>
    <col min="19" max="19" width="11.109375" style="9" hidden="1" customWidth="1"/>
    <col min="20" max="20" width="7" style="11" hidden="1" customWidth="1"/>
    <col min="21" max="21" width="20.6640625" style="9" hidden="1" customWidth="1"/>
    <col min="22" max="22" width="9.33203125" style="9" hidden="1" customWidth="1"/>
    <col min="23" max="23" width="16.44140625" style="9" hidden="1" customWidth="1"/>
    <col min="24" max="24" width="8.88671875" style="9" hidden="1" customWidth="1"/>
    <col min="25" max="25" width="10.88671875" style="9" hidden="1" customWidth="1"/>
    <col min="26" max="26" width="20.109375" style="9" hidden="1" customWidth="1"/>
    <col min="27" max="27" width="6.33203125" style="11" hidden="1" customWidth="1"/>
    <col min="28" max="28" width="3.33203125" style="11" customWidth="1"/>
    <col min="29" max="29" width="21.88671875" style="9" customWidth="1"/>
    <col min="30" max="30" width="12.5546875" style="9" customWidth="1"/>
    <col min="31" max="31" width="12.5546875" style="390" customWidth="1"/>
    <col min="32" max="32" width="8" style="9" customWidth="1"/>
    <col min="33" max="33" width="3.6640625" style="9" customWidth="1"/>
    <col min="34" max="34" width="21.88671875" style="9" customWidth="1"/>
    <col min="35" max="36" width="12.5546875" style="9" customWidth="1"/>
    <col min="37" max="37" width="7.6640625" style="9" customWidth="1"/>
    <col min="38" max="16384" width="9.109375" style="9"/>
  </cols>
  <sheetData>
    <row r="1" spans="1:37" s="22" customFormat="1" ht="30.75" customHeight="1" thickTop="1" thickBot="1" x14ac:dyDescent="0.3">
      <c r="A1" s="688" t="s">
        <v>16</v>
      </c>
      <c r="B1" s="688" t="s">
        <v>27</v>
      </c>
      <c r="C1" s="689" t="s">
        <v>176</v>
      </c>
      <c r="D1" s="690" t="s">
        <v>177</v>
      </c>
      <c r="E1" s="691" t="s">
        <v>304</v>
      </c>
      <c r="F1" s="691" t="s">
        <v>30</v>
      </c>
      <c r="G1" s="692" t="s">
        <v>182</v>
      </c>
      <c r="H1" s="293">
        <f>entrants-SUM(H2:H196)</f>
        <v>3</v>
      </c>
      <c r="I1" s="510" t="s">
        <v>429</v>
      </c>
      <c r="J1" s="282" t="s">
        <v>578</v>
      </c>
      <c r="K1" s="283" t="s">
        <v>57</v>
      </c>
      <c r="L1" s="284" t="s">
        <v>58</v>
      </c>
      <c r="M1" s="285" t="s">
        <v>17</v>
      </c>
      <c r="N1" s="285" t="s">
        <v>56</v>
      </c>
      <c r="O1" s="617" t="s">
        <v>579</v>
      </c>
      <c r="P1" s="287" t="s">
        <v>19</v>
      </c>
      <c r="Q1" s="288"/>
      <c r="R1" s="289" t="s">
        <v>51</v>
      </c>
      <c r="S1" s="290" t="s">
        <v>33</v>
      </c>
      <c r="T1" s="291" t="s">
        <v>55</v>
      </c>
      <c r="U1" s="22" t="s">
        <v>20</v>
      </c>
      <c r="V1" s="22" t="s">
        <v>47</v>
      </c>
      <c r="W1" s="22" t="s">
        <v>23</v>
      </c>
      <c r="X1" s="22" t="s">
        <v>48</v>
      </c>
      <c r="AA1" s="292"/>
      <c r="AB1" s="500"/>
      <c r="AC1" s="277"/>
      <c r="AD1" s="511" t="s">
        <v>431</v>
      </c>
      <c r="AE1" s="608" t="s">
        <v>554</v>
      </c>
      <c r="AF1" s="511" t="s">
        <v>433</v>
      </c>
      <c r="AH1" s="277" t="s">
        <v>16</v>
      </c>
      <c r="AI1" s="511" t="s">
        <v>432</v>
      </c>
      <c r="AJ1" s="608" t="s">
        <v>554</v>
      </c>
      <c r="AK1" s="511" t="s">
        <v>433</v>
      </c>
    </row>
    <row r="2" spans="1:37" ht="14.4" thickTop="1" thickBot="1" x14ac:dyDescent="0.3">
      <c r="A2" s="618" t="str">
        <f>Results!B2</f>
        <v>Aaron Sudell</v>
      </c>
      <c r="B2" s="619" t="str">
        <f>IF(J2="","",J2)</f>
        <v/>
      </c>
      <c r="C2" s="620" t="str">
        <f>IF(J2="","",K2)</f>
        <v/>
      </c>
      <c r="D2" s="621" t="str">
        <f>IF(J2="","",L2)</f>
        <v/>
      </c>
      <c r="E2" s="650" t="str">
        <f>IF(J2="","",IF(M2=1,"√","x"))</f>
        <v/>
      </c>
      <c r="F2" s="509">
        <f>IF(J2="",-10,INDEX(Results!T:T,MATCH(A2,Results!V:V,0)))</f>
        <v>-10</v>
      </c>
      <c r="G2" s="244" t="str">
        <f>IF(J2="","",INDEX(Results!AI:AI,MATCH(A2,Results!V:V,0)))</f>
        <v/>
      </c>
      <c r="H2" s="294">
        <f>IF(G2="",0,1)</f>
        <v>0</v>
      </c>
      <c r="I2" s="505">
        <f>INDEX(Picks!AF:AF,MATCH(A2,Picks!AC:AC,0))</f>
        <v>63</v>
      </c>
      <c r="J2" s="622"/>
      <c r="K2" s="261" t="e">
        <f>INDEX(Odds!F:F,MATCH(J2,Odds!E:E,0))</f>
        <v>#N/A</v>
      </c>
      <c r="L2" s="623" t="e">
        <f>INDEX(Odds!G:G,MATCH(J2,Odds!E:E,0))</f>
        <v>#N/A</v>
      </c>
      <c r="M2" s="624" t="e">
        <f>INDEX(Odds!H:H,MATCH(J2,Odds!E:E,0))</f>
        <v>#N/A</v>
      </c>
      <c r="N2" s="625" t="e">
        <f>L2*M2</f>
        <v>#N/A</v>
      </c>
      <c r="O2" s="626"/>
      <c r="P2" s="38" t="str">
        <f>IF(Match!A2="","",Match!T2)</f>
        <v xml:space="preserve">Everton 2-0 Burnley </v>
      </c>
      <c r="Q2" s="101"/>
      <c r="R2" s="44" t="str">
        <f>IF(Odds!E2="","",Odds!E2)</f>
        <v>Everton</v>
      </c>
      <c r="S2" s="45" t="str">
        <f>INDEX(Odds!F:F,MATCH(R2,Odds!E:E,0))</f>
        <v>6/10</v>
      </c>
      <c r="T2" s="46">
        <f t="shared" ref="T2:T46" si="0">IF(V2&gt;X2,1,0)</f>
        <v>1</v>
      </c>
      <c r="U2" s="22" t="str">
        <f>INDEX(Match!O:O,MATCH(P2,Match!T:T,0))</f>
        <v>Everton</v>
      </c>
      <c r="V2" s="22">
        <f>INDEX(Match!F:F,MATCH(P2,Match!T:T,0))</f>
        <v>2</v>
      </c>
      <c r="W2" s="22" t="str">
        <f>INDEX(Match!P:P,MATCH(P2,Match!T:T,0))</f>
        <v>Burnley</v>
      </c>
      <c r="X2" s="22">
        <f>INDEX(Match!G:G,MATCH(P2,Match!T:T,0))</f>
        <v>0</v>
      </c>
      <c r="AB2" s="100"/>
      <c r="AC2" s="78" t="s">
        <v>350</v>
      </c>
      <c r="AD2" s="81">
        <f>INDEX(Picks!F:F,MATCH(AC2,Picks!A:A,0))</f>
        <v>104.75200000000001</v>
      </c>
      <c r="AE2" s="609">
        <f>INDEX(Weekly!I:I,MATCH(AC2,Weekly!E:E,0))</f>
        <v>3</v>
      </c>
      <c r="AF2" s="78">
        <f t="shared" ref="AF2:AF33" si="1">IF(AD2="","",_xlfn.RANK.EQ(AD2,TopScores,0))</f>
        <v>1</v>
      </c>
      <c r="AH2" s="78" t="s">
        <v>328</v>
      </c>
      <c r="AI2" s="81" t="str">
        <f>INDEX(Picks!G:G,MATCH(AH2,Picks!A:A,0))</f>
        <v/>
      </c>
      <c r="AJ2" s="609">
        <f>INDEX(Weekly!I:I,MATCH(AH2,Weekly!E:E,0))</f>
        <v>0</v>
      </c>
      <c r="AK2" s="78" t="str">
        <f t="shared" ref="AK2:AK33" si="2">IF(AI2="","",_xlfn.RANK.EQ(AI2,TopMaxScores,0))</f>
        <v/>
      </c>
    </row>
    <row r="3" spans="1:37" x14ac:dyDescent="0.25">
      <c r="A3" s="627" t="str">
        <f>A2</f>
        <v>Aaron Sudell</v>
      </c>
      <c r="B3" s="628" t="str">
        <f t="shared" ref="B3:B59" si="3">IF(J3="","",J3)</f>
        <v/>
      </c>
      <c r="C3" s="629" t="str">
        <f t="shared" ref="C3:C60" si="4">IF(J3="","",K3)</f>
        <v/>
      </c>
      <c r="D3" s="630" t="str">
        <f t="shared" ref="D3:D60" si="5">IF(J3="","",L3)</f>
        <v/>
      </c>
      <c r="E3" s="651" t="str">
        <f t="shared" ref="E3:E66" si="6">IF(J3="","",IF(M3=1,"√","x"))</f>
        <v/>
      </c>
      <c r="F3" s="631"/>
      <c r="G3" s="632"/>
      <c r="H3" s="294"/>
      <c r="I3" s="506"/>
      <c r="J3" s="622"/>
      <c r="K3" s="265" t="e">
        <f>INDEX(Odds!F:F,MATCH(J3,Odds!E:E,0))</f>
        <v>#N/A</v>
      </c>
      <c r="L3" s="633" t="e">
        <f>INDEX(Odds!G:G,MATCH(J3,Odds!E:E,0))</f>
        <v>#N/A</v>
      </c>
      <c r="M3" s="624" t="e">
        <f>INDEX(Odds!H:H,MATCH(J3,Odds!E:E,0))</f>
        <v>#N/A</v>
      </c>
      <c r="N3" s="625" t="e">
        <f>L3*M3</f>
        <v>#N/A</v>
      </c>
      <c r="O3" s="626"/>
      <c r="P3" s="39" t="str">
        <f>IF(Match!A3="","",Match!T3)</f>
        <v xml:space="preserve">Bournemouth 1-0 Spurs </v>
      </c>
      <c r="Q3" s="101"/>
      <c r="R3" s="42" t="str">
        <f>IF(Odds!E3="","",Odds!E3)</f>
        <v>Bournemouth</v>
      </c>
      <c r="S3" s="43" t="str">
        <f>INDEX(Odds!F:F,MATCH(R3,Odds!E:E,0))</f>
        <v>17/5</v>
      </c>
      <c r="T3" s="47">
        <f t="shared" si="0"/>
        <v>1</v>
      </c>
      <c r="U3" s="22" t="str">
        <f>INDEX(Match!O:O,MATCH(P3,Match!T:T,0))</f>
        <v>Bournemouth</v>
      </c>
      <c r="V3" s="22">
        <f>INDEX(Match!F:F,MATCH(P3,Match!T:T,0))</f>
        <v>1</v>
      </c>
      <c r="W3" s="22" t="str">
        <f>INDEX(Match!P:P,MATCH(P3,Match!T:T,0))</f>
        <v>Spurs</v>
      </c>
      <c r="X3" s="22">
        <f>INDEX(Match!G:G,MATCH(P3,Match!T:T,0))</f>
        <v>0</v>
      </c>
      <c r="AB3" s="100"/>
      <c r="AC3" s="78" t="s">
        <v>363</v>
      </c>
      <c r="AD3" s="81">
        <f>INDEX(Picks!F:F,MATCH(AC3,Picks!A:A,0))</f>
        <v>30.272500000000001</v>
      </c>
      <c r="AE3" s="609">
        <f>INDEX(Weekly!I:I,MATCH(AC3,Weekly!E:E,0))</f>
        <v>3</v>
      </c>
      <c r="AF3" s="78">
        <f t="shared" si="1"/>
        <v>2</v>
      </c>
      <c r="AH3" s="78" t="s">
        <v>329</v>
      </c>
      <c r="AI3" s="81" t="str">
        <f>INDEX(Picks!G:G,MATCH(AH3,Picks!A:A,0))</f>
        <v/>
      </c>
      <c r="AJ3" s="609">
        <f>INDEX(Weekly!I:I,MATCH(AH3,Weekly!E:E,0))</f>
        <v>0</v>
      </c>
      <c r="AK3" s="78" t="str">
        <f t="shared" si="2"/>
        <v/>
      </c>
    </row>
    <row r="4" spans="1:37" ht="13.8" thickBot="1" x14ac:dyDescent="0.3">
      <c r="A4" s="634" t="str">
        <f>A2</f>
        <v>Aaron Sudell</v>
      </c>
      <c r="B4" s="635" t="str">
        <f t="shared" si="3"/>
        <v/>
      </c>
      <c r="C4" s="636" t="str">
        <f t="shared" si="4"/>
        <v/>
      </c>
      <c r="D4" s="637" t="str">
        <f t="shared" si="5"/>
        <v/>
      </c>
      <c r="E4" s="651" t="str">
        <f t="shared" si="6"/>
        <v/>
      </c>
      <c r="F4" s="631"/>
      <c r="G4" s="632"/>
      <c r="H4" s="294"/>
      <c r="I4" s="506"/>
      <c r="J4" s="638"/>
      <c r="K4" s="267" t="e">
        <f>INDEX(Odds!F:F,MATCH(J4,Odds!E:E,0))</f>
        <v>#N/A</v>
      </c>
      <c r="L4" s="639" t="e">
        <f>INDEX(Odds!G:G,MATCH(J4,Odds!E:E,0))</f>
        <v>#N/A</v>
      </c>
      <c r="M4" s="624" t="e">
        <f>INDEX(Odds!H:H,MATCH(J4,Odds!E:E,0))</f>
        <v>#N/A</v>
      </c>
      <c r="N4" s="640" t="e">
        <f>L4*M4</f>
        <v>#N/A</v>
      </c>
      <c r="O4" s="641"/>
      <c r="P4" s="39" t="str">
        <f>IF(Match!A4="","",Match!T4)</f>
        <v xml:space="preserve">Cardiff 2-3 Palace </v>
      </c>
      <c r="Q4" s="101"/>
      <c r="R4" s="42" t="str">
        <f>IF(Odds!E4="","",Odds!E4)</f>
        <v>Cardiff</v>
      </c>
      <c r="S4" s="43" t="str">
        <f>INDEX(Odds!F:F,MATCH(R4,Odds!E:E,0))</f>
        <v>9/5</v>
      </c>
      <c r="T4" s="47">
        <f t="shared" si="0"/>
        <v>0</v>
      </c>
      <c r="U4" s="22" t="str">
        <f>INDEX(Match!O:O,MATCH(P4,Match!T:T,0))</f>
        <v>Cardiff</v>
      </c>
      <c r="V4" s="22">
        <f>INDEX(Match!F:F,MATCH(P4,Match!T:T,0))</f>
        <v>2</v>
      </c>
      <c r="W4" s="22" t="str">
        <f>INDEX(Match!P:P,MATCH(P4,Match!T:T,0))</f>
        <v>Palace</v>
      </c>
      <c r="X4" s="22">
        <f>INDEX(Match!G:G,MATCH(P4,Match!T:T,0))</f>
        <v>3</v>
      </c>
      <c r="AB4" s="100"/>
      <c r="AC4" s="78" t="s">
        <v>368</v>
      </c>
      <c r="AD4" s="81">
        <f>INDEX(Picks!F:F,MATCH(AC4,Picks!A:A,0))</f>
        <v>26.65</v>
      </c>
      <c r="AE4" s="609">
        <f>INDEX(Weekly!I:I,MATCH(AC4,Weekly!E:E,0))</f>
        <v>3</v>
      </c>
      <c r="AF4" s="78">
        <f t="shared" si="1"/>
        <v>3</v>
      </c>
      <c r="AH4" s="78" t="s">
        <v>331</v>
      </c>
      <c r="AI4" s="81" t="str">
        <f>INDEX(Picks!G:G,MATCH(AH4,Picks!A:A,0))</f>
        <v/>
      </c>
      <c r="AJ4" s="609">
        <f>INDEX(Weekly!I:I,MATCH(AH4,Weekly!E:E,0))</f>
        <v>0</v>
      </c>
      <c r="AK4" s="78" t="str">
        <f t="shared" si="2"/>
        <v/>
      </c>
    </row>
    <row r="5" spans="1:37" ht="14.4" thickTop="1" thickBot="1" x14ac:dyDescent="0.3">
      <c r="A5" s="618" t="str">
        <f>Results!B5</f>
        <v>Alan Rogers</v>
      </c>
      <c r="B5" s="642" t="str">
        <f>IF(J5="","",J5)</f>
        <v>Everton draw</v>
      </c>
      <c r="C5" s="629" t="str">
        <f t="shared" si="4"/>
        <v>3/1</v>
      </c>
      <c r="D5" s="621">
        <f t="shared" si="5"/>
        <v>4</v>
      </c>
      <c r="E5" s="652" t="str">
        <f t="shared" si="6"/>
        <v>x</v>
      </c>
      <c r="F5" s="509">
        <f>IF(J5="",-10,INDEX(Results!T:T,MATCH(A5,Results!V:V,0)))</f>
        <v>-7</v>
      </c>
      <c r="G5" s="244">
        <f>IF(J5="","",INDEX(Results!AI:AI,MATCH(A5,Results!V:V,0)))</f>
        <v>82</v>
      </c>
      <c r="H5" s="294">
        <f>IF(G5="",0,1)</f>
        <v>1</v>
      </c>
      <c r="I5" s="505">
        <f>INDEX(Picks!AF:AF,MATCH(A5,Picks!AC:AC,0))</f>
        <v>47</v>
      </c>
      <c r="J5" s="622" t="s">
        <v>631</v>
      </c>
      <c r="K5" s="261" t="str">
        <f>INDEX(Odds!F:F,MATCH(J5,Odds!E:E,0))</f>
        <v>3/1</v>
      </c>
      <c r="L5" s="623">
        <f>INDEX(Odds!G:G,MATCH(J5,Odds!E:E,0))</f>
        <v>4</v>
      </c>
      <c r="M5" s="643">
        <f>INDEX(Odds!H:H,MATCH(J5,Odds!E:E,0))</f>
        <v>0</v>
      </c>
      <c r="N5" s="625">
        <f t="shared" ref="N5:N61" si="7">L5*M5</f>
        <v>0</v>
      </c>
      <c r="O5" s="626"/>
      <c r="P5" s="39" t="str">
        <f>IF(Match!A5="","",Match!T5)</f>
        <v xml:space="preserve">Newcastle 2-3 Liverpool </v>
      </c>
      <c r="Q5" s="101"/>
      <c r="R5" s="42" t="str">
        <f>IF(Odds!E5="","",Odds!E5)</f>
        <v>Newcastle</v>
      </c>
      <c r="S5" s="43" t="str">
        <f>INDEX(Odds!F:F,MATCH(R5,Odds!E:E,0))</f>
        <v>9/1</v>
      </c>
      <c r="T5" s="47">
        <f t="shared" si="0"/>
        <v>0</v>
      </c>
      <c r="U5" s="22" t="str">
        <f>INDEX(Match!O:O,MATCH(P5,Match!T:T,0))</f>
        <v>Newcastle</v>
      </c>
      <c r="V5" s="22">
        <f>INDEX(Match!F:F,MATCH(P5,Match!T:T,0))</f>
        <v>2</v>
      </c>
      <c r="W5" s="22" t="str">
        <f>INDEX(Match!P:P,MATCH(P5,Match!T:T,0))</f>
        <v>Liverpool</v>
      </c>
      <c r="X5" s="22">
        <f>INDEX(Match!G:G,MATCH(P5,Match!T:T,0))</f>
        <v>3</v>
      </c>
      <c r="AB5" s="100"/>
      <c r="AC5" s="78" t="s">
        <v>361</v>
      </c>
      <c r="AD5" s="81">
        <f>INDEX(Picks!F:F,MATCH(AC5,Picks!A:A,0))</f>
        <v>25.969374999999999</v>
      </c>
      <c r="AE5" s="609">
        <f>INDEX(Weekly!I:I,MATCH(AC5,Weekly!E:E,0))</f>
        <v>3</v>
      </c>
      <c r="AF5" s="78">
        <f t="shared" si="1"/>
        <v>4</v>
      </c>
      <c r="AH5" s="78" t="s">
        <v>465</v>
      </c>
      <c r="AI5" s="81">
        <f>INDEX(Picks!G:G,MATCH(AH5,Picks!A:A,0))</f>
        <v>1089.25</v>
      </c>
      <c r="AJ5" s="609">
        <f>INDEX(Weekly!I:I,MATCH(AH5,Weekly!E:E,0))</f>
        <v>0</v>
      </c>
      <c r="AK5" s="78">
        <f t="shared" si="2"/>
        <v>1</v>
      </c>
    </row>
    <row r="6" spans="1:37" x14ac:dyDescent="0.25">
      <c r="A6" s="627" t="str">
        <f>A5</f>
        <v>Alan Rogers</v>
      </c>
      <c r="B6" s="628" t="str">
        <f t="shared" si="3"/>
        <v>Crewe</v>
      </c>
      <c r="C6" s="629" t="str">
        <f t="shared" si="4"/>
        <v>2/1</v>
      </c>
      <c r="D6" s="630">
        <f t="shared" si="5"/>
        <v>3</v>
      </c>
      <c r="E6" s="651" t="str">
        <f t="shared" si="6"/>
        <v>x</v>
      </c>
      <c r="F6" s="631"/>
      <c r="G6" s="644"/>
      <c r="H6" s="294"/>
      <c r="I6" s="506"/>
      <c r="J6" s="622" t="s">
        <v>564</v>
      </c>
      <c r="K6" s="265" t="str">
        <f>INDEX(Odds!F:F,MATCH(J6,Odds!E:E,0))</f>
        <v>2/1</v>
      </c>
      <c r="L6" s="633">
        <f>INDEX(Odds!G:G,MATCH(J6,Odds!E:E,0))</f>
        <v>3</v>
      </c>
      <c r="M6" s="624">
        <f>INDEX(Odds!H:H,MATCH(J6,Odds!E:E,0))</f>
        <v>0</v>
      </c>
      <c r="N6" s="625">
        <f t="shared" si="7"/>
        <v>0</v>
      </c>
      <c r="O6" s="626"/>
      <c r="P6" s="39" t="str">
        <f>IF(Match!A6="","",Match!T6)</f>
        <v xml:space="preserve">West Ham 3-0 Southampton </v>
      </c>
      <c r="Q6" s="101"/>
      <c r="R6" s="42" t="str">
        <f>IF(Odds!E6="","",Odds!E6)</f>
        <v>West Ham</v>
      </c>
      <c r="S6" s="43" t="str">
        <f>INDEX(Odds!F:F,MATCH(R6,Odds!E:E,0))</f>
        <v>11/8</v>
      </c>
      <c r="T6" s="47">
        <f t="shared" si="0"/>
        <v>1</v>
      </c>
      <c r="U6" s="22" t="str">
        <f>INDEX(Match!O:O,MATCH(P6,Match!T:T,0))</f>
        <v>West Ham</v>
      </c>
      <c r="V6" s="22">
        <f>INDEX(Match!F:F,MATCH(P6,Match!T:T,0))</f>
        <v>3</v>
      </c>
      <c r="W6" s="22" t="str">
        <f>INDEX(Match!P:P,MATCH(P6,Match!T:T,0))</f>
        <v>Southampton</v>
      </c>
      <c r="X6" s="22">
        <f>INDEX(Match!G:G,MATCH(P6,Match!T:T,0))</f>
        <v>0</v>
      </c>
      <c r="AB6" s="100"/>
      <c r="AC6" s="78" t="s">
        <v>339</v>
      </c>
      <c r="AD6" s="81">
        <f>INDEX(Picks!F:F,MATCH(AC6,Picks!A:A,0))</f>
        <v>25.969374999999999</v>
      </c>
      <c r="AE6" s="609">
        <f>INDEX(Weekly!I:I,MATCH(AC6,Weekly!E:E,0))</f>
        <v>3</v>
      </c>
      <c r="AF6" s="78">
        <f t="shared" si="1"/>
        <v>4</v>
      </c>
      <c r="AH6" s="78" t="s">
        <v>334</v>
      </c>
      <c r="AI6" s="81">
        <f>INDEX(Picks!G:G,MATCH(AH6,Picks!A:A,0))</f>
        <v>1089.25</v>
      </c>
      <c r="AJ6" s="609">
        <f>INDEX(Weekly!I:I,MATCH(AH6,Weekly!E:E,0))</f>
        <v>0</v>
      </c>
      <c r="AK6" s="78">
        <f t="shared" si="2"/>
        <v>1</v>
      </c>
    </row>
    <row r="7" spans="1:37" ht="13.8" thickBot="1" x14ac:dyDescent="0.3">
      <c r="A7" s="634" t="str">
        <f>A5</f>
        <v>Alan Rogers</v>
      </c>
      <c r="B7" s="635" t="str">
        <f t="shared" si="3"/>
        <v>Mansfield</v>
      </c>
      <c r="C7" s="636" t="str">
        <f t="shared" si="4"/>
        <v>5/2</v>
      </c>
      <c r="D7" s="637">
        <f t="shared" si="5"/>
        <v>3.5</v>
      </c>
      <c r="E7" s="651" t="str">
        <f t="shared" si="6"/>
        <v>x</v>
      </c>
      <c r="F7" s="631"/>
      <c r="G7" s="644"/>
      <c r="H7" s="294"/>
      <c r="I7" s="506"/>
      <c r="J7" s="638" t="s">
        <v>583</v>
      </c>
      <c r="K7" s="267" t="str">
        <f>INDEX(Odds!F:F,MATCH(J7,Odds!E:E,0))</f>
        <v>5/2</v>
      </c>
      <c r="L7" s="639">
        <f>INDEX(Odds!G:G,MATCH(J7,Odds!E:E,0))</f>
        <v>3.5</v>
      </c>
      <c r="M7" s="624">
        <f>INDEX(Odds!H:H,MATCH(J7,Odds!E:E,0))</f>
        <v>0</v>
      </c>
      <c r="N7" s="640">
        <f t="shared" si="7"/>
        <v>0</v>
      </c>
      <c r="O7" s="641"/>
      <c r="P7" s="39" t="str">
        <f>IF(Match!A7="","",Match!T7)</f>
        <v xml:space="preserve">Wolves 1-0 Fulham </v>
      </c>
      <c r="Q7" s="101"/>
      <c r="R7" s="42" t="str">
        <f>IF(Odds!E7="","",Odds!E7)</f>
        <v>Wolves</v>
      </c>
      <c r="S7" s="43" t="str">
        <f>INDEX(Odds!F:F,MATCH(R7,Odds!E:E,0))</f>
        <v>1/2</v>
      </c>
      <c r="T7" s="47">
        <f t="shared" si="0"/>
        <v>1</v>
      </c>
      <c r="U7" s="22" t="str">
        <f>INDEX(Match!O:O,MATCH(P7,Match!T:T,0))</f>
        <v>Wolves</v>
      </c>
      <c r="V7" s="22">
        <f>INDEX(Match!F:F,MATCH(P7,Match!T:T,0))</f>
        <v>1</v>
      </c>
      <c r="W7" s="22" t="str">
        <f>INDEX(Match!P:P,MATCH(P7,Match!T:T,0))</f>
        <v>Fulham</v>
      </c>
      <c r="X7" s="22">
        <f>INDEX(Match!G:G,MATCH(P7,Match!T:T,0))</f>
        <v>0</v>
      </c>
      <c r="AB7" s="100"/>
      <c r="AC7" s="78" t="s">
        <v>390</v>
      </c>
      <c r="AD7" s="81">
        <f>INDEX(Picks!F:F,MATCH(AC7,Picks!A:A,0))</f>
        <v>19</v>
      </c>
      <c r="AE7" s="609">
        <f>INDEX(Weekly!I:I,MATCH(AC7,Weekly!E:E,0))</f>
        <v>3</v>
      </c>
      <c r="AF7" s="78">
        <f t="shared" si="1"/>
        <v>7</v>
      </c>
      <c r="AH7" s="78" t="s">
        <v>359</v>
      </c>
      <c r="AI7" s="81">
        <f>INDEX(Picks!G:G,MATCH(AH7,Picks!A:A,0))</f>
        <v>336.52</v>
      </c>
      <c r="AJ7" s="609">
        <f>INDEX(Weekly!I:I,MATCH(AH7,Weekly!E:E,0))</f>
        <v>2</v>
      </c>
      <c r="AK7" s="78">
        <f t="shared" si="2"/>
        <v>3</v>
      </c>
    </row>
    <row r="8" spans="1:37" ht="14.4" thickTop="1" thickBot="1" x14ac:dyDescent="0.3">
      <c r="A8" s="618" t="str">
        <f>Results!B8</f>
        <v>Alfie Davies</v>
      </c>
      <c r="B8" s="642" t="str">
        <f t="shared" si="3"/>
        <v>Bristol C</v>
      </c>
      <c r="C8" s="629" t="str">
        <f t="shared" si="4"/>
        <v>7/5</v>
      </c>
      <c r="D8" s="621">
        <f t="shared" si="5"/>
        <v>2.4</v>
      </c>
      <c r="E8" s="652" t="str">
        <f t="shared" si="6"/>
        <v>x</v>
      </c>
      <c r="F8" s="509">
        <f>IF(J8="",-10,INDEX(Results!T:T,MATCH(A8,Results!V:V,0)))</f>
        <v>-5.1538461538461533</v>
      </c>
      <c r="G8" s="244">
        <f>IF(J8="","",INDEX(Results!AI:AI,MATCH(A8,Results!V:V,0)))</f>
        <v>28.772307692307692</v>
      </c>
      <c r="H8" s="294">
        <f>IF(G8="",0,1)</f>
        <v>1</v>
      </c>
      <c r="I8" s="505">
        <f>INDEX(Picks!AF:AF,MATCH(A8,Picks!AC:AC,0))</f>
        <v>44</v>
      </c>
      <c r="J8" s="622" t="s">
        <v>606</v>
      </c>
      <c r="K8" s="261" t="str">
        <f>INDEX(Odds!F:F,MATCH(J8,Odds!E:E,0))</f>
        <v>7/5</v>
      </c>
      <c r="L8" s="623">
        <f>INDEX(Odds!G:G,MATCH(J8,Odds!E:E,0))</f>
        <v>2.4</v>
      </c>
      <c r="M8" s="643">
        <f>INDEX(Odds!H:H,MATCH(J8,Odds!E:E,0))</f>
        <v>0</v>
      </c>
      <c r="N8" s="625">
        <f t="shared" si="7"/>
        <v>0</v>
      </c>
      <c r="O8" s="626"/>
      <c r="P8" s="39" t="str">
        <f>IF(Match!A8="","",Match!T8)</f>
        <v xml:space="preserve">Blackpool 0-3 Gillingham </v>
      </c>
      <c r="Q8" s="101"/>
      <c r="R8" s="42" t="str">
        <f>IF(Odds!E8="","",Odds!E8)</f>
        <v>Blackpool</v>
      </c>
      <c r="S8" s="43" t="str">
        <f>INDEX(Odds!F:F,MATCH(R8,Odds!E:E,0))</f>
        <v>5/4</v>
      </c>
      <c r="T8" s="47">
        <f t="shared" si="0"/>
        <v>0</v>
      </c>
      <c r="U8" s="22" t="str">
        <f>INDEX(Match!O:O,MATCH(P8,Match!T:T,0))</f>
        <v>Blackpool</v>
      </c>
      <c r="V8" s="22">
        <f>INDEX(Match!F:F,MATCH(P8,Match!T:T,0))</f>
        <v>0</v>
      </c>
      <c r="W8" s="22" t="str">
        <f>INDEX(Match!P:P,MATCH(P8,Match!T:T,0))</f>
        <v>Gillingham</v>
      </c>
      <c r="X8" s="22">
        <f>INDEX(Match!G:G,MATCH(P8,Match!T:T,0))</f>
        <v>3</v>
      </c>
      <c r="AB8" s="100"/>
      <c r="AC8" s="80" t="s">
        <v>359</v>
      </c>
      <c r="AD8" s="81">
        <f>INDEX(Picks!F:F,MATCH(AC8,Picks!A:A,0))</f>
        <v>23.32</v>
      </c>
      <c r="AE8" s="609">
        <f>INDEX(Weekly!I:I,MATCH(AC8,Weekly!E:E,0))</f>
        <v>2</v>
      </c>
      <c r="AF8" s="78">
        <f t="shared" si="1"/>
        <v>6</v>
      </c>
      <c r="AH8" s="78" t="s">
        <v>335</v>
      </c>
      <c r="AI8" s="81">
        <f>INDEX(Picks!G:G,MATCH(AH8,Picks!A:A,0))</f>
        <v>289</v>
      </c>
      <c r="AJ8" s="609">
        <f>INDEX(Weekly!I:I,MATCH(AH8,Weekly!E:E,0))</f>
        <v>1</v>
      </c>
      <c r="AK8" s="78">
        <f t="shared" si="2"/>
        <v>4</v>
      </c>
    </row>
    <row r="9" spans="1:37" ht="13.5" customHeight="1" x14ac:dyDescent="0.25">
      <c r="A9" s="627" t="str">
        <f>A8</f>
        <v>Alfie Davies</v>
      </c>
      <c r="B9" s="628" t="str">
        <f t="shared" si="3"/>
        <v>Middlesbro</v>
      </c>
      <c r="C9" s="629" t="str">
        <f t="shared" si="4"/>
        <v>11/13</v>
      </c>
      <c r="D9" s="630">
        <f t="shared" si="5"/>
        <v>1.8461538461538463</v>
      </c>
      <c r="E9" s="651" t="str">
        <f t="shared" si="6"/>
        <v>√</v>
      </c>
      <c r="F9" s="631"/>
      <c r="G9" s="644"/>
      <c r="H9" s="294"/>
      <c r="I9" s="506"/>
      <c r="J9" s="622" t="s">
        <v>34</v>
      </c>
      <c r="K9" s="265" t="str">
        <f>INDEX(Odds!F:F,MATCH(J9,Odds!E:E,0))</f>
        <v>11/13</v>
      </c>
      <c r="L9" s="633">
        <f>INDEX(Odds!G:G,MATCH(J9,Odds!E:E,0))</f>
        <v>1.8461538461538463</v>
      </c>
      <c r="M9" s="624">
        <f>INDEX(Odds!H:H,MATCH(J9,Odds!E:E,0))</f>
        <v>1</v>
      </c>
      <c r="N9" s="625">
        <f t="shared" si="7"/>
        <v>1.8461538461538463</v>
      </c>
      <c r="O9" s="626"/>
      <c r="P9" s="39" t="str">
        <f>IF(Match!A9="","",Match!T9)</f>
        <v xml:space="preserve">Bradford 0-0 Wimbledon </v>
      </c>
      <c r="Q9" s="101"/>
      <c r="R9" s="42" t="str">
        <f>IF(Odds!E9="","",Odds!E9)</f>
        <v>Bradford</v>
      </c>
      <c r="S9" s="43" t="str">
        <f>INDEX(Odds!F:F,MATCH(R9,Odds!E:E,0))</f>
        <v>11/4</v>
      </c>
      <c r="T9" s="47">
        <f t="shared" si="0"/>
        <v>0</v>
      </c>
      <c r="U9" s="22" t="str">
        <f>INDEX(Match!O:O,MATCH(P9,Match!T:T,0))</f>
        <v>Bradford</v>
      </c>
      <c r="V9" s="22">
        <f>INDEX(Match!F:F,MATCH(P9,Match!T:T,0))</f>
        <v>0</v>
      </c>
      <c r="W9" s="22" t="str">
        <f>INDEX(Match!P:P,MATCH(P9,Match!T:T,0))</f>
        <v>Wimbledon</v>
      </c>
      <c r="X9" s="22">
        <f>INDEX(Match!G:G,MATCH(P9,Match!T:T,0))</f>
        <v>0</v>
      </c>
      <c r="AB9" s="100"/>
      <c r="AC9" s="78" t="s">
        <v>450</v>
      </c>
      <c r="AD9" s="81">
        <f>INDEX(Picks!F:F,MATCH(AC9,Picks!A:A,0))</f>
        <v>15.760000000000002</v>
      </c>
      <c r="AE9" s="609">
        <f>INDEX(Weekly!I:I,MATCH(AC9,Weekly!E:E,0))</f>
        <v>2</v>
      </c>
      <c r="AF9" s="78">
        <f t="shared" si="1"/>
        <v>8</v>
      </c>
      <c r="AH9" s="78" t="s">
        <v>321</v>
      </c>
      <c r="AI9" s="81">
        <f>INDEX(Picks!G:G,MATCH(AH9,Picks!A:A,0))</f>
        <v>218.875</v>
      </c>
      <c r="AJ9" s="609">
        <f>INDEX(Weekly!I:I,MATCH(AH9,Weekly!E:E,0))</f>
        <v>0</v>
      </c>
      <c r="AK9" s="78">
        <f t="shared" si="2"/>
        <v>5</v>
      </c>
    </row>
    <row r="10" spans="1:37" ht="13.8" thickBot="1" x14ac:dyDescent="0.3">
      <c r="A10" s="634" t="str">
        <f>A8</f>
        <v>Alfie Davies</v>
      </c>
      <c r="B10" s="635" t="str">
        <f t="shared" si="3"/>
        <v>Cardiff</v>
      </c>
      <c r="C10" s="636" t="str">
        <f>IF(J10="","",K10)</f>
        <v>9/5</v>
      </c>
      <c r="D10" s="637">
        <f t="shared" si="5"/>
        <v>2.8</v>
      </c>
      <c r="E10" s="651" t="str">
        <f t="shared" si="6"/>
        <v>x</v>
      </c>
      <c r="F10" s="631"/>
      <c r="G10" s="644"/>
      <c r="H10" s="294"/>
      <c r="I10" s="506"/>
      <c r="J10" s="638" t="s">
        <v>619</v>
      </c>
      <c r="K10" s="267" t="str">
        <f>INDEX(Odds!F:F,MATCH(J10,Odds!E:E,0))</f>
        <v>9/5</v>
      </c>
      <c r="L10" s="639">
        <f>INDEX(Odds!G:G,MATCH(J10,Odds!E:E,0))</f>
        <v>2.8</v>
      </c>
      <c r="M10" s="624">
        <f>INDEX(Odds!H:H,MATCH(J10,Odds!E:E,0))</f>
        <v>0</v>
      </c>
      <c r="N10" s="640">
        <f t="shared" si="7"/>
        <v>0</v>
      </c>
      <c r="O10" s="641"/>
      <c r="P10" s="39" t="str">
        <f>IF(Match!A10="","",Match!T10)</f>
        <v xml:space="preserve">Bristol R 2-1 Barnsley </v>
      </c>
      <c r="Q10" s="101"/>
      <c r="R10" s="42" t="str">
        <f>IF(Odds!E10="","",Odds!E10)</f>
        <v>Bristol R</v>
      </c>
      <c r="S10" s="43" t="str">
        <f>INDEX(Odds!F:F,MATCH(R10,Odds!E:E,0))</f>
        <v>5/1</v>
      </c>
      <c r="T10" s="47">
        <f t="shared" si="0"/>
        <v>1</v>
      </c>
      <c r="U10" s="22" t="str">
        <f>INDEX(Match!O:O,MATCH(P10,Match!T:T,0))</f>
        <v>Bristol R</v>
      </c>
      <c r="V10" s="22">
        <f>INDEX(Match!F:F,MATCH(P10,Match!T:T,0))</f>
        <v>2</v>
      </c>
      <c r="W10" s="22" t="str">
        <f>INDEX(Match!P:P,MATCH(P10,Match!T:T,0))</f>
        <v>Barnsley</v>
      </c>
      <c r="X10" s="22">
        <f>INDEX(Match!G:G,MATCH(P10,Match!T:T,0))</f>
        <v>1</v>
      </c>
      <c r="AB10" s="100"/>
      <c r="AC10" s="78" t="s">
        <v>337</v>
      </c>
      <c r="AD10" s="81">
        <f>INDEX(Picks!F:F,MATCH(AC10,Picks!A:A,0))</f>
        <v>11.8</v>
      </c>
      <c r="AE10" s="609">
        <f>INDEX(Weekly!I:I,MATCH(AC10,Weekly!E:E,0))</f>
        <v>2</v>
      </c>
      <c r="AF10" s="78">
        <f t="shared" si="1"/>
        <v>9</v>
      </c>
      <c r="AH10" s="78" t="s">
        <v>392</v>
      </c>
      <c r="AI10" s="81">
        <f>INDEX(Picks!G:G,MATCH(AH10,Picks!A:A,0))</f>
        <v>197.96153846153845</v>
      </c>
      <c r="AJ10" s="609">
        <f>INDEX(Weekly!I:I,MATCH(AH10,Weekly!E:E,0))</f>
        <v>0</v>
      </c>
      <c r="AK10" s="78">
        <f t="shared" si="2"/>
        <v>6</v>
      </c>
    </row>
    <row r="11" spans="1:37" ht="14.4" thickTop="1" thickBot="1" x14ac:dyDescent="0.3">
      <c r="A11" s="618" t="str">
        <f>Results!B11</f>
        <v>Alick Rocca</v>
      </c>
      <c r="B11" s="642" t="str">
        <f t="shared" si="3"/>
        <v>Forest Green Draw</v>
      </c>
      <c r="C11" s="629" t="str">
        <f t="shared" si="4"/>
        <v>12/5</v>
      </c>
      <c r="D11" s="621">
        <f t="shared" si="5"/>
        <v>3.4</v>
      </c>
      <c r="E11" s="652" t="str">
        <f t="shared" si="6"/>
        <v>√</v>
      </c>
      <c r="F11" s="509">
        <f>IF(J11="",-10,INDEX(Results!T:T,MATCH(A11,Results!V:V,0)))</f>
        <v>11.36</v>
      </c>
      <c r="G11" s="244">
        <f>IF(J11="","",INDEX(Results!AI:AI,MATCH(A11,Results!V:V,0)))</f>
        <v>81.056000000000012</v>
      </c>
      <c r="H11" s="294">
        <f>IF(G11="",0,1)</f>
        <v>1</v>
      </c>
      <c r="I11" s="505">
        <f>INDEX(Picks!AF:AF,MATCH(A11,Picks!AC:AC,0))</f>
        <v>11</v>
      </c>
      <c r="J11" s="622" t="s">
        <v>642</v>
      </c>
      <c r="K11" s="261" t="str">
        <f>INDEX(Odds!F:F,MATCH(J11,Odds!E:E,0))</f>
        <v>12/5</v>
      </c>
      <c r="L11" s="623">
        <f>INDEX(Odds!G:G,MATCH(J11,Odds!E:E,0))</f>
        <v>3.4</v>
      </c>
      <c r="M11" s="643">
        <f>INDEX(Odds!H:H,MATCH(J11,Odds!E:E,0))</f>
        <v>1</v>
      </c>
      <c r="N11" s="625">
        <f t="shared" si="7"/>
        <v>3.4</v>
      </c>
      <c r="O11" s="626"/>
      <c r="P11" s="39" t="str">
        <f>IF(Match!A11="","",Match!T11)</f>
        <v xml:space="preserve">Charlton 4-0 Rochdale </v>
      </c>
      <c r="Q11" s="101"/>
      <c r="R11" s="42" t="str">
        <f>IF(Odds!E11="","",Odds!E11)</f>
        <v>Charlton</v>
      </c>
      <c r="S11" s="43" t="str">
        <f>INDEX(Odds!F:F,MATCH(R11,Odds!E:E,0))</f>
        <v>3/4</v>
      </c>
      <c r="T11" s="47">
        <f t="shared" si="0"/>
        <v>1</v>
      </c>
      <c r="U11" s="22" t="str">
        <f>INDEX(Match!O:O,MATCH(P11,Match!T:T,0))</f>
        <v>Charlton</v>
      </c>
      <c r="V11" s="22">
        <f>INDEX(Match!F:F,MATCH(P11,Match!T:T,0))</f>
        <v>4</v>
      </c>
      <c r="W11" s="22" t="str">
        <f>INDEX(Match!P:P,MATCH(P11,Match!T:T,0))</f>
        <v>Rochdale</v>
      </c>
      <c r="X11" s="22">
        <f>INDEX(Match!G:G,MATCH(P11,Match!T:T,0))</f>
        <v>0</v>
      </c>
      <c r="AB11" s="100"/>
      <c r="AC11" s="78" t="s">
        <v>347</v>
      </c>
      <c r="AD11" s="81">
        <f>INDEX(Picks!F:F,MATCH(AC11,Picks!A:A,0))</f>
        <v>11.440000000000001</v>
      </c>
      <c r="AE11" s="609">
        <f>INDEX(Weekly!I:I,MATCH(AC11,Weekly!E:E,0))</f>
        <v>2</v>
      </c>
      <c r="AF11" s="78">
        <f t="shared" si="1"/>
        <v>10</v>
      </c>
      <c r="AH11" s="78" t="s">
        <v>340</v>
      </c>
      <c r="AI11" s="81">
        <f>INDEX(Picks!G:G,MATCH(AH11,Picks!A:A,0))</f>
        <v>192.64</v>
      </c>
      <c r="AJ11" s="609">
        <f>INDEX(Weekly!I:I,MATCH(AH11,Weekly!E:E,0))</f>
        <v>0</v>
      </c>
      <c r="AK11" s="78">
        <f t="shared" si="2"/>
        <v>7</v>
      </c>
    </row>
    <row r="12" spans="1:37" x14ac:dyDescent="0.25">
      <c r="A12" s="627" t="str">
        <f>A11</f>
        <v>Alick Rocca</v>
      </c>
      <c r="B12" s="628" t="str">
        <f t="shared" si="3"/>
        <v>Reading Draw</v>
      </c>
      <c r="C12" s="629" t="str">
        <f t="shared" si="4"/>
        <v>12/5</v>
      </c>
      <c r="D12" s="630">
        <f t="shared" si="5"/>
        <v>3.4</v>
      </c>
      <c r="E12" s="651" t="str">
        <f t="shared" si="6"/>
        <v>√</v>
      </c>
      <c r="F12" s="631"/>
      <c r="G12" s="644"/>
      <c r="H12" s="294"/>
      <c r="I12" s="506"/>
      <c r="J12" s="622" t="s">
        <v>643</v>
      </c>
      <c r="K12" s="265" t="str">
        <f>INDEX(Odds!F:F,MATCH(J12,Odds!E:E,0))</f>
        <v>12/5</v>
      </c>
      <c r="L12" s="633">
        <f>INDEX(Odds!G:G,MATCH(J12,Odds!E:E,0))</f>
        <v>3.4</v>
      </c>
      <c r="M12" s="624">
        <f>INDEX(Odds!H:H,MATCH(J12,Odds!E:E,0))</f>
        <v>1</v>
      </c>
      <c r="N12" s="625">
        <f t="shared" si="7"/>
        <v>3.4</v>
      </c>
      <c r="O12" s="626"/>
      <c r="P12" s="39" t="str">
        <f>IF(Match!A12="","",Match!T12)</f>
        <v xml:space="preserve">Doncaster 2-0 Coventry </v>
      </c>
      <c r="Q12" s="101"/>
      <c r="R12" s="42" t="str">
        <f>IF(Odds!E12="","",Odds!E12)</f>
        <v>Doncaster</v>
      </c>
      <c r="S12" s="43" t="str">
        <f>INDEX(Odds!F:F,MATCH(R12,Odds!E:E,0))</f>
        <v>11/10</v>
      </c>
      <c r="T12" s="47">
        <f t="shared" si="0"/>
        <v>1</v>
      </c>
      <c r="U12" s="22" t="str">
        <f>INDEX(Match!O:O,MATCH(P12,Match!T:T,0))</f>
        <v>Doncaster</v>
      </c>
      <c r="V12" s="22">
        <f>INDEX(Match!F:F,MATCH(P12,Match!T:T,0))</f>
        <v>2</v>
      </c>
      <c r="W12" s="22" t="str">
        <f>INDEX(Match!P:P,MATCH(P12,Match!T:T,0))</f>
        <v>Coventry</v>
      </c>
      <c r="X12" s="22">
        <f>INDEX(Match!G:G,MATCH(P12,Match!T:T,0))</f>
        <v>0</v>
      </c>
      <c r="AB12" s="100"/>
      <c r="AC12" s="78" t="s">
        <v>367</v>
      </c>
      <c r="AD12" s="81">
        <f>INDEX(Picks!F:F,MATCH(AC12,Picks!A:A,0))</f>
        <v>11.36</v>
      </c>
      <c r="AE12" s="609">
        <f>INDEX(Weekly!I:I,MATCH(AC12,Weekly!E:E,0))</f>
        <v>2</v>
      </c>
      <c r="AF12" s="78">
        <f t="shared" si="1"/>
        <v>11</v>
      </c>
      <c r="AH12" s="78" t="s">
        <v>347</v>
      </c>
      <c r="AI12" s="81">
        <f>INDEX(Picks!G:G,MATCH(AH12,Picks!A:A,0))</f>
        <v>176.68</v>
      </c>
      <c r="AJ12" s="609">
        <f>INDEX(Weekly!I:I,MATCH(AH12,Weekly!E:E,0))</f>
        <v>2</v>
      </c>
      <c r="AK12" s="78">
        <f t="shared" si="2"/>
        <v>8</v>
      </c>
    </row>
    <row r="13" spans="1:37" ht="13.8" thickBot="1" x14ac:dyDescent="0.3">
      <c r="A13" s="634" t="str">
        <f>A11</f>
        <v>Alick Rocca</v>
      </c>
      <c r="B13" s="635" t="str">
        <f>IF(J13="","",J13)</f>
        <v>Villa Draw</v>
      </c>
      <c r="C13" s="636" t="str">
        <f t="shared" si="4"/>
        <v>13/5</v>
      </c>
      <c r="D13" s="637">
        <f t="shared" si="5"/>
        <v>3.6</v>
      </c>
      <c r="E13" s="651" t="str">
        <f t="shared" si="6"/>
        <v>x</v>
      </c>
      <c r="F13" s="631"/>
      <c r="G13" s="644"/>
      <c r="H13" s="294"/>
      <c r="I13" s="506"/>
      <c r="J13" s="638" t="s">
        <v>644</v>
      </c>
      <c r="K13" s="267" t="str">
        <f>INDEX(Odds!F:F,MATCH(J13,Odds!E:E,0))</f>
        <v>13/5</v>
      </c>
      <c r="L13" s="639">
        <f>INDEX(Odds!G:G,MATCH(J13,Odds!E:E,0))</f>
        <v>3.6</v>
      </c>
      <c r="M13" s="624">
        <f>INDEX(Odds!H:H,MATCH(J13,Odds!E:E,0))</f>
        <v>0</v>
      </c>
      <c r="N13" s="640">
        <f t="shared" si="7"/>
        <v>0</v>
      </c>
      <c r="O13" s="641"/>
      <c r="P13" s="39" t="str">
        <f>IF(Match!A13="","",Match!T13)</f>
        <v xml:space="preserve">Luton 3-1 Oxford </v>
      </c>
      <c r="Q13" s="101"/>
      <c r="R13" s="42" t="str">
        <f>IF(Odds!E13="","",Odds!E13)</f>
        <v>Luton</v>
      </c>
      <c r="S13" s="43" t="str">
        <f>INDEX(Odds!F:F,MATCH(R13,Odds!E:E,0))</f>
        <v>3/10</v>
      </c>
      <c r="T13" s="47">
        <f t="shared" si="0"/>
        <v>1</v>
      </c>
      <c r="U13" s="22" t="str">
        <f>INDEX(Match!O:O,MATCH(P13,Match!T:T,0))</f>
        <v>Luton</v>
      </c>
      <c r="V13" s="22">
        <f>INDEX(Match!F:F,MATCH(P13,Match!T:T,0))</f>
        <v>3</v>
      </c>
      <c r="W13" s="22" t="str">
        <f>INDEX(Match!P:P,MATCH(P13,Match!T:T,0))</f>
        <v>Oxford</v>
      </c>
      <c r="X13" s="22">
        <f>INDEX(Match!G:G,MATCH(P13,Match!T:T,0))</f>
        <v>1</v>
      </c>
      <c r="AB13" s="100"/>
      <c r="AC13" s="78" t="s">
        <v>354</v>
      </c>
      <c r="AD13" s="81">
        <f>INDEX(Picks!F:F,MATCH(AC13,Picks!A:A,0))</f>
        <v>6.5199999999999978</v>
      </c>
      <c r="AE13" s="609">
        <f>INDEX(Weekly!I:I,MATCH(AC13,Weekly!E:E,0))</f>
        <v>2</v>
      </c>
      <c r="AF13" s="78">
        <f t="shared" si="1"/>
        <v>12</v>
      </c>
      <c r="AH13" s="78" t="s">
        <v>358</v>
      </c>
      <c r="AI13" s="81">
        <f>INDEX(Picks!G:G,MATCH(AH13,Picks!A:A,0))</f>
        <v>166.76249999999999</v>
      </c>
      <c r="AJ13" s="609">
        <f>INDEX(Weekly!I:I,MATCH(AH13,Weekly!E:E,0))</f>
        <v>0</v>
      </c>
      <c r="AK13" s="78">
        <f t="shared" si="2"/>
        <v>9</v>
      </c>
    </row>
    <row r="14" spans="1:37" ht="14.4" thickTop="1" thickBot="1" x14ac:dyDescent="0.3">
      <c r="A14" s="618" t="str">
        <f>Results!B14</f>
        <v>Andy Charleston</v>
      </c>
      <c r="B14" s="642" t="str">
        <f t="shared" si="3"/>
        <v>Portsmouth</v>
      </c>
      <c r="C14" s="629" t="str">
        <f t="shared" si="4"/>
        <v>7/20</v>
      </c>
      <c r="D14" s="621">
        <f t="shared" si="5"/>
        <v>1.35</v>
      </c>
      <c r="E14" s="652" t="str">
        <f t="shared" si="6"/>
        <v>x</v>
      </c>
      <c r="F14" s="509">
        <f>IF(J14="",-10,INDEX(Results!T:T,MATCH(A14,Results!V:V,0)))</f>
        <v>2.2300000000000004</v>
      </c>
      <c r="G14" s="244">
        <f>IF(J14="","",INDEX(Results!AI:AI,MATCH(A14,Results!V:V,0)))</f>
        <v>16.040500000000002</v>
      </c>
      <c r="H14" s="294">
        <f>IF(G14="",0,1)</f>
        <v>1</v>
      </c>
      <c r="I14" s="505">
        <f>INDEX(Picks!AF:AF,MATCH(A14,Picks!AC:AC,0))</f>
        <v>16</v>
      </c>
      <c r="J14" s="622" t="s">
        <v>524</v>
      </c>
      <c r="K14" s="261" t="str">
        <f>INDEX(Odds!F:F,MATCH(J14,Odds!E:E,0))</f>
        <v>7/20</v>
      </c>
      <c r="L14" s="623">
        <f>INDEX(Odds!G:G,MATCH(J14,Odds!E:E,0))</f>
        <v>1.35</v>
      </c>
      <c r="M14" s="643">
        <f>INDEX(Odds!H:H,MATCH(J14,Odds!E:E,0))</f>
        <v>0</v>
      </c>
      <c r="N14" s="625">
        <f t="shared" si="7"/>
        <v>0</v>
      </c>
      <c r="O14" s="626"/>
      <c r="P14" s="39" t="str">
        <f>IF(Match!A14="","",Match!T14)</f>
        <v xml:space="preserve">Peterborough 3-1 Burton </v>
      </c>
      <c r="Q14" s="101"/>
      <c r="R14" s="42" t="str">
        <f>IF(Odds!E14="","",Odds!E14)</f>
        <v>Peterborough</v>
      </c>
      <c r="S14" s="43" t="str">
        <f>INDEX(Odds!F:F,MATCH(R14,Odds!E:E,0))</f>
        <v>23/20</v>
      </c>
      <c r="T14" s="47">
        <f t="shared" si="0"/>
        <v>1</v>
      </c>
      <c r="U14" s="22" t="str">
        <f>INDEX(Match!O:O,MATCH(P14,Match!T:T,0))</f>
        <v>Peterborough</v>
      </c>
      <c r="V14" s="22">
        <f>INDEX(Match!F:F,MATCH(P14,Match!T:T,0))</f>
        <v>3</v>
      </c>
      <c r="W14" s="22" t="str">
        <f>INDEX(Match!P:P,MATCH(P14,Match!T:T,0))</f>
        <v>Burton</v>
      </c>
      <c r="X14" s="22">
        <f>INDEX(Match!G:G,MATCH(P14,Match!T:T,0))</f>
        <v>1</v>
      </c>
      <c r="AB14" s="100"/>
      <c r="AC14" s="78" t="s">
        <v>366</v>
      </c>
      <c r="AD14" s="81">
        <f>INDEX(Picks!F:F,MATCH(AC14,Picks!A:A,0))</f>
        <v>5.1999999999999993</v>
      </c>
      <c r="AE14" s="609">
        <f>INDEX(Weekly!I:I,MATCH(AC14,Weekly!E:E,0))</f>
        <v>2</v>
      </c>
      <c r="AF14" s="78">
        <f t="shared" si="1"/>
        <v>13</v>
      </c>
      <c r="AH14" s="78" t="s">
        <v>330</v>
      </c>
      <c r="AI14" s="81">
        <f>INDEX(Picks!G:G,MATCH(AH14,Picks!A:A,0))</f>
        <v>127</v>
      </c>
      <c r="AJ14" s="609">
        <f>INDEX(Weekly!I:I,MATCH(AH14,Weekly!E:E,0))</f>
        <v>1</v>
      </c>
      <c r="AK14" s="78">
        <f t="shared" si="2"/>
        <v>10</v>
      </c>
    </row>
    <row r="15" spans="1:37" x14ac:dyDescent="0.25">
      <c r="A15" s="627" t="str">
        <f>A14</f>
        <v>Andy Charleston</v>
      </c>
      <c r="B15" s="628" t="str">
        <f t="shared" si="3"/>
        <v>Doncaster</v>
      </c>
      <c r="C15" s="629" t="str">
        <f t="shared" si="4"/>
        <v>11/10</v>
      </c>
      <c r="D15" s="630">
        <f t="shared" si="5"/>
        <v>2.1</v>
      </c>
      <c r="E15" s="651" t="str">
        <f t="shared" si="6"/>
        <v>√</v>
      </c>
      <c r="F15" s="631"/>
      <c r="G15" s="644"/>
      <c r="H15" s="294"/>
      <c r="I15" s="506"/>
      <c r="J15" s="622" t="s">
        <v>521</v>
      </c>
      <c r="K15" s="265" t="str">
        <f>INDEX(Odds!F:F,MATCH(J15,Odds!E:E,0))</f>
        <v>11/10</v>
      </c>
      <c r="L15" s="633">
        <f>INDEX(Odds!G:G,MATCH(J15,Odds!E:E,0))</f>
        <v>2.1</v>
      </c>
      <c r="M15" s="624">
        <f>INDEX(Odds!H:H,MATCH(J15,Odds!E:E,0))</f>
        <v>1</v>
      </c>
      <c r="N15" s="625">
        <f t="shared" si="7"/>
        <v>2.1</v>
      </c>
      <c r="O15" s="626"/>
      <c r="P15" s="39" t="str">
        <f>IF(Match!A15="","",Match!T15)</f>
        <v xml:space="preserve">Plymouth 3-2 Scunthorpe </v>
      </c>
      <c r="Q15" s="101"/>
      <c r="R15" s="42" t="str">
        <f>IF(Odds!E15="","",Odds!E15)</f>
        <v>Plymouth</v>
      </c>
      <c r="S15" s="43" t="str">
        <f>INDEX(Odds!F:F,MATCH(R15,Odds!E:E,0))</f>
        <v>5/4</v>
      </c>
      <c r="T15" s="47">
        <f t="shared" si="0"/>
        <v>1</v>
      </c>
      <c r="U15" s="22" t="str">
        <f>INDEX(Match!O:O,MATCH(P15,Match!T:T,0))</f>
        <v>Plymouth</v>
      </c>
      <c r="V15" s="22">
        <f>INDEX(Match!F:F,MATCH(P15,Match!T:T,0))</f>
        <v>3</v>
      </c>
      <c r="W15" s="22" t="str">
        <f>INDEX(Match!P:P,MATCH(P15,Match!T:T,0))</f>
        <v>Scunthorpe</v>
      </c>
      <c r="X15" s="22">
        <f>INDEX(Match!G:G,MATCH(P15,Match!T:T,0))</f>
        <v>2</v>
      </c>
      <c r="AB15" s="100"/>
      <c r="AC15" s="78" t="s">
        <v>345</v>
      </c>
      <c r="AD15" s="81">
        <f>INDEX(Picks!F:F,MATCH(AC15,Picks!A:A,0))</f>
        <v>3.879999999999999</v>
      </c>
      <c r="AE15" s="609">
        <f>INDEX(Weekly!I:I,MATCH(AC15,Weekly!E:E,0))</f>
        <v>2</v>
      </c>
      <c r="AF15" s="78">
        <f t="shared" si="1"/>
        <v>14</v>
      </c>
      <c r="AH15" s="78" t="s">
        <v>327</v>
      </c>
      <c r="AI15" s="81">
        <f>INDEX(Picks!G:G,MATCH(AH15,Picks!A:A,0))</f>
        <v>118.36</v>
      </c>
      <c r="AJ15" s="609">
        <f>INDEX(Weekly!I:I,MATCH(AH15,Weekly!E:E,0))</f>
        <v>1</v>
      </c>
      <c r="AK15" s="78">
        <f t="shared" si="2"/>
        <v>11</v>
      </c>
    </row>
    <row r="16" spans="1:37" ht="13.8" thickBot="1" x14ac:dyDescent="0.3">
      <c r="A16" s="634" t="str">
        <f>A14</f>
        <v>Andy Charleston</v>
      </c>
      <c r="B16" s="635" t="str">
        <f t="shared" si="3"/>
        <v>Wigan</v>
      </c>
      <c r="C16" s="636" t="str">
        <f t="shared" si="4"/>
        <v>13/10</v>
      </c>
      <c r="D16" s="637">
        <f t="shared" si="5"/>
        <v>2.2999999999999998</v>
      </c>
      <c r="E16" s="651" t="str">
        <f t="shared" si="6"/>
        <v>√</v>
      </c>
      <c r="F16" s="631"/>
      <c r="G16" s="644"/>
      <c r="H16" s="294"/>
      <c r="I16" s="506"/>
      <c r="J16" s="638" t="s">
        <v>430</v>
      </c>
      <c r="K16" s="267" t="str">
        <f>INDEX(Odds!F:F,MATCH(J16,Odds!E:E,0))</f>
        <v>13/10</v>
      </c>
      <c r="L16" s="639">
        <f>INDEX(Odds!G:G,MATCH(J16,Odds!E:E,0))</f>
        <v>2.2999999999999998</v>
      </c>
      <c r="M16" s="624">
        <f>INDEX(Odds!H:H,MATCH(J16,Odds!E:E,0))</f>
        <v>1</v>
      </c>
      <c r="N16" s="640">
        <f t="shared" si="7"/>
        <v>2.2999999999999998</v>
      </c>
      <c r="O16" s="641"/>
      <c r="P16" s="39" t="str">
        <f>IF(Match!A16="","",Match!T16)</f>
        <v xml:space="preserve">Portsmouth 1-1 Accrington </v>
      </c>
      <c r="Q16" s="101"/>
      <c r="R16" s="42" t="str">
        <f>IF(Odds!E16="","",Odds!E16)</f>
        <v>Portsmouth</v>
      </c>
      <c r="S16" s="43" t="str">
        <f>INDEX(Odds!F:F,MATCH(R16,Odds!E:E,0))</f>
        <v>7/20</v>
      </c>
      <c r="T16" s="47">
        <f t="shared" si="0"/>
        <v>0</v>
      </c>
      <c r="U16" s="22" t="str">
        <f>INDEX(Match!O:O,MATCH(P16,Match!T:T,0))</f>
        <v>Portsmouth</v>
      </c>
      <c r="V16" s="22">
        <f>INDEX(Match!F:F,MATCH(P16,Match!T:T,0))</f>
        <v>1</v>
      </c>
      <c r="W16" s="22" t="str">
        <f>INDEX(Match!P:P,MATCH(P16,Match!T:T,0))</f>
        <v>Accrington</v>
      </c>
      <c r="X16" s="22">
        <f>INDEX(Match!G:G,MATCH(P16,Match!T:T,0))</f>
        <v>1</v>
      </c>
      <c r="AB16" s="100"/>
      <c r="AC16" s="78" t="s">
        <v>323</v>
      </c>
      <c r="AD16" s="81">
        <f>INDEX(Picks!F:F,MATCH(AC16,Picks!A:A,0))</f>
        <v>2.4000000000000004</v>
      </c>
      <c r="AE16" s="609">
        <f>INDEX(Weekly!I:I,MATCH(AC16,Weekly!E:E,0))</f>
        <v>2</v>
      </c>
      <c r="AF16" s="78">
        <f t="shared" si="1"/>
        <v>15</v>
      </c>
      <c r="AH16" s="78" t="s">
        <v>350</v>
      </c>
      <c r="AI16" s="81">
        <f>INDEX(Picks!G:G,MATCH(AH16,Picks!A:A,0))</f>
        <v>104.75200000000001</v>
      </c>
      <c r="AJ16" s="609">
        <f>INDEX(Weekly!I:I,MATCH(AH16,Weekly!E:E,0))</f>
        <v>3</v>
      </c>
      <c r="AK16" s="78">
        <f t="shared" si="2"/>
        <v>12</v>
      </c>
    </row>
    <row r="17" spans="1:37" ht="14.4" thickTop="1" thickBot="1" x14ac:dyDescent="0.3">
      <c r="A17" s="618" t="str">
        <f>Results!B17</f>
        <v>Andy White</v>
      </c>
      <c r="B17" s="642" t="str">
        <f t="shared" si="3"/>
        <v>Burnley</v>
      </c>
      <c r="C17" s="629" t="str">
        <f t="shared" si="4"/>
        <v>24/5</v>
      </c>
      <c r="D17" s="621">
        <f t="shared" si="5"/>
        <v>5.8</v>
      </c>
      <c r="E17" s="652" t="str">
        <f t="shared" si="6"/>
        <v>x</v>
      </c>
      <c r="F17" s="509">
        <f>IF(J17="",-10,INDEX(Results!T:T,MATCH(A17,Results!V:V,0)))</f>
        <v>-4.625</v>
      </c>
      <c r="G17" s="244">
        <f>IF(J17="","",INDEX(Results!AI:AI,MATCH(A17,Results!V:V,0)))</f>
        <v>79.20999999999998</v>
      </c>
      <c r="H17" s="294">
        <f>IF(G17="",0,1)</f>
        <v>1</v>
      </c>
      <c r="I17" s="505">
        <f>INDEX(Picks!AF:AF,MATCH(A17,Picks!AC:AC,0))</f>
        <v>38</v>
      </c>
      <c r="J17" s="622" t="s">
        <v>624</v>
      </c>
      <c r="K17" s="261" t="str">
        <f>INDEX(Odds!F:F,MATCH(J17,Odds!E:E,0))</f>
        <v>24/5</v>
      </c>
      <c r="L17" s="623">
        <f>INDEX(Odds!G:G,MATCH(J17,Odds!E:E,0))</f>
        <v>5.8</v>
      </c>
      <c r="M17" s="643">
        <f>INDEX(Odds!H:H,MATCH(J17,Odds!E:E,0))</f>
        <v>0</v>
      </c>
      <c r="N17" s="625">
        <f t="shared" si="7"/>
        <v>0</v>
      </c>
      <c r="O17" s="626"/>
      <c r="P17" s="39" t="str">
        <f>IF(Match!A17="","",Match!T17)</f>
        <v xml:space="preserve">Shrewsbury 0-0 Walsall </v>
      </c>
      <c r="Q17" s="101"/>
      <c r="R17" s="42" t="str">
        <f>IF(Odds!E17="","",Odds!E17)</f>
        <v>Shrewsbury</v>
      </c>
      <c r="S17" s="43" t="str">
        <f>INDEX(Odds!F:F,MATCH(R17,Odds!E:E,0))</f>
        <v>19/10</v>
      </c>
      <c r="T17" s="47">
        <f t="shared" si="0"/>
        <v>0</v>
      </c>
      <c r="U17" s="22" t="str">
        <f>INDEX(Match!O:O,MATCH(P17,Match!T:T,0))</f>
        <v>Shrewsbury</v>
      </c>
      <c r="V17" s="22">
        <f>INDEX(Match!F:F,MATCH(P17,Match!T:T,0))</f>
        <v>0</v>
      </c>
      <c r="W17" s="22" t="str">
        <f>INDEX(Match!P:P,MATCH(P17,Match!T:T,0))</f>
        <v>Walsall</v>
      </c>
      <c r="X17" s="22">
        <f>INDEX(Match!G:G,MATCH(P17,Match!T:T,0))</f>
        <v>0</v>
      </c>
      <c r="AB17" s="100"/>
      <c r="AC17" s="78" t="s">
        <v>460</v>
      </c>
      <c r="AD17" s="81">
        <f>INDEX(Picks!F:F,MATCH(AC17,Picks!A:A,0))</f>
        <v>2.2300000000000004</v>
      </c>
      <c r="AE17" s="609">
        <f>INDEX(Weekly!I:I,MATCH(AC17,Weekly!E:E,0))</f>
        <v>2</v>
      </c>
      <c r="AF17" s="78">
        <f t="shared" si="1"/>
        <v>16</v>
      </c>
      <c r="AH17" s="78" t="s">
        <v>353</v>
      </c>
      <c r="AI17" s="81">
        <f>INDEX(Picks!G:G,MATCH(AH17,Picks!A:A,0))</f>
        <v>102.50000000000001</v>
      </c>
      <c r="AJ17" s="609">
        <f>INDEX(Weekly!I:I,MATCH(AH17,Weekly!E:E,0))</f>
        <v>0</v>
      </c>
      <c r="AK17" s="78">
        <f t="shared" si="2"/>
        <v>13</v>
      </c>
    </row>
    <row r="18" spans="1:37" x14ac:dyDescent="0.25">
      <c r="A18" s="627" t="str">
        <f>A17</f>
        <v>Andy White</v>
      </c>
      <c r="B18" s="628" t="str">
        <f>IF(J18="","",J18)</f>
        <v>Cardiff</v>
      </c>
      <c r="C18" s="629" t="str">
        <f t="shared" si="4"/>
        <v>9/5</v>
      </c>
      <c r="D18" s="630">
        <f t="shared" si="5"/>
        <v>2.8</v>
      </c>
      <c r="E18" s="651" t="str">
        <f t="shared" si="6"/>
        <v>x</v>
      </c>
      <c r="F18" s="631"/>
      <c r="G18" s="644"/>
      <c r="H18" s="294"/>
      <c r="I18" s="506"/>
      <c r="J18" s="622" t="s">
        <v>619</v>
      </c>
      <c r="K18" s="265" t="str">
        <f>INDEX(Odds!F:F,MATCH(J18,Odds!E:E,0))</f>
        <v>9/5</v>
      </c>
      <c r="L18" s="633">
        <f>INDEX(Odds!G:G,MATCH(J18,Odds!E:E,0))</f>
        <v>2.8</v>
      </c>
      <c r="M18" s="624">
        <f>INDEX(Odds!H:H,MATCH(J18,Odds!E:E,0))</f>
        <v>0</v>
      </c>
      <c r="N18" s="625">
        <f t="shared" si="7"/>
        <v>0</v>
      </c>
      <c r="O18" s="626"/>
      <c r="P18" s="39" t="str">
        <f>IF(Match!A18="","",Match!T18)</f>
        <v xml:space="preserve">Southend 2-1 Sunderland </v>
      </c>
      <c r="Q18" s="101"/>
      <c r="R18" s="42" t="str">
        <f>IF(Odds!E18="","",Odds!E18)</f>
        <v>Southend</v>
      </c>
      <c r="S18" s="43" t="str">
        <f>INDEX(Odds!F:F,MATCH(R18,Odds!E:E,0))</f>
        <v>11/5</v>
      </c>
      <c r="T18" s="47">
        <f t="shared" si="0"/>
        <v>1</v>
      </c>
      <c r="U18" s="22" t="str">
        <f>INDEX(Match!O:O,MATCH(P18,Match!T:T,0))</f>
        <v>Southend</v>
      </c>
      <c r="V18" s="22">
        <f>INDEX(Match!F:F,MATCH(P18,Match!T:T,0))</f>
        <v>2</v>
      </c>
      <c r="W18" s="22" t="str">
        <f>INDEX(Match!P:P,MATCH(P18,Match!T:T,0))</f>
        <v>Sunderland</v>
      </c>
      <c r="X18" s="22">
        <f>INDEX(Match!G:G,MATCH(P18,Match!T:T,0))</f>
        <v>1</v>
      </c>
      <c r="AB18" s="100"/>
      <c r="AC18" s="78" t="s">
        <v>338</v>
      </c>
      <c r="AD18" s="81">
        <f>INDEX(Picks!F:F,MATCH(AC18,Picks!A:A,0))</f>
        <v>2.2300000000000004</v>
      </c>
      <c r="AE18" s="609">
        <f>INDEX(Weekly!I:I,MATCH(AC18,Weekly!E:E,0))</f>
        <v>2</v>
      </c>
      <c r="AF18" s="78">
        <f t="shared" si="1"/>
        <v>16</v>
      </c>
      <c r="AH18" s="78" t="s">
        <v>453</v>
      </c>
      <c r="AI18" s="81">
        <f>INDEX(Picks!G:G,MATCH(AH18,Picks!A:A,0))</f>
        <v>87.287499999999994</v>
      </c>
      <c r="AJ18" s="609">
        <f>INDEX(Weekly!I:I,MATCH(AH18,Weekly!E:E,0))</f>
        <v>2</v>
      </c>
      <c r="AK18" s="78">
        <f t="shared" si="2"/>
        <v>14</v>
      </c>
    </row>
    <row r="19" spans="1:37" ht="13.8" thickBot="1" x14ac:dyDescent="0.3">
      <c r="A19" s="634" t="str">
        <f>A17</f>
        <v>Andy White</v>
      </c>
      <c r="B19" s="628" t="str">
        <f t="shared" si="3"/>
        <v>West Ham</v>
      </c>
      <c r="C19" s="636" t="str">
        <f t="shared" si="4"/>
        <v>11/8</v>
      </c>
      <c r="D19" s="637">
        <f t="shared" si="5"/>
        <v>2.375</v>
      </c>
      <c r="E19" s="651" t="str">
        <f t="shared" si="6"/>
        <v>√</v>
      </c>
      <c r="F19" s="631"/>
      <c r="G19" s="644"/>
      <c r="H19" s="294"/>
      <c r="I19" s="506"/>
      <c r="J19" s="638" t="s">
        <v>622</v>
      </c>
      <c r="K19" s="267" t="str">
        <f>INDEX(Odds!F:F,MATCH(J19,Odds!E:E,0))</f>
        <v>11/8</v>
      </c>
      <c r="L19" s="639">
        <f>INDEX(Odds!G:G,MATCH(J19,Odds!E:E,0))</f>
        <v>2.375</v>
      </c>
      <c r="M19" s="624">
        <f>INDEX(Odds!H:H,MATCH(J19,Odds!E:E,0))</f>
        <v>1</v>
      </c>
      <c r="N19" s="640">
        <f t="shared" si="7"/>
        <v>2.375</v>
      </c>
      <c r="O19" s="641"/>
      <c r="P19" s="39" t="str">
        <f>IF(Match!A19="","",Match!T19)</f>
        <v xml:space="preserve">Wycombe 1-0 Fleetwood </v>
      </c>
      <c r="Q19" s="101"/>
      <c r="R19" s="42" t="str">
        <f>IF(Odds!E19="","",Odds!E19)</f>
        <v>Wycombe</v>
      </c>
      <c r="S19" s="43" t="str">
        <f>INDEX(Odds!F:F,MATCH(R19,Odds!E:E,0))</f>
        <v>21/20</v>
      </c>
      <c r="T19" s="47">
        <f t="shared" si="0"/>
        <v>1</v>
      </c>
      <c r="U19" s="22" t="str">
        <f>INDEX(Match!O:O,MATCH(P19,Match!T:T,0))</f>
        <v>Wycombe</v>
      </c>
      <c r="V19" s="22">
        <f>INDEX(Match!F:F,MATCH(P19,Match!T:T,0))</f>
        <v>1</v>
      </c>
      <c r="W19" s="22" t="str">
        <f>INDEX(Match!P:P,MATCH(P19,Match!T:T,0))</f>
        <v>Fleetwood</v>
      </c>
      <c r="X19" s="22">
        <f>INDEX(Match!G:G,MATCH(P19,Match!T:T,0))</f>
        <v>0</v>
      </c>
      <c r="AB19" s="100"/>
      <c r="AC19" s="78" t="s">
        <v>391</v>
      </c>
      <c r="AD19" s="81">
        <f>INDEX(Picks!F:F,MATCH(AC19,Picks!A:A,0))</f>
        <v>1.7749999999999986</v>
      </c>
      <c r="AE19" s="609">
        <f>INDEX(Weekly!I:I,MATCH(AC19,Weekly!E:E,0))</f>
        <v>2</v>
      </c>
      <c r="AF19" s="78">
        <f t="shared" si="1"/>
        <v>18</v>
      </c>
      <c r="AH19" s="78" t="s">
        <v>450</v>
      </c>
      <c r="AI19" s="81">
        <f>INDEX(Picks!G:G,MATCH(AH19,Picks!A:A,0))</f>
        <v>87.04</v>
      </c>
      <c r="AJ19" s="609">
        <f>INDEX(Weekly!I:I,MATCH(AH19,Weekly!E:E,0))</f>
        <v>2</v>
      </c>
      <c r="AK19" s="78">
        <f t="shared" si="2"/>
        <v>15</v>
      </c>
    </row>
    <row r="20" spans="1:37" ht="14.4" thickTop="1" thickBot="1" x14ac:dyDescent="0.3">
      <c r="A20" s="618" t="str">
        <f>Results!B20</f>
        <v>Antony Robinson</v>
      </c>
      <c r="B20" s="642" t="str">
        <f t="shared" si="3"/>
        <v>Derby draw</v>
      </c>
      <c r="C20" s="629" t="str">
        <f t="shared" si="4"/>
        <v>5/2</v>
      </c>
      <c r="D20" s="621">
        <f t="shared" si="5"/>
        <v>3.5</v>
      </c>
      <c r="E20" s="652" t="str">
        <f t="shared" si="6"/>
        <v>x</v>
      </c>
      <c r="F20" s="509">
        <f>IF(J20="",-10,INDEX(Results!T:T,MATCH(A20,Results!V:V,0)))</f>
        <v>5.1999999999999993</v>
      </c>
      <c r="G20" s="244">
        <f>IF(J20="","",INDEX(Results!AI:AI,MATCH(A20,Results!V:V,0)))</f>
        <v>51.4</v>
      </c>
      <c r="H20" s="294">
        <f>IF(G20="",0,1)</f>
        <v>1</v>
      </c>
      <c r="I20" s="505">
        <f>INDEX(Picks!AF:AF,MATCH(A20,Picks!AC:AC,0))</f>
        <v>13</v>
      </c>
      <c r="J20" s="622" t="s">
        <v>648</v>
      </c>
      <c r="K20" s="261" t="str">
        <f>INDEX(Odds!F:F,MATCH(J20,Odds!E:E,0))</f>
        <v>5/2</v>
      </c>
      <c r="L20" s="623">
        <f>INDEX(Odds!G:G,MATCH(J20,Odds!E:E,0))</f>
        <v>3.5</v>
      </c>
      <c r="M20" s="643">
        <f>INDEX(Odds!H:H,MATCH(J20,Odds!E:E,0))</f>
        <v>0</v>
      </c>
      <c r="N20" s="625">
        <f t="shared" si="7"/>
        <v>0</v>
      </c>
      <c r="O20" s="626"/>
      <c r="P20" s="39" t="str">
        <f>IF(Match!A20="","",Match!T20)</f>
        <v xml:space="preserve">Bury 1-1 Port Vale </v>
      </c>
      <c r="Q20" s="101"/>
      <c r="R20" s="42" t="str">
        <f>IF(Odds!E20="","",Odds!E20)</f>
        <v>Bury</v>
      </c>
      <c r="S20" s="43" t="str">
        <f>INDEX(Odds!F:F,MATCH(R20,Odds!E:E,0))</f>
        <v>1/2</v>
      </c>
      <c r="T20" s="47">
        <f t="shared" si="0"/>
        <v>0</v>
      </c>
      <c r="U20" s="22" t="str">
        <f>INDEX(Match!O:O,MATCH(P20,Match!T:T,0))</f>
        <v>Bury</v>
      </c>
      <c r="V20" s="22">
        <f>INDEX(Match!F:F,MATCH(P20,Match!T:T,0))</f>
        <v>1</v>
      </c>
      <c r="W20" s="22" t="str">
        <f>INDEX(Match!P:P,MATCH(P20,Match!T:T,0))</f>
        <v>Port Vale</v>
      </c>
      <c r="X20" s="22">
        <f>INDEX(Match!G:G,MATCH(P20,Match!T:T,0))</f>
        <v>1</v>
      </c>
      <c r="AB20" s="100"/>
      <c r="AC20" s="78" t="s">
        <v>324</v>
      </c>
      <c r="AD20" s="81">
        <f>INDEX(Picks!F:F,MATCH(AC20,Picks!A:A,0))</f>
        <v>1.3599999999999994</v>
      </c>
      <c r="AE20" s="609">
        <f>INDEX(Weekly!I:I,MATCH(AC20,Weekly!E:E,0))</f>
        <v>2</v>
      </c>
      <c r="AF20" s="78">
        <f t="shared" si="1"/>
        <v>19</v>
      </c>
      <c r="AH20" s="78" t="s">
        <v>451</v>
      </c>
      <c r="AI20" s="81">
        <f>INDEX(Picks!G:G,MATCH(AH20,Picks!A:A,0))</f>
        <v>82.25</v>
      </c>
      <c r="AJ20" s="609">
        <f>INDEX(Weekly!I:I,MATCH(AH20,Weekly!E:E,0))</f>
        <v>0</v>
      </c>
      <c r="AK20" s="78">
        <f t="shared" si="2"/>
        <v>16</v>
      </c>
    </row>
    <row r="21" spans="1:37" x14ac:dyDescent="0.25">
      <c r="A21" s="627" t="str">
        <f>A20</f>
        <v>Antony Robinson</v>
      </c>
      <c r="B21" s="628" t="str">
        <f t="shared" si="3"/>
        <v>Wigan</v>
      </c>
      <c r="C21" s="629" t="str">
        <f t="shared" si="4"/>
        <v>13/10</v>
      </c>
      <c r="D21" s="630">
        <f t="shared" si="5"/>
        <v>2.2999999999999998</v>
      </c>
      <c r="E21" s="651" t="str">
        <f t="shared" si="6"/>
        <v>√</v>
      </c>
      <c r="F21" s="631"/>
      <c r="G21" s="644"/>
      <c r="H21" s="294"/>
      <c r="I21" s="506"/>
      <c r="J21" s="622" t="s">
        <v>430</v>
      </c>
      <c r="K21" s="265" t="str">
        <f>INDEX(Odds!F:F,MATCH(J21,Odds!E:E,0))</f>
        <v>13/10</v>
      </c>
      <c r="L21" s="633">
        <f>INDEX(Odds!G:G,MATCH(J21,Odds!E:E,0))</f>
        <v>2.2999999999999998</v>
      </c>
      <c r="M21" s="624">
        <f>INDEX(Odds!H:H,MATCH(J21,Odds!E:E,0))</f>
        <v>1</v>
      </c>
      <c r="N21" s="625">
        <f t="shared" si="7"/>
        <v>2.2999999999999998</v>
      </c>
      <c r="O21" s="626"/>
      <c r="P21" s="39" t="str">
        <f>IF(Match!A21="","",Match!T21)</f>
        <v xml:space="preserve">Crawley 3-1 Tranmere </v>
      </c>
      <c r="Q21" s="101"/>
      <c r="R21" s="42" t="str">
        <f>IF(Odds!E21="","",Odds!E21)</f>
        <v>Crawley</v>
      </c>
      <c r="S21" s="43" t="str">
        <f>INDEX(Odds!F:F,MATCH(R21,Odds!E:E,0))</f>
        <v>3/1</v>
      </c>
      <c r="T21" s="47">
        <f t="shared" si="0"/>
        <v>1</v>
      </c>
      <c r="U21" s="22" t="str">
        <f>INDEX(Match!O:O,MATCH(P21,Match!T:T,0))</f>
        <v>Crawley</v>
      </c>
      <c r="V21" s="22">
        <f>INDEX(Match!F:F,MATCH(P21,Match!T:T,0))</f>
        <v>3</v>
      </c>
      <c r="W21" s="22" t="str">
        <f>INDEX(Match!P:P,MATCH(P21,Match!T:T,0))</f>
        <v>Tranmere</v>
      </c>
      <c r="X21" s="22">
        <f>INDEX(Match!G:G,MATCH(P21,Match!T:T,0))</f>
        <v>1</v>
      </c>
      <c r="AB21" s="100"/>
      <c r="AC21" s="80" t="s">
        <v>452</v>
      </c>
      <c r="AD21" s="81">
        <f>INDEX(Picks!F:F,MATCH(AC21,Picks!A:A,0))</f>
        <v>1.25</v>
      </c>
      <c r="AE21" s="609">
        <f>INDEX(Weekly!I:I,MATCH(AC21,Weekly!E:E,0))</f>
        <v>2</v>
      </c>
      <c r="AF21" s="78">
        <f t="shared" si="1"/>
        <v>20</v>
      </c>
      <c r="AH21" s="78" t="s">
        <v>344</v>
      </c>
      <c r="AI21" s="81">
        <f>INDEX(Picks!G:G,MATCH(AH21,Picks!A:A,0))</f>
        <v>82</v>
      </c>
      <c r="AJ21" s="609">
        <f>INDEX(Weekly!I:I,MATCH(AH21,Weekly!E:E,0))</f>
        <v>0</v>
      </c>
      <c r="AK21" s="78">
        <f t="shared" si="2"/>
        <v>17</v>
      </c>
    </row>
    <row r="22" spans="1:37" ht="13.8" thickBot="1" x14ac:dyDescent="0.3">
      <c r="A22" s="634" t="str">
        <f>A20</f>
        <v>Antony Robinson</v>
      </c>
      <c r="B22" s="635" t="str">
        <f t="shared" si="3"/>
        <v>Norwich</v>
      </c>
      <c r="C22" s="636" t="str">
        <f t="shared" si="4"/>
        <v>2/1</v>
      </c>
      <c r="D22" s="637">
        <f t="shared" si="5"/>
        <v>3</v>
      </c>
      <c r="E22" s="651" t="str">
        <f t="shared" si="6"/>
        <v>√</v>
      </c>
      <c r="F22" s="631"/>
      <c r="G22" s="644"/>
      <c r="H22" s="294"/>
      <c r="I22" s="506"/>
      <c r="J22" s="638" t="s">
        <v>601</v>
      </c>
      <c r="K22" s="267" t="str">
        <f>INDEX(Odds!F:F,MATCH(J22,Odds!E:E,0))</f>
        <v>2/1</v>
      </c>
      <c r="L22" s="639">
        <f>INDEX(Odds!G:G,MATCH(J22,Odds!E:E,0))</f>
        <v>3</v>
      </c>
      <c r="M22" s="624">
        <f>INDEX(Odds!H:H,MATCH(J22,Odds!E:E,0))</f>
        <v>1</v>
      </c>
      <c r="N22" s="640">
        <f t="shared" si="7"/>
        <v>3</v>
      </c>
      <c r="O22" s="641"/>
      <c r="P22" s="39" t="str">
        <f>IF(Match!A22="","",Match!T22)</f>
        <v xml:space="preserve">Forest Green 0-0 Exeter </v>
      </c>
      <c r="Q22" s="101"/>
      <c r="R22" s="42" t="str">
        <f>IF(Odds!E22="","",Odds!E22)</f>
        <v>Forest Green</v>
      </c>
      <c r="S22" s="43" t="str">
        <f>INDEX(Odds!F:F,MATCH(R22,Odds!E:E,0))</f>
        <v>6/4</v>
      </c>
      <c r="T22" s="47">
        <f t="shared" si="0"/>
        <v>0</v>
      </c>
      <c r="U22" s="22" t="str">
        <f>INDEX(Match!O:O,MATCH(P22,Match!T:T,0))</f>
        <v>Forest Green</v>
      </c>
      <c r="V22" s="22">
        <f>INDEX(Match!F:F,MATCH(P22,Match!T:T,0))</f>
        <v>0</v>
      </c>
      <c r="W22" s="22" t="str">
        <f>INDEX(Match!P:P,MATCH(P22,Match!T:T,0))</f>
        <v>Exeter</v>
      </c>
      <c r="X22" s="22">
        <f>INDEX(Match!G:G,MATCH(P22,Match!T:T,0))</f>
        <v>0</v>
      </c>
      <c r="AB22" s="100"/>
      <c r="AC22" s="78" t="s">
        <v>453</v>
      </c>
      <c r="AD22" s="81">
        <f>INDEX(Picks!F:F,MATCH(AC22,Picks!A:A,0))</f>
        <v>0.66249999999999964</v>
      </c>
      <c r="AE22" s="609">
        <f>INDEX(Weekly!I:I,MATCH(AC22,Weekly!E:E,0))</f>
        <v>2</v>
      </c>
      <c r="AF22" s="78">
        <f t="shared" si="1"/>
        <v>21</v>
      </c>
      <c r="AH22" s="78" t="s">
        <v>341</v>
      </c>
      <c r="AI22" s="81">
        <f>INDEX(Picks!G:G,MATCH(AH22,Picks!A:A,0))</f>
        <v>81.6484375</v>
      </c>
      <c r="AJ22" s="609">
        <f>INDEX(Weekly!I:I,MATCH(AH22,Weekly!E:E,0))</f>
        <v>1</v>
      </c>
      <c r="AK22" s="78">
        <f t="shared" si="2"/>
        <v>18</v>
      </c>
    </row>
    <row r="23" spans="1:37" ht="14.4" thickTop="1" thickBot="1" x14ac:dyDescent="0.3">
      <c r="A23" s="618" t="str">
        <f>Results!B23</f>
        <v>Ashley Houghton</v>
      </c>
      <c r="B23" s="642" t="str">
        <f t="shared" si="3"/>
        <v>Charlton</v>
      </c>
      <c r="C23" s="629" t="str">
        <f t="shared" si="4"/>
        <v>3/4</v>
      </c>
      <c r="D23" s="621">
        <f t="shared" si="5"/>
        <v>1.75</v>
      </c>
      <c r="E23" s="652" t="str">
        <f t="shared" si="6"/>
        <v>√</v>
      </c>
      <c r="F23" s="509">
        <f>IF(J23="",-10,INDEX(Results!T:T,MATCH(A23,Results!V:V,0)))</f>
        <v>-1.2777777777777777</v>
      </c>
      <c r="G23" s="244">
        <f>IF(J23="","",INDEX(Results!AI:AI,MATCH(A23,Results!V:V,0)))</f>
        <v>13.847222222222221</v>
      </c>
      <c r="H23" s="294">
        <f>IF(G23="",0,1)</f>
        <v>1</v>
      </c>
      <c r="I23" s="505">
        <f>INDEX(Picks!AF:AF,MATCH(A23,Picks!AC:AC,0))</f>
        <v>26</v>
      </c>
      <c r="J23" s="622" t="s">
        <v>613</v>
      </c>
      <c r="K23" s="261" t="str">
        <f>INDEX(Odds!F:F,MATCH(J23,Odds!E:E,0))</f>
        <v>3/4</v>
      </c>
      <c r="L23" s="623">
        <f>INDEX(Odds!G:G,MATCH(J23,Odds!E:E,0))</f>
        <v>1.75</v>
      </c>
      <c r="M23" s="643">
        <f>INDEX(Odds!H:H,MATCH(J23,Odds!E:E,0))</f>
        <v>1</v>
      </c>
      <c r="N23" s="625">
        <f t="shared" si="7"/>
        <v>1.75</v>
      </c>
      <c r="O23" s="626"/>
      <c r="P23" s="39" t="str">
        <f>IF(Match!A23="","",Match!T23)</f>
        <v xml:space="preserve">Grimsby 2-0 Crewe </v>
      </c>
      <c r="Q23" s="101"/>
      <c r="R23" s="42" t="str">
        <f>IF(Odds!E23="","",Odds!E23)</f>
        <v>Grimsby</v>
      </c>
      <c r="S23" s="43" t="str">
        <f>INDEX(Odds!F:F,MATCH(R23,Odds!E:E,0))</f>
        <v>6/4</v>
      </c>
      <c r="T23" s="47">
        <f t="shared" si="0"/>
        <v>1</v>
      </c>
      <c r="U23" s="22" t="str">
        <f>INDEX(Match!O:O,MATCH(P23,Match!T:T,0))</f>
        <v>Grimsby</v>
      </c>
      <c r="V23" s="22">
        <f>INDEX(Match!F:F,MATCH(P23,Match!T:T,0))</f>
        <v>2</v>
      </c>
      <c r="W23" s="22" t="str">
        <f>INDEX(Match!P:P,MATCH(P23,Match!T:T,0))</f>
        <v>Crewe</v>
      </c>
      <c r="X23" s="22">
        <f>INDEX(Match!G:G,MATCH(P23,Match!T:T,0))</f>
        <v>0</v>
      </c>
      <c r="AB23" s="100"/>
      <c r="AC23" s="78" t="s">
        <v>346</v>
      </c>
      <c r="AD23" s="81">
        <f>INDEX(Picks!F:F,MATCH(AC23,Picks!A:A,0))</f>
        <v>0.58000000000000007</v>
      </c>
      <c r="AE23" s="609">
        <f>INDEX(Weekly!I:I,MATCH(AC23,Weekly!E:E,0))</f>
        <v>2</v>
      </c>
      <c r="AF23" s="78">
        <f t="shared" si="1"/>
        <v>22</v>
      </c>
      <c r="AH23" s="78" t="s">
        <v>367</v>
      </c>
      <c r="AI23" s="81">
        <f>INDEX(Picks!G:G,MATCH(AH23,Picks!A:A,0))</f>
        <v>81.056000000000012</v>
      </c>
      <c r="AJ23" s="609">
        <f>INDEX(Weekly!I:I,MATCH(AH23,Weekly!E:E,0))</f>
        <v>2</v>
      </c>
      <c r="AK23" s="78">
        <f t="shared" si="2"/>
        <v>19</v>
      </c>
    </row>
    <row r="24" spans="1:37" x14ac:dyDescent="0.25">
      <c r="A24" s="627" t="str">
        <f>A23</f>
        <v>Ashley Houghton</v>
      </c>
      <c r="B24" s="628" t="str">
        <f t="shared" si="3"/>
        <v>Blackpool</v>
      </c>
      <c r="C24" s="629" t="str">
        <f t="shared" si="4"/>
        <v>5/4</v>
      </c>
      <c r="D24" s="630">
        <f t="shared" si="5"/>
        <v>2.25</v>
      </c>
      <c r="E24" s="651" t="str">
        <f t="shared" si="6"/>
        <v>x</v>
      </c>
      <c r="F24" s="631"/>
      <c r="G24" s="644"/>
      <c r="H24" s="294"/>
      <c r="I24" s="506"/>
      <c r="J24" s="622" t="s">
        <v>520</v>
      </c>
      <c r="K24" s="265" t="str">
        <f>INDEX(Odds!F:F,MATCH(J24,Odds!E:E,0))</f>
        <v>5/4</v>
      </c>
      <c r="L24" s="633">
        <f>INDEX(Odds!G:G,MATCH(J24,Odds!E:E,0))</f>
        <v>2.25</v>
      </c>
      <c r="M24" s="624">
        <f>INDEX(Odds!H:H,MATCH(J24,Odds!E:E,0))</f>
        <v>0</v>
      </c>
      <c r="N24" s="625">
        <f t="shared" si="7"/>
        <v>0</v>
      </c>
      <c r="O24" s="626"/>
      <c r="P24" s="39" t="str">
        <f>IF(Match!A24="","",Match!T24)</f>
        <v xml:space="preserve">Lincoln 0-3 Colchester </v>
      </c>
      <c r="Q24" s="101"/>
      <c r="R24" s="42" t="str">
        <f>IF(Odds!E24="","",Odds!E24)</f>
        <v>Lincoln</v>
      </c>
      <c r="S24" s="43" t="str">
        <f>INDEX(Odds!F:F,MATCH(R24,Odds!E:E,0))</f>
        <v>5/4</v>
      </c>
      <c r="T24" s="47">
        <f t="shared" si="0"/>
        <v>0</v>
      </c>
      <c r="U24" s="22" t="str">
        <f>INDEX(Match!O:O,MATCH(P24,Match!T:T,0))</f>
        <v>Lincoln</v>
      </c>
      <c r="V24" s="22">
        <f>INDEX(Match!F:F,MATCH(P24,Match!T:T,0))</f>
        <v>0</v>
      </c>
      <c r="W24" s="22" t="str">
        <f>INDEX(Match!P:P,MATCH(P24,Match!T:T,0))</f>
        <v>Colchester</v>
      </c>
      <c r="X24" s="22">
        <f>INDEX(Match!G:G,MATCH(P24,Match!T:T,0))</f>
        <v>3</v>
      </c>
      <c r="AB24" s="100"/>
      <c r="AC24" s="78" t="s">
        <v>336</v>
      </c>
      <c r="AD24" s="81">
        <f>INDEX(Picks!F:F,MATCH(AC24,Picks!A:A,0))</f>
        <v>0.52500000000000036</v>
      </c>
      <c r="AE24" s="609">
        <f>INDEX(Weekly!I:I,MATCH(AC24,Weekly!E:E,0))</f>
        <v>2</v>
      </c>
      <c r="AF24" s="78">
        <f t="shared" si="1"/>
        <v>23</v>
      </c>
      <c r="AH24" s="78" t="s">
        <v>464</v>
      </c>
      <c r="AI24" s="81">
        <f>INDEX(Picks!G:G,MATCH(AH24,Picks!A:A,0))</f>
        <v>80.924000000000007</v>
      </c>
      <c r="AJ24" s="609">
        <f>INDEX(Weekly!I:I,MATCH(AH24,Weekly!E:E,0))</f>
        <v>0</v>
      </c>
      <c r="AK24" s="78">
        <f t="shared" si="2"/>
        <v>20</v>
      </c>
    </row>
    <row r="25" spans="1:37" ht="13.8" thickBot="1" x14ac:dyDescent="0.3">
      <c r="A25" s="634" t="str">
        <f>A23</f>
        <v>Ashley Houghton</v>
      </c>
      <c r="B25" s="635" t="str">
        <f t="shared" si="3"/>
        <v>Chelsea</v>
      </c>
      <c r="C25" s="636" t="str">
        <f t="shared" si="4"/>
        <v>4/9</v>
      </c>
      <c r="D25" s="637">
        <f t="shared" si="5"/>
        <v>1.4444444444444444</v>
      </c>
      <c r="E25" s="651" t="str">
        <f t="shared" si="6"/>
        <v>√</v>
      </c>
      <c r="F25" s="631"/>
      <c r="G25" s="644"/>
      <c r="H25" s="294"/>
      <c r="I25" s="506"/>
      <c r="J25" s="638" t="s">
        <v>625</v>
      </c>
      <c r="K25" s="267" t="str">
        <f>INDEX(Odds!F:F,MATCH(J25,Odds!E:E,0))</f>
        <v>4/9</v>
      </c>
      <c r="L25" s="639">
        <f>INDEX(Odds!G:G,MATCH(J25,Odds!E:E,0))</f>
        <v>1.4444444444444444</v>
      </c>
      <c r="M25" s="624">
        <f>INDEX(Odds!H:H,MATCH(J25,Odds!E:E,0))</f>
        <v>1</v>
      </c>
      <c r="N25" s="640">
        <f t="shared" si="7"/>
        <v>1.4444444444444444</v>
      </c>
      <c r="O25" s="641"/>
      <c r="P25" s="39" t="str">
        <f>IF(Match!A25="","",Match!T25)</f>
        <v xml:space="preserve">Macclesfield 1-1 Cambridge </v>
      </c>
      <c r="Q25" s="101"/>
      <c r="R25" s="42" t="str">
        <f>IF(Odds!E25="","",Odds!E25)</f>
        <v>Macclesfield</v>
      </c>
      <c r="S25" s="43" t="str">
        <f>INDEX(Odds!F:F,MATCH(R25,Odds!E:E,0))</f>
        <v>16/11</v>
      </c>
      <c r="T25" s="47">
        <f t="shared" si="0"/>
        <v>0</v>
      </c>
      <c r="U25" s="22" t="str">
        <f>INDEX(Match!O:O,MATCH(P25,Match!T:T,0))</f>
        <v>Macclesfield</v>
      </c>
      <c r="V25" s="22">
        <f>INDEX(Match!F:F,MATCH(P25,Match!T:T,0))</f>
        <v>1</v>
      </c>
      <c r="W25" s="22" t="str">
        <f>INDEX(Match!P:P,MATCH(P25,Match!T:T,0))</f>
        <v>Cambridge</v>
      </c>
      <c r="X25" s="22">
        <f>INDEX(Match!G:G,MATCH(P25,Match!T:T,0))</f>
        <v>1</v>
      </c>
      <c r="AB25" s="100"/>
      <c r="AC25" s="78" t="s">
        <v>455</v>
      </c>
      <c r="AD25" s="81">
        <f>INDEX(Picks!F:F,MATCH(AC25,Picks!A:A,0))</f>
        <v>-0.125</v>
      </c>
      <c r="AE25" s="609">
        <f>INDEX(Weekly!I:I,MATCH(AC25,Weekly!E:E,0))</f>
        <v>2</v>
      </c>
      <c r="AF25" s="78">
        <f t="shared" si="1"/>
        <v>24</v>
      </c>
      <c r="AH25" s="78" t="s">
        <v>332</v>
      </c>
      <c r="AI25" s="81">
        <f>INDEX(Picks!G:G,MATCH(AH25,Picks!A:A,0))</f>
        <v>79.20999999999998</v>
      </c>
      <c r="AJ25" s="609">
        <f>INDEX(Weekly!I:I,MATCH(AH25,Weekly!E:E,0))</f>
        <v>1</v>
      </c>
      <c r="AK25" s="78">
        <f t="shared" si="2"/>
        <v>21</v>
      </c>
    </row>
    <row r="26" spans="1:37" ht="14.4" thickTop="1" thickBot="1" x14ac:dyDescent="0.3">
      <c r="A26" s="618" t="str">
        <f>Results!B26</f>
        <v>Barry Birchall</v>
      </c>
      <c r="B26" s="642" t="str">
        <f t="shared" si="3"/>
        <v>Bournemouth draw</v>
      </c>
      <c r="C26" s="629" t="str">
        <f t="shared" si="4"/>
        <v>3/1</v>
      </c>
      <c r="D26" s="621">
        <f t="shared" si="5"/>
        <v>4</v>
      </c>
      <c r="E26" s="652" t="str">
        <f t="shared" si="6"/>
        <v>x</v>
      </c>
      <c r="F26" s="509">
        <f>IF(J26="",-10,INDEX(Results!T:T,MATCH(A26,Results!V:V,0)))</f>
        <v>-7</v>
      </c>
      <c r="G26" s="244">
        <f>IF(J26="","",INDEX(Results!AI:AI,MATCH(A26,Results!V:V,0)))</f>
        <v>36.415584415584419</v>
      </c>
      <c r="H26" s="294">
        <f>IF(G26="",0,1)</f>
        <v>1</v>
      </c>
      <c r="I26" s="505">
        <f>INDEX(Picks!AF:AF,MATCH(A26,Picks!AC:AC,0))</f>
        <v>47</v>
      </c>
      <c r="J26" s="622" t="s">
        <v>650</v>
      </c>
      <c r="K26" s="261" t="str">
        <f>INDEX(Odds!F:F,MATCH(J26,Odds!E:E,0))</f>
        <v>3/1</v>
      </c>
      <c r="L26" s="623">
        <f>INDEX(Odds!G:G,MATCH(J26,Odds!E:E,0))</f>
        <v>4</v>
      </c>
      <c r="M26" s="643">
        <f>INDEX(Odds!H:H,MATCH(J26,Odds!E:E,0))</f>
        <v>0</v>
      </c>
      <c r="N26" s="625">
        <f t="shared" si="7"/>
        <v>0</v>
      </c>
      <c r="O26" s="626"/>
      <c r="P26" s="39" t="str">
        <f>IF(Match!A26="","",Match!T26)</f>
        <v xml:space="preserve">MK Dons 1-0 Mansfield </v>
      </c>
      <c r="Q26" s="101"/>
      <c r="R26" s="42" t="str">
        <f>IF(Odds!E26="","",Odds!E26)</f>
        <v>MK Dons</v>
      </c>
      <c r="S26" s="43" t="str">
        <f>INDEX(Odds!F:F,MATCH(R26,Odds!E:E,0))</f>
        <v>6/5</v>
      </c>
      <c r="T26" s="47">
        <f t="shared" si="0"/>
        <v>1</v>
      </c>
      <c r="U26" s="22" t="str">
        <f>INDEX(Match!O:O,MATCH(P26,Match!T:T,0))</f>
        <v>MK Dons</v>
      </c>
      <c r="V26" s="22">
        <f>INDEX(Match!F:F,MATCH(P26,Match!T:T,0))</f>
        <v>1</v>
      </c>
      <c r="W26" s="22" t="str">
        <f>INDEX(Match!P:P,MATCH(P26,Match!T:T,0))</f>
        <v>Mansfield</v>
      </c>
      <c r="X26" s="22">
        <f>INDEX(Match!G:G,MATCH(P26,Match!T:T,0))</f>
        <v>0</v>
      </c>
      <c r="AB26" s="100"/>
      <c r="AC26" s="78" t="s">
        <v>320</v>
      </c>
      <c r="AD26" s="81">
        <f>INDEX(Picks!F:F,MATCH(AC26,Picks!A:A,0))</f>
        <v>-0.75499999999999989</v>
      </c>
      <c r="AE26" s="609">
        <f>INDEX(Weekly!I:I,MATCH(AC26,Weekly!E:E,0))</f>
        <v>2</v>
      </c>
      <c r="AF26" s="78">
        <f t="shared" si="1"/>
        <v>25</v>
      </c>
      <c r="AH26" s="78" t="s">
        <v>337</v>
      </c>
      <c r="AI26" s="81">
        <f>INDEX(Picks!G:G,MATCH(AH26,Picks!A:A,0))</f>
        <v>77.139999999999986</v>
      </c>
      <c r="AJ26" s="609">
        <f>INDEX(Weekly!I:I,MATCH(AH26,Weekly!E:E,0))</f>
        <v>2</v>
      </c>
      <c r="AK26" s="78">
        <f t="shared" si="2"/>
        <v>22</v>
      </c>
    </row>
    <row r="27" spans="1:37" x14ac:dyDescent="0.25">
      <c r="A27" s="627" t="str">
        <f>A26</f>
        <v>Barry Birchall</v>
      </c>
      <c r="B27" s="628" t="str">
        <f t="shared" si="3"/>
        <v>Barnsley</v>
      </c>
      <c r="C27" s="629" t="str">
        <f t="shared" si="4"/>
        <v>4/7</v>
      </c>
      <c r="D27" s="630">
        <f t="shared" si="5"/>
        <v>1.5714285714285714</v>
      </c>
      <c r="E27" s="651" t="str">
        <f t="shared" si="6"/>
        <v>x</v>
      </c>
      <c r="F27" s="631"/>
      <c r="G27" s="644"/>
      <c r="H27" s="294"/>
      <c r="I27" s="506"/>
      <c r="J27" s="622" t="s">
        <v>439</v>
      </c>
      <c r="K27" s="265" t="str">
        <f>INDEX(Odds!F:F,MATCH(J27,Odds!E:E,0))</f>
        <v>4/7</v>
      </c>
      <c r="L27" s="633">
        <f>INDEX(Odds!G:G,MATCH(J27,Odds!E:E,0))</f>
        <v>1.5714285714285714</v>
      </c>
      <c r="M27" s="624">
        <f>INDEX(Odds!H:H,MATCH(J27,Odds!E:E,0))</f>
        <v>0</v>
      </c>
      <c r="N27" s="625">
        <f t="shared" si="7"/>
        <v>0</v>
      </c>
      <c r="O27" s="626"/>
      <c r="P27" s="39" t="str">
        <f>IF(Match!A27="","",Match!T27)</f>
        <v xml:space="preserve">Morecambe 1-1 Newport </v>
      </c>
      <c r="Q27" s="101"/>
      <c r="R27" s="42" t="str">
        <f>IF(Odds!E27="","",Odds!E27)</f>
        <v>Morecambe</v>
      </c>
      <c r="S27" s="43" t="str">
        <f>INDEX(Odds!F:F,MATCH(R27,Odds!E:E,0))</f>
        <v>12/5</v>
      </c>
      <c r="T27" s="47">
        <f t="shared" si="0"/>
        <v>0</v>
      </c>
      <c r="U27" s="22" t="str">
        <f>INDEX(Match!O:O,MATCH(P27,Match!T:T,0))</f>
        <v>Morecambe</v>
      </c>
      <c r="V27" s="22">
        <f>INDEX(Match!F:F,MATCH(P27,Match!T:T,0))</f>
        <v>1</v>
      </c>
      <c r="W27" s="22" t="str">
        <f>INDEX(Match!P:P,MATCH(P27,Match!T:T,0))</f>
        <v>Newport</v>
      </c>
      <c r="X27" s="22">
        <f>INDEX(Match!G:G,MATCH(P27,Match!T:T,0))</f>
        <v>1</v>
      </c>
      <c r="AB27" s="100"/>
      <c r="AC27" s="80" t="s">
        <v>457</v>
      </c>
      <c r="AD27" s="81">
        <f>INDEX(Picks!F:F,MATCH(AC27,Picks!A:A,0))</f>
        <v>-1.2777777777777777</v>
      </c>
      <c r="AE27" s="609">
        <f>INDEX(Weekly!I:I,MATCH(AC27,Weekly!E:E,0))</f>
        <v>2</v>
      </c>
      <c r="AF27" s="78">
        <f t="shared" si="1"/>
        <v>26</v>
      </c>
      <c r="AH27" s="78" t="s">
        <v>333</v>
      </c>
      <c r="AI27" s="81">
        <f>INDEX(Picks!G:G,MATCH(AH27,Picks!A:A,0))</f>
        <v>63.820000000000007</v>
      </c>
      <c r="AJ27" s="609">
        <f>INDEX(Weekly!I:I,MATCH(AH27,Weekly!E:E,0))</f>
        <v>1</v>
      </c>
      <c r="AK27" s="78">
        <f t="shared" si="2"/>
        <v>23</v>
      </c>
    </row>
    <row r="28" spans="1:37" ht="13.8" thickBot="1" x14ac:dyDescent="0.3">
      <c r="A28" s="634" t="str">
        <f>A26</f>
        <v>Barry Birchall</v>
      </c>
      <c r="B28" s="635" t="str">
        <f t="shared" si="3"/>
        <v>Macclesfield</v>
      </c>
      <c r="C28" s="636" t="str">
        <f t="shared" si="4"/>
        <v>16/11</v>
      </c>
      <c r="D28" s="637">
        <f t="shared" si="5"/>
        <v>2.4545454545454546</v>
      </c>
      <c r="E28" s="651" t="str">
        <f t="shared" si="6"/>
        <v>x</v>
      </c>
      <c r="F28" s="631"/>
      <c r="G28" s="644"/>
      <c r="H28" s="294"/>
      <c r="I28" s="506"/>
      <c r="J28" s="638" t="s">
        <v>531</v>
      </c>
      <c r="K28" s="267" t="str">
        <f>INDEX(Odds!F:F,MATCH(J28,Odds!E:E,0))</f>
        <v>16/11</v>
      </c>
      <c r="L28" s="639">
        <f>INDEX(Odds!G:G,MATCH(J28,Odds!E:E,0))</f>
        <v>2.4545454545454546</v>
      </c>
      <c r="M28" s="624">
        <f>INDEX(Odds!H:H,MATCH(J28,Odds!E:E,0))</f>
        <v>0</v>
      </c>
      <c r="N28" s="640">
        <f t="shared" si="7"/>
        <v>0</v>
      </c>
      <c r="O28" s="641"/>
      <c r="P28" s="39" t="str">
        <f>IF(Match!A28="","",Match!T28)</f>
        <v xml:space="preserve">Oldham 2-5 Northampton </v>
      </c>
      <c r="Q28" s="101"/>
      <c r="R28" s="42" t="str">
        <f>IF(Odds!E28="","",Odds!E28)</f>
        <v>Oldham</v>
      </c>
      <c r="S28" s="43" t="str">
        <f>INDEX(Odds!F:F,MATCH(R28,Odds!E:E,0))</f>
        <v>11/10</v>
      </c>
      <c r="T28" s="47">
        <f t="shared" si="0"/>
        <v>0</v>
      </c>
      <c r="U28" s="22" t="str">
        <f>INDEX(Match!O:O,MATCH(P28,Match!T:T,0))</f>
        <v>Oldham</v>
      </c>
      <c r="V28" s="22">
        <f>INDEX(Match!F:F,MATCH(P28,Match!T:T,0))</f>
        <v>2</v>
      </c>
      <c r="W28" s="22" t="str">
        <f>INDEX(Match!P:P,MATCH(P28,Match!T:T,0))</f>
        <v>Northampton</v>
      </c>
      <c r="X28" s="22">
        <f>INDEX(Match!G:G,MATCH(P28,Match!T:T,0))</f>
        <v>5</v>
      </c>
      <c r="AB28" s="100"/>
      <c r="AC28" s="78" t="s">
        <v>365</v>
      </c>
      <c r="AD28" s="81">
        <f>INDEX(Picks!F:F,MATCH(AC28,Picks!A:A,0))</f>
        <v>-1.6444444444444439</v>
      </c>
      <c r="AE28" s="609">
        <f>INDEX(Weekly!I:I,MATCH(AC28,Weekly!E:E,0))</f>
        <v>2</v>
      </c>
      <c r="AF28" s="78">
        <f t="shared" si="1"/>
        <v>27</v>
      </c>
      <c r="AH28" s="78" t="s">
        <v>459</v>
      </c>
      <c r="AI28" s="81">
        <f>INDEX(Picks!G:G,MATCH(AH28,Picks!A:A,0))</f>
        <v>57.625</v>
      </c>
      <c r="AJ28" s="609">
        <f>INDEX(Weekly!I:I,MATCH(AH28,Weekly!E:E,0))</f>
        <v>1</v>
      </c>
      <c r="AK28" s="78">
        <f t="shared" si="2"/>
        <v>24</v>
      </c>
    </row>
    <row r="29" spans="1:37" ht="14.4" thickTop="1" thickBot="1" x14ac:dyDescent="0.3">
      <c r="A29" s="618" t="str">
        <f>Results!B29</f>
        <v>Ben Rosser</v>
      </c>
      <c r="B29" s="642" t="str">
        <f t="shared" si="3"/>
        <v>Cardiff</v>
      </c>
      <c r="C29" s="629" t="str">
        <f t="shared" si="4"/>
        <v>9/5</v>
      </c>
      <c r="D29" s="621">
        <f t="shared" si="5"/>
        <v>2.8</v>
      </c>
      <c r="E29" s="652" t="str">
        <f t="shared" si="6"/>
        <v>x</v>
      </c>
      <c r="F29" s="509">
        <f>IF(J29="",-10,INDEX(Results!T:T,MATCH(A29,Results!V:V,0)))</f>
        <v>-7</v>
      </c>
      <c r="G29" s="244">
        <f>IF(J29="","",INDEX(Results!AI:AI,MATCH(A29,Results!V:V,0)))</f>
        <v>82.25</v>
      </c>
      <c r="H29" s="294">
        <f>IF(G29="",0,1)</f>
        <v>1</v>
      </c>
      <c r="I29" s="505">
        <f>INDEX(Picks!AF:AF,MATCH(A29,Picks!AC:AC,0))</f>
        <v>47</v>
      </c>
      <c r="J29" s="622" t="s">
        <v>619</v>
      </c>
      <c r="K29" s="261" t="str">
        <f>INDEX(Odds!F:F,MATCH(J29,Odds!E:E,0))</f>
        <v>9/5</v>
      </c>
      <c r="L29" s="623">
        <f>INDEX(Odds!G:G,MATCH(J29,Odds!E:E,0))</f>
        <v>2.8</v>
      </c>
      <c r="M29" s="643">
        <f>INDEX(Odds!H:H,MATCH(J29,Odds!E:E,0))</f>
        <v>0</v>
      </c>
      <c r="N29" s="625">
        <f t="shared" si="7"/>
        <v>0</v>
      </c>
      <c r="O29" s="626"/>
      <c r="P29" s="39" t="str">
        <f>IF(Match!A29="","",Match!T29)</f>
        <v xml:space="preserve">Stevenage 2-0 Cheltenham </v>
      </c>
      <c r="Q29" s="101"/>
      <c r="R29" s="42" t="str">
        <f>IF(Odds!E29="","",Odds!E29)</f>
        <v>Stevenage</v>
      </c>
      <c r="S29" s="43" t="str">
        <f>INDEX(Odds!F:F,MATCH(R29,Odds!E:E,0))</f>
        <v>8/13</v>
      </c>
      <c r="T29" s="47">
        <f t="shared" si="0"/>
        <v>1</v>
      </c>
      <c r="U29" s="22" t="str">
        <f>INDEX(Match!O:O,MATCH(P29,Match!T:T,0))</f>
        <v>Stevenage</v>
      </c>
      <c r="V29" s="22">
        <f>INDEX(Match!F:F,MATCH(P29,Match!T:T,0))</f>
        <v>2</v>
      </c>
      <c r="W29" s="22" t="str">
        <f>INDEX(Match!P:P,MATCH(P29,Match!T:T,0))</f>
        <v>Cheltenham</v>
      </c>
      <c r="X29" s="22">
        <f>INDEX(Match!G:G,MATCH(P29,Match!T:T,0))</f>
        <v>0</v>
      </c>
      <c r="AB29" s="100"/>
      <c r="AC29" s="78" t="s">
        <v>364</v>
      </c>
      <c r="AD29" s="81">
        <f>INDEX(Picks!F:F,MATCH(AC29,Picks!A:A,0))</f>
        <v>-1.8888888888888893</v>
      </c>
      <c r="AE29" s="609">
        <f>INDEX(Weekly!I:I,MATCH(AC29,Weekly!E:E,0))</f>
        <v>2</v>
      </c>
      <c r="AF29" s="78">
        <f t="shared" si="1"/>
        <v>28</v>
      </c>
      <c r="AH29" s="78" t="s">
        <v>349</v>
      </c>
      <c r="AI29" s="81">
        <f>INDEX(Picks!G:G,MATCH(AH29,Picks!A:A,0))</f>
        <v>54.843076923076922</v>
      </c>
      <c r="AJ29" s="609">
        <f>INDEX(Weekly!I:I,MATCH(AH29,Weekly!E:E,0))</f>
        <v>0</v>
      </c>
      <c r="AK29" s="78">
        <f t="shared" si="2"/>
        <v>25</v>
      </c>
    </row>
    <row r="30" spans="1:37" x14ac:dyDescent="0.25">
      <c r="A30" s="627" t="str">
        <f>A29</f>
        <v>Ben Rosser</v>
      </c>
      <c r="B30" s="628" t="str">
        <f t="shared" si="3"/>
        <v>Chelsea draw</v>
      </c>
      <c r="C30" s="629" t="str">
        <f t="shared" si="4"/>
        <v>17/4</v>
      </c>
      <c r="D30" s="630">
        <f t="shared" si="5"/>
        <v>5.25</v>
      </c>
      <c r="E30" s="651" t="str">
        <f t="shared" si="6"/>
        <v>x</v>
      </c>
      <c r="F30" s="631"/>
      <c r="G30" s="644"/>
      <c r="H30" s="294"/>
      <c r="I30" s="506"/>
      <c r="J30" s="622" t="s">
        <v>632</v>
      </c>
      <c r="K30" s="265" t="str">
        <f>INDEX(Odds!F:F,MATCH(J30,Odds!E:E,0))</f>
        <v>17/4</v>
      </c>
      <c r="L30" s="633">
        <f>INDEX(Odds!G:G,MATCH(J30,Odds!E:E,0))</f>
        <v>5.25</v>
      </c>
      <c r="M30" s="624">
        <f>INDEX(Odds!H:H,MATCH(J30,Odds!E:E,0))</f>
        <v>0</v>
      </c>
      <c r="N30" s="625">
        <f t="shared" si="7"/>
        <v>0</v>
      </c>
      <c r="O30" s="626"/>
      <c r="P30" s="39" t="str">
        <f>IF(Match!A30="","",Match!T30)</f>
        <v xml:space="preserve">Swindon 3-1 Notts Co </v>
      </c>
      <c r="Q30" s="101"/>
      <c r="R30" s="42" t="str">
        <f>IF(Odds!E30="","",Odds!E30)</f>
        <v>Swindon</v>
      </c>
      <c r="S30" s="43" t="str">
        <f>INDEX(Odds!F:F,MATCH(R30,Odds!E:E,0))</f>
        <v>8/5</v>
      </c>
      <c r="T30" s="47">
        <f t="shared" si="0"/>
        <v>1</v>
      </c>
      <c r="U30" s="22" t="str">
        <f>INDEX(Match!O:O,MATCH(P30,Match!T:T,0))</f>
        <v>Swindon</v>
      </c>
      <c r="V30" s="22">
        <f>INDEX(Match!F:F,MATCH(P30,Match!T:T,0))</f>
        <v>3</v>
      </c>
      <c r="W30" s="22" t="str">
        <f>INDEX(Match!P:P,MATCH(P30,Match!T:T,0))</f>
        <v>Notts Co</v>
      </c>
      <c r="X30" s="22">
        <f>INDEX(Match!G:G,MATCH(P30,Match!T:T,0))</f>
        <v>1</v>
      </c>
      <c r="AB30" s="100"/>
      <c r="AC30" s="78" t="s">
        <v>343</v>
      </c>
      <c r="AD30" s="81">
        <f>INDEX(Picks!F:F,MATCH(AC30,Picks!A:A,0))</f>
        <v>-1.8888888888888893</v>
      </c>
      <c r="AE30" s="609">
        <f>INDEX(Weekly!I:I,MATCH(AC30,Weekly!E:E,0))</f>
        <v>2</v>
      </c>
      <c r="AF30" s="78">
        <f t="shared" si="1"/>
        <v>28</v>
      </c>
      <c r="AH30" s="78" t="s">
        <v>360</v>
      </c>
      <c r="AI30" s="81">
        <f>INDEX(Picks!G:G,MATCH(AH30,Picks!A:A,0))</f>
        <v>52.79999999999999</v>
      </c>
      <c r="AJ30" s="609">
        <f>INDEX(Weekly!I:I,MATCH(AH30,Weekly!E:E,0))</f>
        <v>1</v>
      </c>
      <c r="AK30" s="78">
        <f t="shared" si="2"/>
        <v>26</v>
      </c>
    </row>
    <row r="31" spans="1:37" ht="13.8" thickBot="1" x14ac:dyDescent="0.3">
      <c r="A31" s="634" t="str">
        <f>A29</f>
        <v>Ben Rosser</v>
      </c>
      <c r="B31" s="635" t="str">
        <f t="shared" si="3"/>
        <v>Notts Co</v>
      </c>
      <c r="C31" s="636" t="str">
        <f t="shared" si="4"/>
        <v>9/5</v>
      </c>
      <c r="D31" s="637">
        <f t="shared" si="5"/>
        <v>2.8</v>
      </c>
      <c r="E31" s="651" t="str">
        <f t="shared" si="6"/>
        <v>x</v>
      </c>
      <c r="F31" s="631"/>
      <c r="G31" s="644"/>
      <c r="H31" s="294"/>
      <c r="I31" s="506"/>
      <c r="J31" s="638" t="s">
        <v>570</v>
      </c>
      <c r="K31" s="267" t="str">
        <f>INDEX(Odds!F:F,MATCH(J31,Odds!E:E,0))</f>
        <v>9/5</v>
      </c>
      <c r="L31" s="639">
        <f>INDEX(Odds!G:G,MATCH(J31,Odds!E:E,0))</f>
        <v>2.8</v>
      </c>
      <c r="M31" s="624">
        <f>INDEX(Odds!H:H,MATCH(J31,Odds!E:E,0))</f>
        <v>0</v>
      </c>
      <c r="N31" s="640">
        <f t="shared" si="7"/>
        <v>0</v>
      </c>
      <c r="O31" s="641"/>
      <c r="P31" s="39" t="str">
        <f>IF(Match!A31="","",Match!T31)</f>
        <v xml:space="preserve">Yeovil 0-0 Carlisle </v>
      </c>
      <c r="Q31" s="101"/>
      <c r="R31" s="42" t="str">
        <f>IF(Odds!E31="","",Odds!E31)</f>
        <v>Yeovil</v>
      </c>
      <c r="S31" s="43" t="str">
        <f>INDEX(Odds!F:F,MATCH(R31,Odds!E:E,0))</f>
        <v>3/1</v>
      </c>
      <c r="T31" s="47">
        <f t="shared" si="0"/>
        <v>0</v>
      </c>
      <c r="U31" s="22" t="str">
        <f>INDEX(Match!O:O,MATCH(P31,Match!T:T,0))</f>
        <v>Yeovil</v>
      </c>
      <c r="V31" s="22">
        <f>INDEX(Match!F:F,MATCH(P31,Match!T:T,0))</f>
        <v>0</v>
      </c>
      <c r="W31" s="22" t="str">
        <f>INDEX(Match!P:P,MATCH(P31,Match!T:T,0))</f>
        <v>Carlisle</v>
      </c>
      <c r="X31" s="22">
        <f>INDEX(Match!G:G,MATCH(P31,Match!T:T,0))</f>
        <v>0</v>
      </c>
      <c r="AB31" s="100"/>
      <c r="AC31" s="78" t="s">
        <v>335</v>
      </c>
      <c r="AD31" s="81">
        <f>INDEX(Picks!F:F,MATCH(AC31,Picks!A:A,0))</f>
        <v>-2.5999999999999996</v>
      </c>
      <c r="AE31" s="609">
        <f>INDEX(Weekly!I:I,MATCH(AC31,Weekly!E:E,0))</f>
        <v>1</v>
      </c>
      <c r="AF31" s="78">
        <f t="shared" si="1"/>
        <v>30</v>
      </c>
      <c r="AH31" s="78" t="s">
        <v>366</v>
      </c>
      <c r="AI31" s="81">
        <f>INDEX(Picks!G:G,MATCH(AH31,Picks!A:A,0))</f>
        <v>51.4</v>
      </c>
      <c r="AJ31" s="609">
        <f>INDEX(Weekly!I:I,MATCH(AH31,Weekly!E:E,0))</f>
        <v>2</v>
      </c>
      <c r="AK31" s="78">
        <f t="shared" si="2"/>
        <v>27</v>
      </c>
    </row>
    <row r="32" spans="1:37" ht="14.4" thickTop="1" thickBot="1" x14ac:dyDescent="0.3">
      <c r="A32" s="618" t="str">
        <f>Results!B32</f>
        <v>Charlie Griffiths</v>
      </c>
      <c r="B32" s="642" t="str">
        <f t="shared" si="3"/>
        <v>Sunderland</v>
      </c>
      <c r="C32" s="629" t="str">
        <f t="shared" si="4"/>
        <v>6/5</v>
      </c>
      <c r="D32" s="621">
        <f t="shared" si="5"/>
        <v>2.2000000000000002</v>
      </c>
      <c r="E32" s="652" t="str">
        <f t="shared" si="6"/>
        <v>x</v>
      </c>
      <c r="F32" s="509">
        <f>IF(J32="",-10,INDEX(Results!T:T,MATCH(A32,Results!V:V,0)))</f>
        <v>-7</v>
      </c>
      <c r="G32" s="244">
        <f>IF(J32="","",INDEX(Results!AI:AI,MATCH(A32,Results!V:V,0)))</f>
        <v>37.760000000000005</v>
      </c>
      <c r="H32" s="294">
        <f>IF(G32="",0,1)</f>
        <v>1</v>
      </c>
      <c r="I32" s="505">
        <f>INDEX(Picks!AF:AF,MATCH(A32,Picks!AC:AC,0))</f>
        <v>47</v>
      </c>
      <c r="J32" s="622" t="s">
        <v>194</v>
      </c>
      <c r="K32" s="261" t="str">
        <f>INDEX(Odds!F:F,MATCH(J32,Odds!E:E,0))</f>
        <v>6/5</v>
      </c>
      <c r="L32" s="623">
        <f>INDEX(Odds!G:G,MATCH(J32,Odds!E:E,0))</f>
        <v>2.2000000000000002</v>
      </c>
      <c r="M32" s="643">
        <f>INDEX(Odds!H:H,MATCH(J32,Odds!E:E,0))</f>
        <v>0</v>
      </c>
      <c r="N32" s="625">
        <f t="shared" si="7"/>
        <v>0</v>
      </c>
      <c r="O32" s="626"/>
      <c r="P32" s="39" t="str">
        <f>IF(Match!A32="","",Match!T32)</f>
        <v xml:space="preserve">Arsenal 1-1 Brighton </v>
      </c>
      <c r="Q32" s="101"/>
      <c r="R32" s="42" t="str">
        <f>IF(Odds!E32="","",Odds!E32)</f>
        <v>Arsenal</v>
      </c>
      <c r="S32" s="43" t="str">
        <f>INDEX(Odds!F:F,MATCH(R32,Odds!E:E,0))</f>
        <v>7/20</v>
      </c>
      <c r="T32" s="47">
        <f t="shared" si="0"/>
        <v>0</v>
      </c>
      <c r="U32" s="22" t="str">
        <f>INDEX(Match!O:O,MATCH(P32,Match!T:T,0))</f>
        <v>Arsenal</v>
      </c>
      <c r="V32" s="22">
        <f>INDEX(Match!F:F,MATCH(P32,Match!T:T,0))</f>
        <v>1</v>
      </c>
      <c r="W32" s="22" t="str">
        <f>INDEX(Match!P:P,MATCH(P32,Match!T:T,0))</f>
        <v>Brighton</v>
      </c>
      <c r="X32" s="22">
        <f>INDEX(Match!G:G,MATCH(P32,Match!T:T,0))</f>
        <v>1</v>
      </c>
      <c r="AB32" s="100"/>
      <c r="AC32" s="78" t="s">
        <v>327</v>
      </c>
      <c r="AD32" s="81">
        <f>INDEX(Picks!F:F,MATCH(AC32,Picks!A:A,0))</f>
        <v>-2.5999999999999996</v>
      </c>
      <c r="AE32" s="609">
        <f>INDEX(Weekly!I:I,MATCH(AC32,Weekly!E:E,0))</f>
        <v>1</v>
      </c>
      <c r="AF32" s="78">
        <f t="shared" si="1"/>
        <v>30</v>
      </c>
      <c r="AH32" s="78" t="s">
        <v>461</v>
      </c>
      <c r="AI32" s="81">
        <f>INDEX(Picks!G:G,MATCH(AH32,Picks!A:A,0))</f>
        <v>48.639999999999993</v>
      </c>
      <c r="AJ32" s="609">
        <f>INDEX(Weekly!I:I,MATCH(AH32,Weekly!E:E,0))</f>
        <v>1</v>
      </c>
      <c r="AK32" s="78">
        <f t="shared" si="2"/>
        <v>28</v>
      </c>
    </row>
    <row r="33" spans="1:37" x14ac:dyDescent="0.25">
      <c r="A33" s="627" t="str">
        <f>A32</f>
        <v>Charlie Griffiths</v>
      </c>
      <c r="B33" s="628" t="str">
        <f t="shared" si="3"/>
        <v>Wigan draw</v>
      </c>
      <c r="C33" s="629" t="str">
        <f t="shared" si="4"/>
        <v>12/5</v>
      </c>
      <c r="D33" s="630">
        <f t="shared" si="5"/>
        <v>3.4</v>
      </c>
      <c r="E33" s="651" t="str">
        <f t="shared" si="6"/>
        <v>x</v>
      </c>
      <c r="F33" s="631"/>
      <c r="G33" s="644"/>
      <c r="H33" s="294"/>
      <c r="I33" s="506"/>
      <c r="J33" s="622" t="s">
        <v>638</v>
      </c>
      <c r="K33" s="265" t="str">
        <f>INDEX(Odds!F:F,MATCH(J33,Odds!E:E,0))</f>
        <v>12/5</v>
      </c>
      <c r="L33" s="633">
        <f>INDEX(Odds!G:G,MATCH(J33,Odds!E:E,0))</f>
        <v>3.4</v>
      </c>
      <c r="M33" s="624">
        <f>INDEX(Odds!H:H,MATCH(J33,Odds!E:E,0))</f>
        <v>0</v>
      </c>
      <c r="N33" s="625">
        <f t="shared" si="7"/>
        <v>0</v>
      </c>
      <c r="O33" s="626"/>
      <c r="P33" s="39" t="str">
        <f>IF(Match!A33="","",Match!T33)</f>
        <v xml:space="preserve">Chelsea 3-0 Watford </v>
      </c>
      <c r="Q33" s="101"/>
      <c r="R33" s="42" t="str">
        <f>IF(Odds!E33="","",Odds!E33)</f>
        <v>Chelsea</v>
      </c>
      <c r="S33" s="43" t="str">
        <f>INDEX(Odds!F:F,MATCH(R33,Odds!E:E,0))</f>
        <v>4/9</v>
      </c>
      <c r="T33" s="47">
        <f t="shared" si="0"/>
        <v>1</v>
      </c>
      <c r="U33" s="22" t="str">
        <f>INDEX(Match!O:O,MATCH(P33,Match!T:T,0))</f>
        <v>Chelsea</v>
      </c>
      <c r="V33" s="22">
        <f>INDEX(Match!F:F,MATCH(P33,Match!T:T,0))</f>
        <v>3</v>
      </c>
      <c r="W33" s="22" t="str">
        <f>INDEX(Match!P:P,MATCH(P33,Match!T:T,0))</f>
        <v>Watford</v>
      </c>
      <c r="X33" s="22">
        <f>INDEX(Match!G:G,MATCH(P33,Match!T:T,0))</f>
        <v>0</v>
      </c>
      <c r="AB33" s="100"/>
      <c r="AC33" s="78" t="s">
        <v>459</v>
      </c>
      <c r="AD33" s="81">
        <f>INDEX(Picks!F:F,MATCH(AC33,Picks!A:A,0))</f>
        <v>-3</v>
      </c>
      <c r="AE33" s="609">
        <f>INDEX(Weekly!I:I,MATCH(AC33,Weekly!E:E,0))</f>
        <v>1</v>
      </c>
      <c r="AF33" s="78">
        <f t="shared" si="1"/>
        <v>32</v>
      </c>
      <c r="AH33" s="78" t="s">
        <v>356</v>
      </c>
      <c r="AI33" s="81">
        <f>INDEX(Picks!G:G,MATCH(AH33,Picks!A:A,0))</f>
        <v>45.864999999999995</v>
      </c>
      <c r="AJ33" s="609">
        <f>INDEX(Weekly!I:I,MATCH(AH33,Weekly!E:E,0))</f>
        <v>1</v>
      </c>
      <c r="AK33" s="78">
        <f t="shared" si="2"/>
        <v>29</v>
      </c>
    </row>
    <row r="34" spans="1:37" ht="13.8" thickBot="1" x14ac:dyDescent="0.3">
      <c r="A34" s="634" t="str">
        <f>A32</f>
        <v>Charlie Griffiths</v>
      </c>
      <c r="B34" s="635" t="str">
        <f t="shared" si="3"/>
        <v>Blackpool</v>
      </c>
      <c r="C34" s="636" t="str">
        <f t="shared" si="4"/>
        <v>5/4</v>
      </c>
      <c r="D34" s="637">
        <f t="shared" si="5"/>
        <v>2.25</v>
      </c>
      <c r="E34" s="651" t="str">
        <f t="shared" si="6"/>
        <v>x</v>
      </c>
      <c r="F34" s="631"/>
      <c r="G34" s="644"/>
      <c r="H34" s="294"/>
      <c r="I34" s="506"/>
      <c r="J34" s="638" t="s">
        <v>520</v>
      </c>
      <c r="K34" s="267" t="str">
        <f>INDEX(Odds!F:F,MATCH(J34,Odds!E:E,0))</f>
        <v>5/4</v>
      </c>
      <c r="L34" s="639">
        <f>INDEX(Odds!G:G,MATCH(J34,Odds!E:E,0))</f>
        <v>2.25</v>
      </c>
      <c r="M34" s="624">
        <f>INDEX(Odds!H:H,MATCH(J34,Odds!E:E,0))</f>
        <v>0</v>
      </c>
      <c r="N34" s="640">
        <f t="shared" si="7"/>
        <v>0</v>
      </c>
      <c r="O34" s="641"/>
      <c r="P34" s="39" t="str">
        <f>IF(Match!A34="","",Match!T34)</f>
        <v xml:space="preserve">Huddersfield 1-1 Man U </v>
      </c>
      <c r="Q34" s="101"/>
      <c r="R34" s="42" t="str">
        <f>IF(Odds!E34="","",Odds!E34)</f>
        <v>Huddersfield</v>
      </c>
      <c r="S34" s="43" t="str">
        <f>INDEX(Odds!F:F,MATCH(R34,Odds!E:E,0))</f>
        <v>9/1</v>
      </c>
      <c r="T34" s="47">
        <f t="shared" si="0"/>
        <v>0</v>
      </c>
      <c r="U34" s="22" t="str">
        <f>INDEX(Match!O:O,MATCH(P34,Match!T:T,0))</f>
        <v>Huddersfield</v>
      </c>
      <c r="V34" s="22">
        <f>INDEX(Match!F:F,MATCH(P34,Match!T:T,0))</f>
        <v>1</v>
      </c>
      <c r="W34" s="22" t="str">
        <f>INDEX(Match!P:P,MATCH(P34,Match!T:T,0))</f>
        <v>Man U</v>
      </c>
      <c r="X34" s="22">
        <f>INDEX(Match!G:G,MATCH(P34,Match!T:T,0))</f>
        <v>1</v>
      </c>
      <c r="AB34" s="100"/>
      <c r="AC34" s="78" t="s">
        <v>330</v>
      </c>
      <c r="AD34" s="81">
        <f>INDEX(Picks!F:F,MATCH(AC34,Picks!A:A,0))</f>
        <v>-3.5</v>
      </c>
      <c r="AE34" s="609">
        <f>INDEX(Weekly!I:I,MATCH(AC34,Weekly!E:E,0))</f>
        <v>1</v>
      </c>
      <c r="AF34" s="78">
        <f t="shared" ref="AF34:AF66" si="8">IF(AD34="","",_xlfn.RANK.EQ(AD34,TopScores,0))</f>
        <v>33</v>
      </c>
      <c r="AH34" s="78" t="s">
        <v>342</v>
      </c>
      <c r="AI34" s="81">
        <f>INDEX(Picks!G:G,MATCH(AH34,Picks!A:A,0))</f>
        <v>40.156363636363636</v>
      </c>
      <c r="AJ34" s="609">
        <f>INDEX(Weekly!I:I,MATCH(AH34,Weekly!E:E,0))</f>
        <v>0</v>
      </c>
      <c r="AK34" s="78">
        <f t="shared" ref="AK34:AK66" si="9">IF(AI34="","",_xlfn.RANK.EQ(AI34,TopMaxScores,0))</f>
        <v>30</v>
      </c>
    </row>
    <row r="35" spans="1:37" ht="14.4" thickTop="1" thickBot="1" x14ac:dyDescent="0.3">
      <c r="A35" s="618" t="str">
        <f>Results!B35</f>
        <v>Chris Bow</v>
      </c>
      <c r="B35" s="642" t="str">
        <f t="shared" si="3"/>
        <v>West Ham</v>
      </c>
      <c r="C35" s="629" t="str">
        <f t="shared" si="4"/>
        <v>11/8</v>
      </c>
      <c r="D35" s="621">
        <f t="shared" si="5"/>
        <v>2.375</v>
      </c>
      <c r="E35" s="652" t="str">
        <f t="shared" si="6"/>
        <v>√</v>
      </c>
      <c r="F35" s="509">
        <f>IF(J35="",-10,INDEX(Results!T:T,MATCH(A35,Results!V:V,0)))</f>
        <v>25.969374999999999</v>
      </c>
      <c r="G35" s="244">
        <f>IF(J35="","",INDEX(Results!AI:AI,MATCH(A35,Results!V:V,0)))</f>
        <v>25.969374999999999</v>
      </c>
      <c r="H35" s="294">
        <f>IF(G35="",0,1)</f>
        <v>1</v>
      </c>
      <c r="I35" s="505">
        <f>INDEX(Picks!AF:AF,MATCH(A35,Picks!AC:AC,0))</f>
        <v>4</v>
      </c>
      <c r="J35" s="622" t="s">
        <v>622</v>
      </c>
      <c r="K35" s="261" t="str">
        <f>INDEX(Odds!F:F,MATCH(J35,Odds!E:E,0))</f>
        <v>11/8</v>
      </c>
      <c r="L35" s="623">
        <f>INDEX(Odds!G:G,MATCH(J35,Odds!E:E,0))</f>
        <v>2.375</v>
      </c>
      <c r="M35" s="643">
        <f>INDEX(Odds!H:H,MATCH(J35,Odds!E:E,0))</f>
        <v>1</v>
      </c>
      <c r="N35" s="625">
        <f t="shared" si="7"/>
        <v>2.375</v>
      </c>
      <c r="O35" s="626"/>
      <c r="P35" s="39" t="str">
        <f>IF(Match!A35="","",Match!T35)</f>
        <v xml:space="preserve">Blackburn 2-2 Swansea </v>
      </c>
      <c r="Q35" s="101"/>
      <c r="R35" s="42" t="str">
        <f>IF(Odds!E35="","",Odds!E35)</f>
        <v>Blackburn</v>
      </c>
      <c r="S35" s="43" t="str">
        <f>INDEX(Odds!F:F,MATCH(R35,Odds!E:E,0))</f>
        <v>6/4</v>
      </c>
      <c r="T35" s="47">
        <f t="shared" si="0"/>
        <v>0</v>
      </c>
      <c r="U35" s="22" t="str">
        <f>INDEX(Match!O:O,MATCH(P35,Match!T:T,0))</f>
        <v>Blackburn</v>
      </c>
      <c r="V35" s="22">
        <f>INDEX(Match!F:F,MATCH(P35,Match!T:T,0))</f>
        <v>2</v>
      </c>
      <c r="W35" s="22" t="str">
        <f>INDEX(Match!P:P,MATCH(P35,Match!T:T,0))</f>
        <v>Swansea</v>
      </c>
      <c r="X35" s="22">
        <f>INDEX(Match!G:G,MATCH(P35,Match!T:T,0))</f>
        <v>2</v>
      </c>
      <c r="AB35" s="100"/>
      <c r="AC35" s="78" t="s">
        <v>333</v>
      </c>
      <c r="AD35" s="81">
        <f>INDEX(Picks!F:F,MATCH(AC35,Picks!A:A,0))</f>
        <v>-3.8</v>
      </c>
      <c r="AE35" s="609">
        <f>INDEX(Weekly!I:I,MATCH(AC35,Weekly!E:E,0))</f>
        <v>1</v>
      </c>
      <c r="AF35" s="78">
        <f t="shared" si="8"/>
        <v>34</v>
      </c>
      <c r="AH35" s="78" t="s">
        <v>362</v>
      </c>
      <c r="AI35" s="81">
        <f>INDEX(Picks!G:G,MATCH(AH35,Picks!A:A,0))</f>
        <v>40.09375</v>
      </c>
      <c r="AJ35" s="609">
        <f>INDEX(Weekly!I:I,MATCH(AH35,Weekly!E:E,0))</f>
        <v>1</v>
      </c>
      <c r="AK35" s="78">
        <f t="shared" si="9"/>
        <v>31</v>
      </c>
    </row>
    <row r="36" spans="1:37" x14ac:dyDescent="0.25">
      <c r="A36" s="627" t="str">
        <f>A35</f>
        <v>Chris Bow</v>
      </c>
      <c r="B36" s="628" t="str">
        <f t="shared" si="3"/>
        <v>Wycombe</v>
      </c>
      <c r="C36" s="629" t="str">
        <f t="shared" si="4"/>
        <v>21/20</v>
      </c>
      <c r="D36" s="630">
        <f t="shared" si="5"/>
        <v>2.0499999999999998</v>
      </c>
      <c r="E36" s="651" t="str">
        <f t="shared" si="6"/>
        <v>√</v>
      </c>
      <c r="F36" s="631"/>
      <c r="G36" s="644"/>
      <c r="H36" s="294"/>
      <c r="I36" s="506"/>
      <c r="J36" s="622" t="s">
        <v>614</v>
      </c>
      <c r="K36" s="265" t="str">
        <f>INDEX(Odds!F:F,MATCH(J36,Odds!E:E,0))</f>
        <v>21/20</v>
      </c>
      <c r="L36" s="633">
        <f>INDEX(Odds!G:G,MATCH(J36,Odds!E:E,0))</f>
        <v>2.0499999999999998</v>
      </c>
      <c r="M36" s="624">
        <f>INDEX(Odds!H:H,MATCH(J36,Odds!E:E,0))</f>
        <v>1</v>
      </c>
      <c r="N36" s="625">
        <f t="shared" si="7"/>
        <v>2.0499999999999998</v>
      </c>
      <c r="O36" s="626"/>
      <c r="P36" s="39" t="str">
        <f>IF(Match!A36="","",Match!T36)</f>
        <v xml:space="preserve">Brentford 3-0 Preston </v>
      </c>
      <c r="Q36" s="101"/>
      <c r="R36" s="42" t="str">
        <f>IF(Odds!E36="","",Odds!E36)</f>
        <v>Brentford</v>
      </c>
      <c r="S36" s="43" t="str">
        <f>INDEX(Odds!F:F,MATCH(R36,Odds!E:E,0))</f>
        <v>11/10</v>
      </c>
      <c r="T36" s="47">
        <f t="shared" si="0"/>
        <v>1</v>
      </c>
      <c r="U36" s="22" t="str">
        <f>INDEX(Match!O:O,MATCH(P36,Match!T:T,0))</f>
        <v>Brentford</v>
      </c>
      <c r="V36" s="22">
        <f>INDEX(Match!F:F,MATCH(P36,Match!T:T,0))</f>
        <v>3</v>
      </c>
      <c r="W36" s="22" t="str">
        <f>INDEX(Match!P:P,MATCH(P36,Match!T:T,0))</f>
        <v>Preston</v>
      </c>
      <c r="X36" s="22">
        <f>INDEX(Match!G:G,MATCH(P36,Match!T:T,0))</f>
        <v>0</v>
      </c>
      <c r="AB36" s="100"/>
      <c r="AC36" s="78" t="s">
        <v>360</v>
      </c>
      <c r="AD36" s="81">
        <f>INDEX(Picks!F:F,MATCH(AC36,Picks!A:A,0))</f>
        <v>-4</v>
      </c>
      <c r="AE36" s="609">
        <f>INDEX(Weekly!I:I,MATCH(AC36,Weekly!E:E,0))</f>
        <v>1</v>
      </c>
      <c r="AF36" s="78">
        <f t="shared" si="8"/>
        <v>35</v>
      </c>
      <c r="AH36" s="78" t="s">
        <v>354</v>
      </c>
      <c r="AI36" s="81">
        <f>INDEX(Picks!G:G,MATCH(AH36,Picks!A:A,0))</f>
        <v>38.463999999999999</v>
      </c>
      <c r="AJ36" s="609">
        <f>INDEX(Weekly!I:I,MATCH(AH36,Weekly!E:E,0))</f>
        <v>2</v>
      </c>
      <c r="AK36" s="78">
        <f t="shared" si="9"/>
        <v>32</v>
      </c>
    </row>
    <row r="37" spans="1:37" ht="13.8" thickBot="1" x14ac:dyDescent="0.3">
      <c r="A37" s="634" t="str">
        <f>A35</f>
        <v>Chris Bow</v>
      </c>
      <c r="B37" s="635" t="str">
        <f t="shared" si="3"/>
        <v>Wigan</v>
      </c>
      <c r="C37" s="636" t="str">
        <f t="shared" si="4"/>
        <v>13/10</v>
      </c>
      <c r="D37" s="637">
        <f t="shared" si="5"/>
        <v>2.2999999999999998</v>
      </c>
      <c r="E37" s="651" t="str">
        <f t="shared" si="6"/>
        <v>√</v>
      </c>
      <c r="F37" s="631"/>
      <c r="G37" s="644"/>
      <c r="H37" s="294"/>
      <c r="I37" s="506"/>
      <c r="J37" s="638" t="s">
        <v>430</v>
      </c>
      <c r="K37" s="267" t="str">
        <f>INDEX(Odds!F:F,MATCH(J37,Odds!E:E,0))</f>
        <v>13/10</v>
      </c>
      <c r="L37" s="639">
        <f>INDEX(Odds!G:G,MATCH(J37,Odds!E:E,0))</f>
        <v>2.2999999999999998</v>
      </c>
      <c r="M37" s="624">
        <f>INDEX(Odds!H:H,MATCH(J37,Odds!E:E,0))</f>
        <v>1</v>
      </c>
      <c r="N37" s="640">
        <f t="shared" si="7"/>
        <v>2.2999999999999998</v>
      </c>
      <c r="O37" s="641"/>
      <c r="P37" s="39" t="str">
        <f>IF(Match!A37="","",Match!T37)</f>
        <v xml:space="preserve">Derby 3-1 West Brom </v>
      </c>
      <c r="Q37" s="101"/>
      <c r="R37" s="42" t="str">
        <f>IF(Odds!E37="","",Odds!E37)</f>
        <v>Derby</v>
      </c>
      <c r="S37" s="43" t="str">
        <f>INDEX(Odds!F:F,MATCH(R37,Odds!E:E,0))</f>
        <v>5/4</v>
      </c>
      <c r="T37" s="47">
        <f t="shared" si="0"/>
        <v>1</v>
      </c>
      <c r="U37" s="22" t="str">
        <f>INDEX(Match!O:O,MATCH(P37,Match!T:T,0))</f>
        <v>Derby</v>
      </c>
      <c r="V37" s="22">
        <f>INDEX(Match!F:F,MATCH(P37,Match!T:T,0))</f>
        <v>3</v>
      </c>
      <c r="W37" s="22" t="str">
        <f>INDEX(Match!P:P,MATCH(P37,Match!T:T,0))</f>
        <v>West Brom</v>
      </c>
      <c r="X37" s="22">
        <f>INDEX(Match!G:G,MATCH(P37,Match!T:T,0))</f>
        <v>1</v>
      </c>
      <c r="AB37" s="100"/>
      <c r="AC37" s="78" t="s">
        <v>352</v>
      </c>
      <c r="AD37" s="81">
        <f>INDEX(Picks!F:F,MATCH(AC37,Picks!A:A,0))</f>
        <v>-4</v>
      </c>
      <c r="AE37" s="609">
        <f>INDEX(Weekly!I:I,MATCH(AC37,Weekly!E:E,0))</f>
        <v>1</v>
      </c>
      <c r="AF37" s="78">
        <f t="shared" si="8"/>
        <v>35</v>
      </c>
      <c r="AH37" s="78" t="s">
        <v>391</v>
      </c>
      <c r="AI37" s="81">
        <f>INDEX(Picks!G:G,MATCH(AH37,Picks!A:A,0))</f>
        <v>37.942500000000003</v>
      </c>
      <c r="AJ37" s="609">
        <f>INDEX(Weekly!I:I,MATCH(AH37,Weekly!E:E,0))</f>
        <v>2</v>
      </c>
      <c r="AK37" s="78">
        <f t="shared" si="9"/>
        <v>33</v>
      </c>
    </row>
    <row r="38" spans="1:37" ht="14.4" thickTop="1" thickBot="1" x14ac:dyDescent="0.3">
      <c r="A38" s="618" t="str">
        <f>Results!B38</f>
        <v>Chris Griffin</v>
      </c>
      <c r="B38" s="642" t="str">
        <f t="shared" si="3"/>
        <v>Wigan</v>
      </c>
      <c r="C38" s="629" t="str">
        <f t="shared" si="4"/>
        <v>13/10</v>
      </c>
      <c r="D38" s="621">
        <f t="shared" si="5"/>
        <v>2.2999999999999998</v>
      </c>
      <c r="E38" s="652" t="str">
        <f t="shared" si="6"/>
        <v>√</v>
      </c>
      <c r="F38" s="509">
        <f>IF(J38="",-10,INDEX(Results!T:T,MATCH(A38,Results!V:V,0)))</f>
        <v>6.5199999999999978</v>
      </c>
      <c r="G38" s="244">
        <f>IF(J38="","",INDEX(Results!AI:AI,MATCH(A38,Results!V:V,0)))</f>
        <v>38.463999999999999</v>
      </c>
      <c r="H38" s="294">
        <f>IF(G38="",0,1)</f>
        <v>1</v>
      </c>
      <c r="I38" s="505">
        <f>INDEX(Picks!AF:AF,MATCH(A38,Picks!AC:AC,0))</f>
        <v>12</v>
      </c>
      <c r="J38" s="622" t="s">
        <v>430</v>
      </c>
      <c r="K38" s="261" t="str">
        <f>INDEX(Odds!F:F,MATCH(J38,Odds!E:E,0))</f>
        <v>13/10</v>
      </c>
      <c r="L38" s="623">
        <f>INDEX(Odds!G:G,MATCH(J38,Odds!E:E,0))</f>
        <v>2.2999999999999998</v>
      </c>
      <c r="M38" s="643">
        <f>INDEX(Odds!H:H,MATCH(J38,Odds!E:E,0))</f>
        <v>1</v>
      </c>
      <c r="N38" s="625">
        <f t="shared" si="7"/>
        <v>2.2999999999999998</v>
      </c>
      <c r="O38" s="626"/>
      <c r="P38" s="39" t="str">
        <f>IF(Match!A38="","",Match!T38)</f>
        <v xml:space="preserve">Forest 1-0 Bolton </v>
      </c>
      <c r="Q38" s="101"/>
      <c r="R38" s="42" t="str">
        <f>IF(Odds!E38="","",Odds!E38)</f>
        <v>Forest</v>
      </c>
      <c r="S38" s="43" t="str">
        <f>INDEX(Odds!F:F,MATCH(R38,Odds!E:E,0))</f>
        <v>/</v>
      </c>
      <c r="T38" s="47">
        <f t="shared" si="0"/>
        <v>1</v>
      </c>
      <c r="U38" s="22" t="str">
        <f>INDEX(Match!O:O,MATCH(P38,Match!T:T,0))</f>
        <v>Forest</v>
      </c>
      <c r="V38" s="22">
        <f>INDEX(Match!F:F,MATCH(P38,Match!T:T,0))</f>
        <v>1</v>
      </c>
      <c r="W38" s="22" t="str">
        <f>INDEX(Match!P:P,MATCH(P38,Match!T:T,0))</f>
        <v>Bolton</v>
      </c>
      <c r="X38" s="22">
        <f>INDEX(Match!G:G,MATCH(P38,Match!T:T,0))</f>
        <v>0</v>
      </c>
      <c r="AB38" s="100"/>
      <c r="AC38" s="78" t="s">
        <v>461</v>
      </c>
      <c r="AD38" s="81">
        <f>INDEX(Picks!F:F,MATCH(AC38,Picks!A:A,0))</f>
        <v>-4</v>
      </c>
      <c r="AE38" s="609">
        <f>INDEX(Weekly!I:I,MATCH(AC38,Weekly!E:E,0))</f>
        <v>1</v>
      </c>
      <c r="AF38" s="78">
        <f t="shared" si="8"/>
        <v>35</v>
      </c>
      <c r="AH38" s="78" t="s">
        <v>355</v>
      </c>
      <c r="AI38" s="81">
        <f>INDEX(Picks!G:G,MATCH(AH38,Picks!A:A,0))</f>
        <v>37.760000000000005</v>
      </c>
      <c r="AJ38" s="609">
        <f>INDEX(Weekly!I:I,MATCH(AH38,Weekly!E:E,0))</f>
        <v>0</v>
      </c>
      <c r="AK38" s="78">
        <f t="shared" si="9"/>
        <v>34</v>
      </c>
    </row>
    <row r="39" spans="1:37" x14ac:dyDescent="0.25">
      <c r="A39" s="627" t="str">
        <f>A38</f>
        <v>Chris Griffin</v>
      </c>
      <c r="B39" s="628" t="str">
        <f t="shared" si="3"/>
        <v>Sunderland</v>
      </c>
      <c r="C39" s="629" t="str">
        <f t="shared" si="4"/>
        <v>6/5</v>
      </c>
      <c r="D39" s="630">
        <f t="shared" si="5"/>
        <v>2.2000000000000002</v>
      </c>
      <c r="E39" s="651" t="str">
        <f t="shared" si="6"/>
        <v>x</v>
      </c>
      <c r="F39" s="631"/>
      <c r="G39" s="644"/>
      <c r="H39" s="294"/>
      <c r="I39" s="506"/>
      <c r="J39" s="622" t="s">
        <v>194</v>
      </c>
      <c r="K39" s="265" t="str">
        <f>INDEX(Odds!F:F,MATCH(J39,Odds!E:E,0))</f>
        <v>6/5</v>
      </c>
      <c r="L39" s="633">
        <f>INDEX(Odds!G:G,MATCH(J39,Odds!E:E,0))</f>
        <v>2.2000000000000002</v>
      </c>
      <c r="M39" s="624">
        <f>INDEX(Odds!H:H,MATCH(J39,Odds!E:E,0))</f>
        <v>0</v>
      </c>
      <c r="N39" s="625">
        <f t="shared" si="7"/>
        <v>0</v>
      </c>
      <c r="O39" s="626"/>
      <c r="P39" s="39" t="str">
        <f>IF(Match!A39="","",Match!T39)</f>
        <v xml:space="preserve">Hull 1-1 Bristol C </v>
      </c>
      <c r="Q39" s="101"/>
      <c r="R39" s="42" t="str">
        <f>IF(Odds!E39="","",Odds!E39)</f>
        <v>Hull</v>
      </c>
      <c r="S39" s="43" t="str">
        <f>INDEX(Odds!F:F,MATCH(R39,Odds!E:E,0))</f>
        <v>2/1</v>
      </c>
      <c r="T39" s="47">
        <f t="shared" si="0"/>
        <v>0</v>
      </c>
      <c r="U39" s="22" t="str">
        <f>INDEX(Match!O:O,MATCH(P39,Match!T:T,0))</f>
        <v>Hull</v>
      </c>
      <c r="V39" s="22">
        <f>INDEX(Match!F:F,MATCH(P39,Match!T:T,0))</f>
        <v>1</v>
      </c>
      <c r="W39" s="22" t="str">
        <f>INDEX(Match!P:P,MATCH(P39,Match!T:T,0))</f>
        <v>Bristol C</v>
      </c>
      <c r="X39" s="22">
        <f>INDEX(Match!G:G,MATCH(P39,Match!T:T,0))</f>
        <v>1</v>
      </c>
      <c r="AB39" s="100"/>
      <c r="AC39" s="78" t="s">
        <v>341</v>
      </c>
      <c r="AD39" s="81">
        <f>INDEX(Picks!F:F,MATCH(AC39,Picks!A:A,0))</f>
        <v>-4.625</v>
      </c>
      <c r="AE39" s="609">
        <f>INDEX(Weekly!I:I,MATCH(AC39,Weekly!E:E,0))</f>
        <v>1</v>
      </c>
      <c r="AF39" s="78">
        <f t="shared" si="8"/>
        <v>38</v>
      </c>
      <c r="AH39" s="78" t="s">
        <v>322</v>
      </c>
      <c r="AI39" s="81">
        <f>INDEX(Picks!G:G,MATCH(AH39,Picks!A:A,0))</f>
        <v>36.415584415584419</v>
      </c>
      <c r="AJ39" s="609">
        <f>INDEX(Weekly!I:I,MATCH(AH39,Weekly!E:E,0))</f>
        <v>0</v>
      </c>
      <c r="AK39" s="78">
        <f t="shared" si="9"/>
        <v>35</v>
      </c>
    </row>
    <row r="40" spans="1:37" ht="13.8" thickBot="1" x14ac:dyDescent="0.3">
      <c r="A40" s="634" t="str">
        <f>A38</f>
        <v>Chris Griffin</v>
      </c>
      <c r="B40" s="635" t="str">
        <f t="shared" si="3"/>
        <v>Reading draw</v>
      </c>
      <c r="C40" s="636" t="str">
        <f t="shared" si="4"/>
        <v>12/5</v>
      </c>
      <c r="D40" s="637">
        <f t="shared" si="5"/>
        <v>3.4</v>
      </c>
      <c r="E40" s="651" t="str">
        <f t="shared" si="6"/>
        <v>√</v>
      </c>
      <c r="F40" s="631"/>
      <c r="G40" s="644"/>
      <c r="H40" s="294"/>
      <c r="I40" s="506"/>
      <c r="J40" s="638" t="s">
        <v>627</v>
      </c>
      <c r="K40" s="267" t="str">
        <f>INDEX(Odds!F:F,MATCH(J40,Odds!E:E,0))</f>
        <v>12/5</v>
      </c>
      <c r="L40" s="639">
        <f>INDEX(Odds!G:G,MATCH(J40,Odds!E:E,0))</f>
        <v>3.4</v>
      </c>
      <c r="M40" s="624">
        <f>INDEX(Odds!H:H,MATCH(J40,Odds!E:E,0))</f>
        <v>1</v>
      </c>
      <c r="N40" s="640">
        <f t="shared" si="7"/>
        <v>3.4</v>
      </c>
      <c r="O40" s="641"/>
      <c r="P40" s="39" t="str">
        <f>IF(Match!A40="","",Match!T40)</f>
        <v xml:space="preserve">Ipswich 3-2 Leeds </v>
      </c>
      <c r="Q40" s="101"/>
      <c r="R40" s="42" t="str">
        <f>IF(Odds!E40="","",Odds!E40)</f>
        <v>Ipswich</v>
      </c>
      <c r="S40" s="43" t="str">
        <f>INDEX(Odds!F:F,MATCH(R40,Odds!E:E,0))</f>
        <v>4/1</v>
      </c>
      <c r="T40" s="47">
        <f t="shared" si="0"/>
        <v>1</v>
      </c>
      <c r="U40" s="22" t="str">
        <f>INDEX(Match!O:O,MATCH(P40,Match!T:T,0))</f>
        <v>Ipswich</v>
      </c>
      <c r="V40" s="22">
        <f>INDEX(Match!F:F,MATCH(P40,Match!T:T,0))</f>
        <v>3</v>
      </c>
      <c r="W40" s="22" t="str">
        <f>INDEX(Match!P:P,MATCH(P40,Match!T:T,0))</f>
        <v>Leeds</v>
      </c>
      <c r="X40" s="22">
        <f>INDEX(Match!G:G,MATCH(P40,Match!T:T,0))</f>
        <v>2</v>
      </c>
      <c r="AB40" s="100"/>
      <c r="AC40" s="78" t="s">
        <v>332</v>
      </c>
      <c r="AD40" s="81">
        <f>INDEX(Picks!F:F,MATCH(AC40,Picks!A:A,0))</f>
        <v>-4.625</v>
      </c>
      <c r="AE40" s="609">
        <f>INDEX(Weekly!I:I,MATCH(AC40,Weekly!E:E,0))</f>
        <v>1</v>
      </c>
      <c r="AF40" s="78">
        <f t="shared" si="8"/>
        <v>38</v>
      </c>
      <c r="AH40" s="78" t="s">
        <v>323</v>
      </c>
      <c r="AI40" s="81">
        <f>INDEX(Picks!G:G,MATCH(AH40,Picks!A:A,0))</f>
        <v>32.56</v>
      </c>
      <c r="AJ40" s="609">
        <f>INDEX(Weekly!I:I,MATCH(AH40,Weekly!E:E,0))</f>
        <v>2</v>
      </c>
      <c r="AK40" s="78">
        <f t="shared" si="9"/>
        <v>36</v>
      </c>
    </row>
    <row r="41" spans="1:37" ht="14.4" thickTop="1" thickBot="1" x14ac:dyDescent="0.3">
      <c r="A41" s="618" t="str">
        <f>Results!B41</f>
        <v>Chris Luck</v>
      </c>
      <c r="B41" s="642" t="str">
        <f t="shared" si="3"/>
        <v>West Ham</v>
      </c>
      <c r="C41" s="629" t="str">
        <f t="shared" si="4"/>
        <v>11/8</v>
      </c>
      <c r="D41" s="621">
        <f t="shared" si="5"/>
        <v>2.375</v>
      </c>
      <c r="E41" s="652" t="str">
        <f t="shared" si="6"/>
        <v>√</v>
      </c>
      <c r="F41" s="509">
        <f>IF(J41="",-10,INDEX(Results!T:T,MATCH(A41,Results!V:V,0)))</f>
        <v>30.272500000000001</v>
      </c>
      <c r="G41" s="244">
        <f>IF(J41="","",INDEX(Results!AI:AI,MATCH(A41,Results!V:V,0)))</f>
        <v>30.272500000000001</v>
      </c>
      <c r="H41" s="294">
        <f>IF(G41="",0,1)</f>
        <v>1</v>
      </c>
      <c r="I41" s="505">
        <f>INDEX(Picks!AF:AF,MATCH(A41,Picks!AC:AC,0))</f>
        <v>2</v>
      </c>
      <c r="J41" s="622" t="s">
        <v>622</v>
      </c>
      <c r="K41" s="261" t="str">
        <f>INDEX(Odds!F:F,MATCH(J41,Odds!E:E,0))</f>
        <v>11/8</v>
      </c>
      <c r="L41" s="623">
        <f>INDEX(Odds!G:G,MATCH(J41,Odds!E:E,0))</f>
        <v>2.375</v>
      </c>
      <c r="M41" s="643">
        <f>INDEX(Odds!H:H,MATCH(J41,Odds!E:E,0))</f>
        <v>1</v>
      </c>
      <c r="N41" s="625">
        <f t="shared" si="7"/>
        <v>2.375</v>
      </c>
      <c r="O41" s="626"/>
      <c r="P41" s="39" t="str">
        <f>IF(Match!A41="","",Match!T41)</f>
        <v xml:space="preserve">Reading 0-0 Birmingham </v>
      </c>
      <c r="Q41" s="101"/>
      <c r="R41" s="42" t="str">
        <f>IF(Odds!E41="","",Odds!E41)</f>
        <v>Reading</v>
      </c>
      <c r="S41" s="43" t="str">
        <f>INDEX(Odds!F:F,MATCH(R41,Odds!E:E,0))</f>
        <v>7/4</v>
      </c>
      <c r="T41" s="47">
        <f t="shared" si="0"/>
        <v>0</v>
      </c>
      <c r="U41" s="22" t="str">
        <f>INDEX(Match!O:O,MATCH(P41,Match!T:T,0))</f>
        <v>Reading</v>
      </c>
      <c r="V41" s="22">
        <f>INDEX(Match!F:F,MATCH(P41,Match!T:T,0))</f>
        <v>0</v>
      </c>
      <c r="W41" s="22" t="str">
        <f>INDEX(Match!P:P,MATCH(P41,Match!T:T,0))</f>
        <v>Birmingham</v>
      </c>
      <c r="X41" s="22">
        <f>INDEX(Match!G:G,MATCH(P41,Match!T:T,0))</f>
        <v>0</v>
      </c>
      <c r="AB41" s="100"/>
      <c r="AC41" s="78" t="s">
        <v>362</v>
      </c>
      <c r="AD41" s="81">
        <f>INDEX(Picks!F:F,MATCH(AC41,Picks!A:A,0))</f>
        <v>-4.625</v>
      </c>
      <c r="AE41" s="609">
        <f>INDEX(Weekly!I:I,MATCH(AC41,Weekly!E:E,0))</f>
        <v>1</v>
      </c>
      <c r="AF41" s="78">
        <f t="shared" si="8"/>
        <v>38</v>
      </c>
      <c r="AH41" s="78" t="s">
        <v>363</v>
      </c>
      <c r="AI41" s="81">
        <f>INDEX(Picks!G:G,MATCH(AH41,Picks!A:A,0))</f>
        <v>30.272500000000001</v>
      </c>
      <c r="AJ41" s="609">
        <f>INDEX(Weekly!I:I,MATCH(AH41,Weekly!E:E,0))</f>
        <v>3</v>
      </c>
      <c r="AK41" s="78">
        <f t="shared" si="9"/>
        <v>37</v>
      </c>
    </row>
    <row r="42" spans="1:37" x14ac:dyDescent="0.25">
      <c r="A42" s="627" t="str">
        <f>A41</f>
        <v>Chris Luck</v>
      </c>
      <c r="B42" s="628" t="str">
        <f t="shared" si="3"/>
        <v>Palace</v>
      </c>
      <c r="C42" s="629" t="str">
        <f t="shared" si="4"/>
        <v>8/5</v>
      </c>
      <c r="D42" s="630">
        <f t="shared" si="5"/>
        <v>2.6</v>
      </c>
      <c r="E42" s="651" t="str">
        <f t="shared" si="6"/>
        <v>√</v>
      </c>
      <c r="F42" s="631"/>
      <c r="G42" s="644"/>
      <c r="H42" s="294"/>
      <c r="I42" s="506"/>
      <c r="J42" s="622" t="s">
        <v>592</v>
      </c>
      <c r="K42" s="265" t="str">
        <f>INDEX(Odds!F:F,MATCH(J42,Odds!E:E,0))</f>
        <v>8/5</v>
      </c>
      <c r="L42" s="633">
        <f>INDEX(Odds!G:G,MATCH(J42,Odds!E:E,0))</f>
        <v>2.6</v>
      </c>
      <c r="M42" s="624">
        <f>INDEX(Odds!H:H,MATCH(J42,Odds!E:E,0))</f>
        <v>1</v>
      </c>
      <c r="N42" s="625">
        <f t="shared" si="7"/>
        <v>2.6</v>
      </c>
      <c r="O42" s="626"/>
      <c r="P42" s="39" t="str">
        <f>IF(Match!A42="","",Match!T42)</f>
        <v xml:space="preserve">Rotherham 1-2 Middlesbro </v>
      </c>
      <c r="Q42" s="101"/>
      <c r="R42" s="42" t="str">
        <f>IF(Odds!E42="","",Odds!E42)</f>
        <v>Rotherham</v>
      </c>
      <c r="S42" s="43" t="str">
        <f>INDEX(Odds!F:F,MATCH(R42,Odds!E:E,0))</f>
        <v>10/3</v>
      </c>
      <c r="T42" s="47">
        <f t="shared" si="0"/>
        <v>0</v>
      </c>
      <c r="U42" s="22" t="str">
        <f>INDEX(Match!O:O,MATCH(P42,Match!T:T,0))</f>
        <v>Rotherham</v>
      </c>
      <c r="V42" s="22">
        <f>INDEX(Match!F:F,MATCH(P42,Match!T:T,0))</f>
        <v>1</v>
      </c>
      <c r="W42" s="22" t="str">
        <f>INDEX(Match!P:P,MATCH(P42,Match!T:T,0))</f>
        <v>Middlesbro</v>
      </c>
      <c r="X42" s="22">
        <f>INDEX(Match!G:G,MATCH(P42,Match!T:T,0))</f>
        <v>2</v>
      </c>
      <c r="AB42" s="100"/>
      <c r="AC42" s="78" t="s">
        <v>357</v>
      </c>
      <c r="AD42" s="81">
        <f>INDEX(Picks!F:F,MATCH(AC42,Picks!A:A,0))</f>
        <v>-4.7</v>
      </c>
      <c r="AE42" s="609">
        <f>INDEX(Weekly!I:I,MATCH(AC42,Weekly!E:E,0))</f>
        <v>1</v>
      </c>
      <c r="AF42" s="78">
        <f t="shared" si="8"/>
        <v>41</v>
      </c>
      <c r="AH42" s="78" t="s">
        <v>345</v>
      </c>
      <c r="AI42" s="81">
        <f>INDEX(Picks!G:G,MATCH(AH42,Picks!A:A,0))</f>
        <v>30.015999999999998</v>
      </c>
      <c r="AJ42" s="609">
        <f>INDEX(Weekly!I:I,MATCH(AH42,Weekly!E:E,0))</f>
        <v>2</v>
      </c>
      <c r="AK42" s="78">
        <f t="shared" si="9"/>
        <v>38</v>
      </c>
    </row>
    <row r="43" spans="1:37" ht="13.8" thickBot="1" x14ac:dyDescent="0.3">
      <c r="A43" s="634" t="str">
        <f>A41</f>
        <v>Chris Luck</v>
      </c>
      <c r="B43" s="635" t="str">
        <f t="shared" si="3"/>
        <v>Peterborough</v>
      </c>
      <c r="C43" s="636" t="str">
        <f t="shared" si="4"/>
        <v>23/20</v>
      </c>
      <c r="D43" s="637">
        <f t="shared" si="5"/>
        <v>2.15</v>
      </c>
      <c r="E43" s="651" t="str">
        <f t="shared" si="6"/>
        <v>√</v>
      </c>
      <c r="F43" s="631"/>
      <c r="G43" s="644"/>
      <c r="H43" s="294"/>
      <c r="I43" s="506"/>
      <c r="J43" s="638" t="s">
        <v>617</v>
      </c>
      <c r="K43" s="267" t="str">
        <f>INDEX(Odds!F:F,MATCH(J43,Odds!E:E,0))</f>
        <v>23/20</v>
      </c>
      <c r="L43" s="639">
        <f>INDEX(Odds!G:G,MATCH(J43,Odds!E:E,0))</f>
        <v>2.15</v>
      </c>
      <c r="M43" s="624">
        <f>INDEX(Odds!H:H,MATCH(J43,Odds!E:E,0))</f>
        <v>1</v>
      </c>
      <c r="N43" s="640">
        <f t="shared" si="7"/>
        <v>2.15</v>
      </c>
      <c r="O43" s="641"/>
      <c r="P43" s="39" t="str">
        <f>IF(Match!A43="","",Match!T43)</f>
        <v xml:space="preserve">Sheff W 1-2 QPR </v>
      </c>
      <c r="Q43" s="101"/>
      <c r="R43" s="42" t="str">
        <f>IF(Odds!E43="","",Odds!E43)</f>
        <v>Sheff W</v>
      </c>
      <c r="S43" s="43" t="str">
        <f>INDEX(Odds!F:F,MATCH(R43,Odds!E:E,0))</f>
        <v>11/13</v>
      </c>
      <c r="T43" s="47">
        <f t="shared" si="0"/>
        <v>0</v>
      </c>
      <c r="U43" s="22" t="str">
        <f>INDEX(Match!O:O,MATCH(P43,Match!T:T,0))</f>
        <v>Sheff W</v>
      </c>
      <c r="V43" s="22">
        <f>INDEX(Match!F:F,MATCH(P43,Match!T:T,0))</f>
        <v>1</v>
      </c>
      <c r="W43" s="22" t="str">
        <f>INDEX(Match!P:P,MATCH(P43,Match!T:T,0))</f>
        <v>QPR</v>
      </c>
      <c r="X43" s="22">
        <f>INDEX(Match!G:G,MATCH(P43,Match!T:T,0))</f>
        <v>2</v>
      </c>
      <c r="AB43" s="100"/>
      <c r="AC43" s="78" t="s">
        <v>540</v>
      </c>
      <c r="AD43" s="81">
        <f>INDEX(Picks!F:F,MATCH(AC43,Picks!A:A,0))</f>
        <v>-4.8</v>
      </c>
      <c r="AE43" s="609">
        <f>INDEX(Weekly!I:I,MATCH(AC43,Weekly!E:E,0))</f>
        <v>1</v>
      </c>
      <c r="AF43" s="78">
        <f t="shared" si="8"/>
        <v>42</v>
      </c>
      <c r="AH43" s="78" t="s">
        <v>463</v>
      </c>
      <c r="AI43" s="81">
        <f>INDEX(Picks!G:G,MATCH(AH43,Picks!A:A,0))</f>
        <v>28.772307692307692</v>
      </c>
      <c r="AJ43" s="609">
        <f>INDEX(Weekly!I:I,MATCH(AH43,Weekly!E:E,0))</f>
        <v>1</v>
      </c>
      <c r="AK43" s="78">
        <f t="shared" si="9"/>
        <v>39</v>
      </c>
    </row>
    <row r="44" spans="1:37" ht="14.4" thickTop="1" thickBot="1" x14ac:dyDescent="0.3">
      <c r="A44" s="618" t="str">
        <f>Results!B44</f>
        <v>Chris Townsend</v>
      </c>
      <c r="B44" s="642" t="str">
        <f t="shared" si="3"/>
        <v>Scunthorpe</v>
      </c>
      <c r="C44" s="629" t="str">
        <f t="shared" si="4"/>
        <v>21/10</v>
      </c>
      <c r="D44" s="621">
        <f t="shared" si="5"/>
        <v>3.1</v>
      </c>
      <c r="E44" s="652" t="str">
        <f t="shared" si="6"/>
        <v>x</v>
      </c>
      <c r="F44" s="509">
        <f>IF(J44="",-10,INDEX(Results!T:T,MATCH(A44,Results!V:V,0)))</f>
        <v>-7</v>
      </c>
      <c r="G44" s="244">
        <f>IF(J44="","",INDEX(Results!AI:AI,MATCH(A44,Results!V:V,0)))</f>
        <v>166.76249999999999</v>
      </c>
      <c r="H44" s="294">
        <f>IF(G44="",0,1)</f>
        <v>1</v>
      </c>
      <c r="I44" s="505">
        <f>INDEX(Picks!AF:AF,MATCH(A44,Picks!AC:AC,0))</f>
        <v>47</v>
      </c>
      <c r="J44" s="622" t="s">
        <v>517</v>
      </c>
      <c r="K44" s="261" t="str">
        <f>INDEX(Odds!F:F,MATCH(J44,Odds!E:E,0))</f>
        <v>21/10</v>
      </c>
      <c r="L44" s="623">
        <f>INDEX(Odds!G:G,MATCH(J44,Odds!E:E,0))</f>
        <v>3.1</v>
      </c>
      <c r="M44" s="643">
        <f>INDEX(Odds!H:H,MATCH(J44,Odds!E:E,0))</f>
        <v>0</v>
      </c>
      <c r="N44" s="625">
        <f t="shared" si="7"/>
        <v>0</v>
      </c>
      <c r="O44" s="626"/>
      <c r="P44" s="39" t="str">
        <f>IF(Match!A44="","",Match!T44)</f>
        <v xml:space="preserve">Stoke 2-2 Sheff U </v>
      </c>
      <c r="Q44" s="101"/>
      <c r="R44" s="42" t="str">
        <f>IF(Odds!E44="","",Odds!E44)</f>
        <v>Stoke</v>
      </c>
      <c r="S44" s="43" t="str">
        <f>INDEX(Odds!F:F,MATCH(R44,Odds!E:E,0))</f>
        <v>14/5</v>
      </c>
      <c r="T44" s="47">
        <f t="shared" si="0"/>
        <v>0</v>
      </c>
      <c r="U44" s="22" t="str">
        <f>INDEX(Match!O:O,MATCH(P44,Match!T:T,0))</f>
        <v>Stoke</v>
      </c>
      <c r="V44" s="22">
        <f>INDEX(Match!F:F,MATCH(P44,Match!T:T,0))</f>
        <v>2</v>
      </c>
      <c r="W44" s="22" t="str">
        <f>INDEX(Match!P:P,MATCH(P44,Match!T:T,0))</f>
        <v>Sheff U</v>
      </c>
      <c r="X44" s="22">
        <f>INDEX(Match!G:G,MATCH(P44,Match!T:T,0))</f>
        <v>2</v>
      </c>
      <c r="AB44" s="100"/>
      <c r="AC44" s="78" t="s">
        <v>356</v>
      </c>
      <c r="AD44" s="81">
        <f>INDEX(Picks!F:F,MATCH(AC44,Picks!A:A,0))</f>
        <v>-4.8499999999999996</v>
      </c>
      <c r="AE44" s="609">
        <f>INDEX(Weekly!I:I,MATCH(AC44,Weekly!E:E,0))</f>
        <v>1</v>
      </c>
      <c r="AF44" s="78">
        <f t="shared" si="8"/>
        <v>43</v>
      </c>
      <c r="AH44" s="78" t="s">
        <v>346</v>
      </c>
      <c r="AI44" s="81">
        <f>INDEX(Picks!G:G,MATCH(AH44,Picks!A:A,0))</f>
        <v>28.464999999999996</v>
      </c>
      <c r="AJ44" s="609">
        <f>INDEX(Weekly!I:I,MATCH(AH44,Weekly!E:E,0))</f>
        <v>2</v>
      </c>
      <c r="AK44" s="78">
        <f t="shared" si="9"/>
        <v>40</v>
      </c>
    </row>
    <row r="45" spans="1:37" x14ac:dyDescent="0.25">
      <c r="A45" s="627" t="str">
        <f>A44</f>
        <v>Chris Townsend</v>
      </c>
      <c r="B45" s="628" t="str">
        <f t="shared" si="3"/>
        <v>Newcastle</v>
      </c>
      <c r="C45" s="629" t="str">
        <f t="shared" si="4"/>
        <v>9/1</v>
      </c>
      <c r="D45" s="630">
        <f t="shared" si="5"/>
        <v>10</v>
      </c>
      <c r="E45" s="651" t="str">
        <f t="shared" si="6"/>
        <v>x</v>
      </c>
      <c r="F45" s="631"/>
      <c r="G45" s="644"/>
      <c r="H45" s="294"/>
      <c r="I45" s="506"/>
      <c r="J45" s="622" t="s">
        <v>444</v>
      </c>
      <c r="K45" s="265" t="str">
        <f>INDEX(Odds!F:F,MATCH(J45,Odds!E:E,0))</f>
        <v>9/1</v>
      </c>
      <c r="L45" s="633">
        <f>INDEX(Odds!G:G,MATCH(J45,Odds!E:E,0))</f>
        <v>10</v>
      </c>
      <c r="M45" s="624">
        <f>INDEX(Odds!H:H,MATCH(J45,Odds!E:E,0))</f>
        <v>0</v>
      </c>
      <c r="N45" s="625">
        <f t="shared" si="7"/>
        <v>0</v>
      </c>
      <c r="O45" s="626"/>
      <c r="P45" s="39" t="str">
        <f>IF(Match!A45="","",Match!T45)</f>
        <v xml:space="preserve">Villa 1-2 Norwich </v>
      </c>
      <c r="Q45" s="101"/>
      <c r="R45" s="42" t="str">
        <f>IF(Odds!E45="","",Odds!E45)</f>
        <v>Villa</v>
      </c>
      <c r="S45" s="43" t="str">
        <f>INDEX(Odds!F:F,MATCH(R45,Odds!E:E,0))</f>
        <v>6/4</v>
      </c>
      <c r="T45" s="47">
        <f t="shared" si="0"/>
        <v>0</v>
      </c>
      <c r="U45" s="22" t="str">
        <f>INDEX(Match!O:O,MATCH(P45,Match!T:T,0))</f>
        <v>Villa</v>
      </c>
      <c r="V45" s="22">
        <f>INDEX(Match!F:F,MATCH(P45,Match!T:T,0))</f>
        <v>1</v>
      </c>
      <c r="W45" s="22" t="str">
        <f>INDEX(Match!P:P,MATCH(P45,Match!T:T,0))</f>
        <v>Norwich</v>
      </c>
      <c r="X45" s="22">
        <f>INDEX(Match!G:G,MATCH(P45,Match!T:T,0))</f>
        <v>2</v>
      </c>
      <c r="AB45" s="100"/>
      <c r="AC45" s="78" t="s">
        <v>463</v>
      </c>
      <c r="AD45" s="81">
        <f>INDEX(Picks!F:F,MATCH(AC45,Picks!A:A,0))</f>
        <v>-5.1538461538461533</v>
      </c>
      <c r="AE45" s="609">
        <f>INDEX(Weekly!I:I,MATCH(AC45,Weekly!E:E,0))</f>
        <v>1</v>
      </c>
      <c r="AF45" s="78">
        <f t="shared" si="8"/>
        <v>44</v>
      </c>
      <c r="AH45" s="78" t="s">
        <v>540</v>
      </c>
      <c r="AI45" s="81">
        <f>INDEX(Picks!G:G,MATCH(AH45,Picks!A:A,0))</f>
        <v>27.927272727272729</v>
      </c>
      <c r="AJ45" s="609">
        <f>INDEX(Weekly!I:I,MATCH(AH45,Weekly!E:E,0))</f>
        <v>1</v>
      </c>
      <c r="AK45" s="78">
        <f t="shared" si="9"/>
        <v>41</v>
      </c>
    </row>
    <row r="46" spans="1:37" ht="13.8" thickBot="1" x14ac:dyDescent="0.3">
      <c r="A46" s="634" t="str">
        <f>A44</f>
        <v>Chris Townsend</v>
      </c>
      <c r="B46" s="635" t="str">
        <f t="shared" si="3"/>
        <v>Southampton</v>
      </c>
      <c r="C46" s="636" t="str">
        <f t="shared" si="4"/>
        <v>15/8</v>
      </c>
      <c r="D46" s="637">
        <f t="shared" si="5"/>
        <v>2.875</v>
      </c>
      <c r="E46" s="651" t="str">
        <f t="shared" si="6"/>
        <v>x</v>
      </c>
      <c r="F46" s="631"/>
      <c r="G46" s="644"/>
      <c r="H46" s="294"/>
      <c r="I46" s="506"/>
      <c r="J46" s="638" t="s">
        <v>589</v>
      </c>
      <c r="K46" s="267" t="str">
        <f>INDEX(Odds!F:F,MATCH(J46,Odds!E:E,0))</f>
        <v>15/8</v>
      </c>
      <c r="L46" s="639">
        <f>INDEX(Odds!G:G,MATCH(J46,Odds!E:E,0))</f>
        <v>2.875</v>
      </c>
      <c r="M46" s="624">
        <f>INDEX(Odds!H:H,MATCH(J46,Odds!E:E,0))</f>
        <v>0</v>
      </c>
      <c r="N46" s="640">
        <f t="shared" si="7"/>
        <v>0</v>
      </c>
      <c r="O46" s="641"/>
      <c r="P46" s="39" t="str">
        <f>IF(Match!A46="","",Match!T46)</f>
        <v xml:space="preserve">Wigan 1-0 Millwall </v>
      </c>
      <c r="Q46" s="101"/>
      <c r="R46" s="42" t="str">
        <f>IF(Odds!E46="","",Odds!E46)</f>
        <v>Wigan</v>
      </c>
      <c r="S46" s="43" t="str">
        <f>INDEX(Odds!F:F,MATCH(R46,Odds!E:E,0))</f>
        <v>13/10</v>
      </c>
      <c r="T46" s="47">
        <f t="shared" si="0"/>
        <v>1</v>
      </c>
      <c r="U46" s="22" t="str">
        <f>INDEX(Match!O:O,MATCH(P46,Match!T:T,0))</f>
        <v>Wigan</v>
      </c>
      <c r="V46" s="22">
        <f>INDEX(Match!F:F,MATCH(P46,Match!T:T,0))</f>
        <v>1</v>
      </c>
      <c r="W46" s="22" t="str">
        <f>INDEX(Match!P:P,MATCH(P46,Match!T:T,0))</f>
        <v>Millwall</v>
      </c>
      <c r="X46" s="22">
        <f>INDEX(Match!G:G,MATCH(P46,Match!T:T,0))</f>
        <v>0</v>
      </c>
      <c r="AB46" s="100"/>
      <c r="AC46" s="78" t="s">
        <v>351</v>
      </c>
      <c r="AD46" s="81">
        <f>INDEX(Picks!F:F,MATCH(AC46,Picks!A:A,0))</f>
        <v>-5.1538461538461533</v>
      </c>
      <c r="AE46" s="609">
        <f>INDEX(Weekly!I:I,MATCH(AC46,Weekly!E:E,0))</f>
        <v>1</v>
      </c>
      <c r="AF46" s="78">
        <f t="shared" si="8"/>
        <v>44</v>
      </c>
      <c r="AH46" s="78" t="s">
        <v>352</v>
      </c>
      <c r="AI46" s="81">
        <f>INDEX(Picks!G:G,MATCH(AH46,Picks!A:A,0))</f>
        <v>27.72</v>
      </c>
      <c r="AJ46" s="609">
        <f>INDEX(Weekly!I:I,MATCH(AH46,Weekly!E:E,0))</f>
        <v>1</v>
      </c>
      <c r="AK46" s="78">
        <f t="shared" si="9"/>
        <v>42</v>
      </c>
    </row>
    <row r="47" spans="1:37" ht="14.4" thickTop="1" thickBot="1" x14ac:dyDescent="0.3">
      <c r="A47" s="618" t="str">
        <f>Results!B47</f>
        <v>Dan Baxter</v>
      </c>
      <c r="B47" s="642" t="str">
        <f t="shared" si="3"/>
        <v>Everton draw</v>
      </c>
      <c r="C47" s="629" t="str">
        <f t="shared" si="4"/>
        <v>3/1</v>
      </c>
      <c r="D47" s="621">
        <f t="shared" si="5"/>
        <v>4</v>
      </c>
      <c r="E47" s="652" t="str">
        <f t="shared" si="6"/>
        <v>x</v>
      </c>
      <c r="F47" s="509">
        <f>IF(J47="",-10,INDEX(Results!T:T,MATCH(A47,Results!V:V,0)))</f>
        <v>-2.5999999999999996</v>
      </c>
      <c r="G47" s="244">
        <f>IF(J47="","",INDEX(Results!AI:AI,MATCH(A47,Results!V:V,0)))</f>
        <v>289</v>
      </c>
      <c r="H47" s="294">
        <f>IF(G47="",0,1)</f>
        <v>1</v>
      </c>
      <c r="I47" s="505">
        <f>INDEX(Picks!AF:AF,MATCH(A47,Picks!AC:AC,0))</f>
        <v>30</v>
      </c>
      <c r="J47" s="622" t="s">
        <v>631</v>
      </c>
      <c r="K47" s="261" t="str">
        <f>INDEX(Odds!F:F,MATCH(J47,Odds!E:E,0))</f>
        <v>3/1</v>
      </c>
      <c r="L47" s="623">
        <f>INDEX(Odds!G:G,MATCH(J47,Odds!E:E,0))</f>
        <v>4</v>
      </c>
      <c r="M47" s="643">
        <f>INDEX(Odds!H:H,MATCH(J47,Odds!E:E,0))</f>
        <v>0</v>
      </c>
      <c r="N47" s="625">
        <f t="shared" si="7"/>
        <v>0</v>
      </c>
      <c r="O47" s="626"/>
      <c r="P47" s="40" t="str">
        <f>IF(Match!A47="","",Match!T47)</f>
        <v/>
      </c>
      <c r="Q47" s="101"/>
      <c r="R47" s="48" t="str">
        <f>IF(Odds!E47="","",Odds!E47)</f>
        <v/>
      </c>
      <c r="S47" s="49" t="str">
        <f>INDEX(Odds!F:F,MATCH(R47,Odds!E:E,0))</f>
        <v/>
      </c>
      <c r="T47" s="50" t="e">
        <f>IF(V47&gt;X47,1,0)</f>
        <v>#N/A</v>
      </c>
      <c r="U47" s="22" t="e">
        <f>INDEX(Match!O:O,MATCH(P47,Match!T:T,0))</f>
        <v>#N/A</v>
      </c>
      <c r="V47" s="22" t="e">
        <f>INDEX(Match!F:F,MATCH(P47,Match!T:T,0))</f>
        <v>#N/A</v>
      </c>
      <c r="W47" s="22" t="e">
        <f>INDEX(Match!P:P,MATCH(P47,Match!T:T,0))</f>
        <v>#N/A</v>
      </c>
      <c r="X47" s="22" t="e">
        <f>INDEX(Match!G:G,MATCH(P47,Match!T:T,0))</f>
        <v>#N/A</v>
      </c>
      <c r="AB47" s="100"/>
      <c r="AC47" s="78" t="s">
        <v>348</v>
      </c>
      <c r="AD47" s="81">
        <f>INDEX(Picks!F:F,MATCH(AC47,Picks!A:A,0))</f>
        <v>-5.666666666666667</v>
      </c>
      <c r="AE47" s="609">
        <f>INDEX(Weekly!I:I,MATCH(AC47,Weekly!E:E,0))</f>
        <v>1</v>
      </c>
      <c r="AF47" s="78">
        <f t="shared" si="8"/>
        <v>46</v>
      </c>
      <c r="AH47" s="78" t="s">
        <v>357</v>
      </c>
      <c r="AI47" s="81">
        <f>INDEX(Picks!G:G,MATCH(AH47,Picks!A:A,0))</f>
        <v>27.227499999999992</v>
      </c>
      <c r="AJ47" s="609">
        <f>INDEX(Weekly!I:I,MATCH(AH47,Weekly!E:E,0))</f>
        <v>1</v>
      </c>
      <c r="AK47" s="78">
        <f t="shared" si="9"/>
        <v>43</v>
      </c>
    </row>
    <row r="48" spans="1:37" x14ac:dyDescent="0.25">
      <c r="A48" s="627" t="str">
        <f>A47</f>
        <v>Dan Baxter</v>
      </c>
      <c r="B48" s="628" t="str">
        <f t="shared" si="3"/>
        <v>Bournemouth</v>
      </c>
      <c r="C48" s="629" t="str">
        <f t="shared" si="4"/>
        <v>17/5</v>
      </c>
      <c r="D48" s="630">
        <f t="shared" si="5"/>
        <v>4.4000000000000004</v>
      </c>
      <c r="E48" s="651" t="str">
        <f t="shared" si="6"/>
        <v>√</v>
      </c>
      <c r="F48" s="631"/>
      <c r="G48" s="644"/>
      <c r="H48" s="294"/>
      <c r="I48" s="506"/>
      <c r="J48" s="622" t="s">
        <v>591</v>
      </c>
      <c r="K48" s="265" t="str">
        <f>INDEX(Odds!F:F,MATCH(J48,Odds!E:E,0))</f>
        <v>17/5</v>
      </c>
      <c r="L48" s="633">
        <f>INDEX(Odds!G:G,MATCH(J48,Odds!E:E,0))</f>
        <v>4.4000000000000004</v>
      </c>
      <c r="M48" s="624">
        <f>INDEX(Odds!H:H,MATCH(J48,Odds!E:E,0))</f>
        <v>1</v>
      </c>
      <c r="N48" s="625">
        <f t="shared" si="7"/>
        <v>4.4000000000000004</v>
      </c>
      <c r="O48" s="626"/>
      <c r="P48" s="66"/>
      <c r="R48" s="42" t="str">
        <f>IF(Odds!E48="","",Odds!E48)</f>
        <v>Everton draw</v>
      </c>
      <c r="S48" s="43" t="str">
        <f>INDEX(Odds!F:F,MATCH(R48,Odds!E:E,0))</f>
        <v>3/1</v>
      </c>
      <c r="T48" s="47">
        <f t="shared" ref="T48:T93" si="10">IF(V2=X2,1,0)</f>
        <v>0</v>
      </c>
      <c r="AB48" s="100"/>
      <c r="AC48" s="78" t="s">
        <v>464</v>
      </c>
      <c r="AD48" s="81">
        <f>INDEX(Picks!F:F,MATCH(AC48,Picks!A:A,0))</f>
        <v>-7</v>
      </c>
      <c r="AE48" s="609">
        <f>INDEX(Weekly!I:I,MATCH(AC48,Weekly!E:E,0))</f>
        <v>0</v>
      </c>
      <c r="AF48" s="78">
        <f t="shared" si="8"/>
        <v>47</v>
      </c>
      <c r="AH48" s="78" t="s">
        <v>460</v>
      </c>
      <c r="AI48" s="81">
        <f>INDEX(Picks!G:G,MATCH(AH48,Picks!A:A,0))</f>
        <v>26.781999999999996</v>
      </c>
      <c r="AJ48" s="609">
        <f>INDEX(Weekly!I:I,MATCH(AH48,Weekly!E:E,0))</f>
        <v>2</v>
      </c>
      <c r="AK48" s="78">
        <f t="shared" si="9"/>
        <v>44</v>
      </c>
    </row>
    <row r="49" spans="1:37" ht="13.8" thickBot="1" x14ac:dyDescent="0.3">
      <c r="A49" s="634" t="str">
        <f>A47</f>
        <v>Dan Baxter</v>
      </c>
      <c r="B49" s="635" t="str">
        <f t="shared" si="3"/>
        <v>Newcastle</v>
      </c>
      <c r="C49" s="636" t="str">
        <f t="shared" si="4"/>
        <v>9/1</v>
      </c>
      <c r="D49" s="637">
        <f t="shared" si="5"/>
        <v>10</v>
      </c>
      <c r="E49" s="651" t="str">
        <f t="shared" si="6"/>
        <v>x</v>
      </c>
      <c r="F49" s="631"/>
      <c r="G49" s="644"/>
      <c r="H49" s="294"/>
      <c r="I49" s="506"/>
      <c r="J49" s="638" t="s">
        <v>444</v>
      </c>
      <c r="K49" s="267" t="str">
        <f>INDEX(Odds!F:F,MATCH(J49,Odds!E:E,0))</f>
        <v>9/1</v>
      </c>
      <c r="L49" s="639">
        <f>INDEX(Odds!G:G,MATCH(J49,Odds!E:E,0))</f>
        <v>10</v>
      </c>
      <c r="M49" s="624">
        <f>INDEX(Odds!H:H,MATCH(J49,Odds!E:E,0))</f>
        <v>0</v>
      </c>
      <c r="N49" s="640">
        <f t="shared" si="7"/>
        <v>0</v>
      </c>
      <c r="O49" s="641"/>
      <c r="P49" s="66"/>
      <c r="R49" s="42" t="str">
        <f>IF(Odds!E49="","",Odds!E49)</f>
        <v>Bournemouth draw</v>
      </c>
      <c r="S49" s="43" t="str">
        <f>INDEX(Odds!F:F,MATCH(R49,Odds!E:E,0))</f>
        <v>3/1</v>
      </c>
      <c r="T49" s="47">
        <f t="shared" si="10"/>
        <v>0</v>
      </c>
      <c r="AB49" s="100"/>
      <c r="AC49" s="80" t="s">
        <v>349</v>
      </c>
      <c r="AD49" s="81">
        <f>INDEX(Picks!F:F,MATCH(AC49,Picks!A:A,0))</f>
        <v>-7</v>
      </c>
      <c r="AE49" s="609">
        <f>INDEX(Weekly!I:I,MATCH(AC49,Weekly!E:E,0))</f>
        <v>0</v>
      </c>
      <c r="AF49" s="78">
        <f t="shared" si="8"/>
        <v>47</v>
      </c>
      <c r="AH49" s="78" t="s">
        <v>368</v>
      </c>
      <c r="AI49" s="81">
        <f>INDEX(Picks!G:G,MATCH(AH49,Picks!A:A,0))</f>
        <v>26.65</v>
      </c>
      <c r="AJ49" s="609">
        <f>INDEX(Weekly!I:I,MATCH(AH49,Weekly!E:E,0))</f>
        <v>3</v>
      </c>
      <c r="AK49" s="78">
        <f t="shared" si="9"/>
        <v>45</v>
      </c>
    </row>
    <row r="50" spans="1:37" ht="14.4" thickTop="1" thickBot="1" x14ac:dyDescent="0.3">
      <c r="A50" s="618" t="str">
        <f>Results!B50</f>
        <v>Dave Bell</v>
      </c>
      <c r="B50" s="642" t="str">
        <f t="shared" si="3"/>
        <v>Huddersfield</v>
      </c>
      <c r="C50" s="629" t="str">
        <f t="shared" si="4"/>
        <v>9/1</v>
      </c>
      <c r="D50" s="621">
        <f t="shared" si="5"/>
        <v>10</v>
      </c>
      <c r="E50" s="652" t="str">
        <f t="shared" si="6"/>
        <v>x</v>
      </c>
      <c r="F50" s="509">
        <f>IF(J50="",-10,INDEX(Results!T:T,MATCH(A50,Results!V:V,0)))</f>
        <v>-7</v>
      </c>
      <c r="G50" s="244">
        <f>IF(J50="","",INDEX(Results!AI:AI,MATCH(A50,Results!V:V,0)))</f>
        <v>1089.25</v>
      </c>
      <c r="H50" s="294">
        <f>IF(G50="",0,1)</f>
        <v>1</v>
      </c>
      <c r="I50" s="505">
        <f>INDEX(Picks!AF:AF,MATCH(A50,Picks!AC:AC,0))</f>
        <v>47</v>
      </c>
      <c r="J50" s="622" t="s">
        <v>593</v>
      </c>
      <c r="K50" s="261" t="str">
        <f>INDEX(Odds!F:F,MATCH(J50,Odds!E:E,0))</f>
        <v>9/1</v>
      </c>
      <c r="L50" s="623">
        <f>INDEX(Odds!G:G,MATCH(J50,Odds!E:E,0))</f>
        <v>10</v>
      </c>
      <c r="M50" s="643">
        <f>INDEX(Odds!H:H,MATCH(J50,Odds!E:E,0))</f>
        <v>0</v>
      </c>
      <c r="N50" s="625">
        <f t="shared" si="7"/>
        <v>0</v>
      </c>
      <c r="O50" s="626"/>
      <c r="P50" s="66"/>
      <c r="Q50" s="66" t="s">
        <v>210</v>
      </c>
      <c r="R50" s="42" t="str">
        <f>IF(Odds!E50="","",Odds!E50)</f>
        <v>Cardiff draw</v>
      </c>
      <c r="S50" s="43" t="str">
        <f>INDEX(Odds!F:F,MATCH(R50,Odds!E:E,0))</f>
        <v>9/4</v>
      </c>
      <c r="T50" s="47">
        <f t="shared" si="10"/>
        <v>0</v>
      </c>
      <c r="AB50" s="100"/>
      <c r="AC50" s="78" t="s">
        <v>451</v>
      </c>
      <c r="AD50" s="81">
        <f>INDEX(Picks!F:F,MATCH(AC50,Picks!A:A,0))</f>
        <v>-7</v>
      </c>
      <c r="AE50" s="609">
        <f>INDEX(Weekly!I:I,MATCH(AC50,Weekly!E:E,0))</f>
        <v>0</v>
      </c>
      <c r="AF50" s="78">
        <f t="shared" si="8"/>
        <v>47</v>
      </c>
      <c r="AH50" s="78" t="s">
        <v>339</v>
      </c>
      <c r="AI50" s="81">
        <f>INDEX(Picks!G:G,MATCH(AH50,Picks!A:A,0))</f>
        <v>25.969374999999999</v>
      </c>
      <c r="AJ50" s="609">
        <f>INDEX(Weekly!I:I,MATCH(AH50,Weekly!E:E,0))</f>
        <v>3</v>
      </c>
      <c r="AK50" s="78">
        <f t="shared" si="9"/>
        <v>46</v>
      </c>
    </row>
    <row r="51" spans="1:37" x14ac:dyDescent="0.25">
      <c r="A51" s="627" t="str">
        <f>A50</f>
        <v>Dave Bell</v>
      </c>
      <c r="B51" s="628" t="str">
        <f t="shared" si="3"/>
        <v>Watford</v>
      </c>
      <c r="C51" s="629" t="str">
        <f t="shared" si="4"/>
        <v>15/2</v>
      </c>
      <c r="D51" s="630">
        <f t="shared" si="5"/>
        <v>8.5</v>
      </c>
      <c r="E51" s="651" t="str">
        <f t="shared" si="6"/>
        <v>x</v>
      </c>
      <c r="F51" s="631"/>
      <c r="G51" s="644"/>
      <c r="H51" s="294"/>
      <c r="I51" s="506"/>
      <c r="J51" s="622" t="s">
        <v>21</v>
      </c>
      <c r="K51" s="265" t="str">
        <f>INDEX(Odds!F:F,MATCH(J51,Odds!E:E,0))</f>
        <v>15/2</v>
      </c>
      <c r="L51" s="633">
        <f>INDEX(Odds!G:G,MATCH(J51,Odds!E:E,0))</f>
        <v>8.5</v>
      </c>
      <c r="M51" s="624">
        <f>INDEX(Odds!H:H,MATCH(J51,Odds!E:E,0))</f>
        <v>0</v>
      </c>
      <c r="N51" s="625">
        <f t="shared" si="7"/>
        <v>0</v>
      </c>
      <c r="O51" s="626"/>
      <c r="P51" s="66"/>
      <c r="R51" s="42" t="str">
        <f>IF(Odds!E51="","",Odds!E51)</f>
        <v>Newcastle draw</v>
      </c>
      <c r="S51" s="43" t="str">
        <f>INDEX(Odds!F:F,MATCH(R51,Odds!E:E,0))</f>
        <v>4/1</v>
      </c>
      <c r="T51" s="47">
        <f t="shared" si="10"/>
        <v>0</v>
      </c>
      <c r="AB51" s="100"/>
      <c r="AC51" s="78" t="s">
        <v>353</v>
      </c>
      <c r="AD51" s="81">
        <f>INDEX(Picks!F:F,MATCH(AC51,Picks!A:A,0))</f>
        <v>-7</v>
      </c>
      <c r="AE51" s="609">
        <f>INDEX(Weekly!I:I,MATCH(AC51,Weekly!E:E,0))</f>
        <v>0</v>
      </c>
      <c r="AF51" s="78">
        <f t="shared" si="8"/>
        <v>47</v>
      </c>
      <c r="AH51" s="78" t="s">
        <v>361</v>
      </c>
      <c r="AI51" s="81">
        <f>INDEX(Picks!G:G,MATCH(AH51,Picks!A:A,0))</f>
        <v>25.969374999999999</v>
      </c>
      <c r="AJ51" s="609">
        <f>INDEX(Weekly!I:I,MATCH(AH51,Weekly!E:E,0))</f>
        <v>3</v>
      </c>
      <c r="AK51" s="78">
        <f t="shared" si="9"/>
        <v>46</v>
      </c>
    </row>
    <row r="52" spans="1:37" ht="13.8" thickBot="1" x14ac:dyDescent="0.3">
      <c r="A52" s="634" t="str">
        <f>A50</f>
        <v>Dave Bell</v>
      </c>
      <c r="B52" s="635" t="str">
        <f t="shared" si="3"/>
        <v>Brighton</v>
      </c>
      <c r="C52" s="636" t="str">
        <f t="shared" si="4"/>
        <v>17/2</v>
      </c>
      <c r="D52" s="637">
        <f t="shared" si="5"/>
        <v>9.5</v>
      </c>
      <c r="E52" s="651" t="str">
        <f t="shared" si="6"/>
        <v>x</v>
      </c>
      <c r="F52" s="631"/>
      <c r="G52" s="644"/>
      <c r="H52" s="294"/>
      <c r="I52" s="506"/>
      <c r="J52" s="638" t="s">
        <v>588</v>
      </c>
      <c r="K52" s="267" t="str">
        <f>INDEX(Odds!F:F,MATCH(J52,Odds!E:E,0))</f>
        <v>17/2</v>
      </c>
      <c r="L52" s="639">
        <f>INDEX(Odds!G:G,MATCH(J52,Odds!E:E,0))</f>
        <v>9.5</v>
      </c>
      <c r="M52" s="624">
        <f>INDEX(Odds!H:H,MATCH(J52,Odds!E:E,0))</f>
        <v>0</v>
      </c>
      <c r="N52" s="640">
        <f t="shared" si="7"/>
        <v>0</v>
      </c>
      <c r="O52" s="641"/>
      <c r="P52" s="66"/>
      <c r="R52" s="42" t="str">
        <f>IF(Odds!E52="","",Odds!E52)</f>
        <v>West Ham draw</v>
      </c>
      <c r="S52" s="43" t="str">
        <f>INDEX(Odds!F:F,MATCH(R52,Odds!E:E,0))</f>
        <v>5/2</v>
      </c>
      <c r="T52" s="47">
        <f t="shared" si="10"/>
        <v>0</v>
      </c>
      <c r="AB52" s="100"/>
      <c r="AC52" s="78" t="s">
        <v>340</v>
      </c>
      <c r="AD52" s="81">
        <f>INDEX(Picks!F:F,MATCH(AC52,Picks!A:A,0))</f>
        <v>-7</v>
      </c>
      <c r="AE52" s="609">
        <f>INDEX(Weekly!I:I,MATCH(AC52,Weekly!E:E,0))</f>
        <v>0</v>
      </c>
      <c r="AF52" s="78">
        <f t="shared" si="8"/>
        <v>47</v>
      </c>
      <c r="AH52" s="78" t="s">
        <v>458</v>
      </c>
      <c r="AI52" s="81">
        <f>INDEX(Picks!G:G,MATCH(AH52,Picks!A:A,0))</f>
        <v>25.799999999999997</v>
      </c>
      <c r="AJ52" s="609">
        <f>INDEX(Weekly!I:I,MATCH(AH52,Weekly!E:E,0))</f>
        <v>0</v>
      </c>
      <c r="AK52" s="78">
        <f t="shared" si="9"/>
        <v>48</v>
      </c>
    </row>
    <row r="53" spans="1:37" ht="14.4" thickTop="1" thickBot="1" x14ac:dyDescent="0.3">
      <c r="A53" s="618" t="str">
        <f>Results!B53</f>
        <v>Dave Orrell</v>
      </c>
      <c r="B53" s="642" t="str">
        <f t="shared" si="3"/>
        <v>Macclesfield</v>
      </c>
      <c r="C53" s="629" t="str">
        <f t="shared" si="4"/>
        <v>16/11</v>
      </c>
      <c r="D53" s="621">
        <f t="shared" si="5"/>
        <v>2.4545454545454546</v>
      </c>
      <c r="E53" s="652" t="str">
        <f t="shared" si="6"/>
        <v>x</v>
      </c>
      <c r="F53" s="509">
        <f>IF(J53="",-10,INDEX(Results!T:T,MATCH(A53,Results!V:V,0)))</f>
        <v>1.25</v>
      </c>
      <c r="G53" s="244">
        <f>IF(J53="","",INDEX(Results!AI:AI,MATCH(A53,Results!V:V,0)))</f>
        <v>23.954545454545457</v>
      </c>
      <c r="H53" s="294">
        <f>IF(G53="",0,1)</f>
        <v>1</v>
      </c>
      <c r="I53" s="505">
        <f>INDEX(Picks!AF:AF,MATCH(A53,Picks!AC:AC,0))</f>
        <v>20</v>
      </c>
      <c r="J53" s="622" t="s">
        <v>531</v>
      </c>
      <c r="K53" s="261" t="str">
        <f>INDEX(Odds!F:F,MATCH(J53,Odds!E:E,0))</f>
        <v>16/11</v>
      </c>
      <c r="L53" s="623">
        <f>INDEX(Odds!G:G,MATCH(J53,Odds!E:E,0))</f>
        <v>2.4545454545454546</v>
      </c>
      <c r="M53" s="643">
        <f>INDEX(Odds!H:H,MATCH(J53,Odds!E:E,0))</f>
        <v>0</v>
      </c>
      <c r="N53" s="625">
        <f t="shared" si="7"/>
        <v>0</v>
      </c>
      <c r="O53" s="626"/>
      <c r="P53" s="66"/>
      <c r="R53" s="42" t="str">
        <f>IF(Odds!E53="","",Odds!E53)</f>
        <v>Wolves draw</v>
      </c>
      <c r="S53" s="43" t="str">
        <f>INDEX(Odds!F:F,MATCH(R53,Odds!E:E,0))</f>
        <v>16/5</v>
      </c>
      <c r="T53" s="47">
        <f t="shared" si="10"/>
        <v>0</v>
      </c>
      <c r="AB53" s="100"/>
      <c r="AC53" s="78" t="s">
        <v>465</v>
      </c>
      <c r="AD53" s="81">
        <f>INDEX(Picks!F:F,MATCH(AC53,Picks!A:A,0))</f>
        <v>-7</v>
      </c>
      <c r="AE53" s="609">
        <f>INDEX(Weekly!I:I,MATCH(AC53,Weekly!E:E,0))</f>
        <v>0</v>
      </c>
      <c r="AF53" s="78">
        <f t="shared" si="8"/>
        <v>47</v>
      </c>
      <c r="AH53" s="78" t="s">
        <v>452</v>
      </c>
      <c r="AI53" s="81">
        <f>INDEX(Picks!G:G,MATCH(AH53,Picks!A:A,0))</f>
        <v>23.954545454545457</v>
      </c>
      <c r="AJ53" s="609">
        <f>INDEX(Weekly!I:I,MATCH(AH53,Weekly!E:E,0))</f>
        <v>2</v>
      </c>
      <c r="AK53" s="78">
        <f t="shared" si="9"/>
        <v>49</v>
      </c>
    </row>
    <row r="54" spans="1:37" x14ac:dyDescent="0.25">
      <c r="A54" s="627" t="str">
        <f>A53</f>
        <v>Dave Orrell</v>
      </c>
      <c r="B54" s="628" t="str">
        <f t="shared" si="3"/>
        <v>Derby</v>
      </c>
      <c r="C54" s="629" t="str">
        <f t="shared" si="4"/>
        <v>5/4</v>
      </c>
      <c r="D54" s="630">
        <f t="shared" si="5"/>
        <v>2.25</v>
      </c>
      <c r="E54" s="651" t="str">
        <f t="shared" si="6"/>
        <v>√</v>
      </c>
      <c r="F54" s="631"/>
      <c r="G54" s="644"/>
      <c r="H54" s="294"/>
      <c r="I54" s="506"/>
      <c r="J54" s="622" t="s">
        <v>595</v>
      </c>
      <c r="K54" s="265" t="str">
        <f>INDEX(Odds!F:F,MATCH(J54,Odds!E:E,0))</f>
        <v>5/4</v>
      </c>
      <c r="L54" s="633">
        <f>INDEX(Odds!G:G,MATCH(J54,Odds!E:E,0))</f>
        <v>2.25</v>
      </c>
      <c r="M54" s="624">
        <f>INDEX(Odds!H:H,MATCH(J54,Odds!E:E,0))</f>
        <v>1</v>
      </c>
      <c r="N54" s="625">
        <f t="shared" si="7"/>
        <v>2.25</v>
      </c>
      <c r="O54" s="626"/>
      <c r="P54" s="66"/>
      <c r="R54" s="42" t="str">
        <f>IF(Odds!E54="","",Odds!E54)</f>
        <v>Blackpool draw</v>
      </c>
      <c r="S54" s="43" t="str">
        <f>INDEX(Odds!F:F,MATCH(R54,Odds!E:E,0))</f>
        <v>23/10</v>
      </c>
      <c r="T54" s="47">
        <f t="shared" si="10"/>
        <v>0</v>
      </c>
      <c r="AB54" s="100"/>
      <c r="AC54" s="78" t="s">
        <v>392</v>
      </c>
      <c r="AD54" s="81">
        <f>INDEX(Picks!F:F,MATCH(AC54,Picks!A:A,0))</f>
        <v>-7</v>
      </c>
      <c r="AE54" s="609">
        <f>INDEX(Weekly!I:I,MATCH(AC54,Weekly!E:E,0))</f>
        <v>0</v>
      </c>
      <c r="AF54" s="78">
        <f t="shared" si="8"/>
        <v>47</v>
      </c>
      <c r="AH54" s="78" t="s">
        <v>455</v>
      </c>
      <c r="AI54" s="81">
        <f>INDEX(Picks!G:G,MATCH(AH54,Picks!A:A,0))</f>
        <v>21.924999999999997</v>
      </c>
      <c r="AJ54" s="609">
        <f>INDEX(Weekly!I:I,MATCH(AH54,Weekly!E:E,0))</f>
        <v>2</v>
      </c>
      <c r="AK54" s="78">
        <f t="shared" si="9"/>
        <v>50</v>
      </c>
    </row>
    <row r="55" spans="1:37" ht="13.8" thickBot="1" x14ac:dyDescent="0.3">
      <c r="A55" s="634" t="str">
        <f>A53</f>
        <v>Dave Orrell</v>
      </c>
      <c r="B55" s="635" t="str">
        <f t="shared" si="3"/>
        <v>Middlesbro</v>
      </c>
      <c r="C55" s="636" t="str">
        <f t="shared" si="4"/>
        <v>11/13</v>
      </c>
      <c r="D55" s="637">
        <f t="shared" si="5"/>
        <v>1.8461538461538463</v>
      </c>
      <c r="E55" s="651" t="str">
        <f t="shared" si="6"/>
        <v>√</v>
      </c>
      <c r="F55" s="631"/>
      <c r="G55" s="644"/>
      <c r="H55" s="294"/>
      <c r="I55" s="506"/>
      <c r="J55" s="638" t="s">
        <v>34</v>
      </c>
      <c r="K55" s="267" t="str">
        <f>INDEX(Odds!F:F,MATCH(J55,Odds!E:E,0))</f>
        <v>11/13</v>
      </c>
      <c r="L55" s="639">
        <f>INDEX(Odds!G:G,MATCH(J55,Odds!E:E,0))</f>
        <v>1.8461538461538463</v>
      </c>
      <c r="M55" s="624">
        <f>INDEX(Odds!H:H,MATCH(J55,Odds!E:E,0))</f>
        <v>1</v>
      </c>
      <c r="N55" s="640">
        <f t="shared" si="7"/>
        <v>1.8461538461538463</v>
      </c>
      <c r="O55" s="641"/>
      <c r="P55" s="66"/>
      <c r="R55" s="42" t="str">
        <f>IF(Odds!E55="","",Odds!E55)</f>
        <v>Bradford draw</v>
      </c>
      <c r="S55" s="43" t="str">
        <f>INDEX(Odds!F:F,MATCH(R55,Odds!E:E,0))</f>
        <v>12/5</v>
      </c>
      <c r="T55" s="47">
        <f t="shared" si="10"/>
        <v>1</v>
      </c>
      <c r="AB55" s="100"/>
      <c r="AC55" s="80" t="s">
        <v>334</v>
      </c>
      <c r="AD55" s="81">
        <f>INDEX(Picks!F:F,MATCH(AC55,Picks!A:A,0))</f>
        <v>-7</v>
      </c>
      <c r="AE55" s="609">
        <f>INDEX(Weekly!I:I,MATCH(AC55,Weekly!E:E,0))</f>
        <v>0</v>
      </c>
      <c r="AF55" s="78">
        <f t="shared" si="8"/>
        <v>47</v>
      </c>
      <c r="AH55" s="78" t="s">
        <v>390</v>
      </c>
      <c r="AI55" s="81">
        <f>INDEX(Picks!G:G,MATCH(AH55,Picks!A:A,0))</f>
        <v>19</v>
      </c>
      <c r="AJ55" s="609">
        <f>INDEX(Weekly!I:I,MATCH(AH55,Weekly!E:E,0))</f>
        <v>3</v>
      </c>
      <c r="AK55" s="78">
        <f t="shared" si="9"/>
        <v>51</v>
      </c>
    </row>
    <row r="56" spans="1:37" ht="14.4" thickTop="1" thickBot="1" x14ac:dyDescent="0.3">
      <c r="A56" s="618" t="str">
        <f>Results!B56</f>
        <v>David Dunn</v>
      </c>
      <c r="B56" s="642" t="str">
        <f t="shared" si="3"/>
        <v>Cardiff</v>
      </c>
      <c r="C56" s="629" t="str">
        <f t="shared" si="4"/>
        <v>9/5</v>
      </c>
      <c r="D56" s="621">
        <f t="shared" si="5"/>
        <v>2.8</v>
      </c>
      <c r="E56" s="652" t="str">
        <f t="shared" si="6"/>
        <v>x</v>
      </c>
      <c r="F56" s="509">
        <f>IF(J56="",-10,INDEX(Results!T:T,MATCH(A56,Results!V:V,0)))</f>
        <v>-0.125</v>
      </c>
      <c r="G56" s="244">
        <f>IF(J56="","",INDEX(Results!AI:AI,MATCH(A56,Results!V:V,0)))</f>
        <v>21.924999999999997</v>
      </c>
      <c r="H56" s="294">
        <f>IF(G56="",0,1)</f>
        <v>1</v>
      </c>
      <c r="I56" s="505">
        <f>INDEX(Picks!AF:AF,MATCH(A56,Picks!AC:AC,0))</f>
        <v>24</v>
      </c>
      <c r="J56" s="622" t="s">
        <v>619</v>
      </c>
      <c r="K56" s="261" t="str">
        <f>INDEX(Odds!F:F,MATCH(J56,Odds!E:E,0))</f>
        <v>9/5</v>
      </c>
      <c r="L56" s="623">
        <f>INDEX(Odds!G:G,MATCH(J56,Odds!E:E,0))</f>
        <v>2.8</v>
      </c>
      <c r="M56" s="643">
        <f>INDEX(Odds!H:H,MATCH(J56,Odds!E:E,0))</f>
        <v>0</v>
      </c>
      <c r="N56" s="625">
        <f t="shared" si="7"/>
        <v>0</v>
      </c>
      <c r="O56" s="626"/>
      <c r="P56" s="66"/>
      <c r="R56" s="42" t="str">
        <f>IF(Odds!E56="","",Odds!E56)</f>
        <v>Bristol R draw</v>
      </c>
      <c r="S56" s="43" t="str">
        <f>INDEX(Odds!F:F,MATCH(R56,Odds!E:E,0))</f>
        <v>29/10</v>
      </c>
      <c r="T56" s="47">
        <f t="shared" si="10"/>
        <v>0</v>
      </c>
      <c r="AB56" s="100"/>
      <c r="AC56" s="78" t="s">
        <v>342</v>
      </c>
      <c r="AD56" s="81">
        <f>INDEX(Picks!F:F,MATCH(AC56,Picks!A:A,0))</f>
        <v>-7</v>
      </c>
      <c r="AE56" s="609">
        <f>INDEX(Weekly!I:I,MATCH(AC56,Weekly!E:E,0))</f>
        <v>0</v>
      </c>
      <c r="AF56" s="78">
        <f t="shared" si="8"/>
        <v>47</v>
      </c>
      <c r="AH56" s="78" t="s">
        <v>325</v>
      </c>
      <c r="AI56" s="81">
        <f>INDEX(Picks!G:G,MATCH(AH56,Picks!A:A,0))</f>
        <v>18.840000000000003</v>
      </c>
      <c r="AJ56" s="609">
        <f>INDEX(Weekly!I:I,MATCH(AH56,Weekly!E:E,0))</f>
        <v>0</v>
      </c>
      <c r="AK56" s="78">
        <f t="shared" si="9"/>
        <v>52</v>
      </c>
    </row>
    <row r="57" spans="1:37" x14ac:dyDescent="0.25">
      <c r="A57" s="627" t="str">
        <f>A56</f>
        <v>David Dunn</v>
      </c>
      <c r="B57" s="628" t="str">
        <f t="shared" si="3"/>
        <v>Liverpool</v>
      </c>
      <c r="C57" s="629" t="str">
        <f t="shared" si="4"/>
        <v>1/3</v>
      </c>
      <c r="D57" s="630">
        <f t="shared" si="5"/>
        <v>1.3333333333333333</v>
      </c>
      <c r="E57" s="651" t="str">
        <f t="shared" si="6"/>
        <v>√</v>
      </c>
      <c r="F57" s="631"/>
      <c r="G57" s="644"/>
      <c r="H57" s="294"/>
      <c r="I57" s="506"/>
      <c r="J57" s="622" t="s">
        <v>443</v>
      </c>
      <c r="K57" s="265" t="str">
        <f>INDEX(Odds!F:F,MATCH(J57,Odds!E:E,0))</f>
        <v>1/3</v>
      </c>
      <c r="L57" s="633">
        <f>INDEX(Odds!G:G,MATCH(J57,Odds!E:E,0))</f>
        <v>1.3333333333333333</v>
      </c>
      <c r="M57" s="624">
        <f>INDEX(Odds!H:H,MATCH(J57,Odds!E:E,0))</f>
        <v>1</v>
      </c>
      <c r="N57" s="625">
        <f t="shared" si="7"/>
        <v>1.3333333333333333</v>
      </c>
      <c r="O57" s="626"/>
      <c r="P57" s="66"/>
      <c r="R57" s="42" t="str">
        <f>IF(Odds!E57="","",Odds!E57)</f>
        <v>Charlton draw</v>
      </c>
      <c r="S57" s="43" t="str">
        <f>INDEX(Odds!F:F,MATCH(R57,Odds!E:E,0))</f>
        <v>27/10</v>
      </c>
      <c r="T57" s="47">
        <f t="shared" si="10"/>
        <v>0</v>
      </c>
      <c r="AB57" s="100"/>
      <c r="AC57" s="78" t="s">
        <v>325</v>
      </c>
      <c r="AD57" s="81">
        <f>INDEX(Picks!F:F,MATCH(AC57,Picks!A:A,0))</f>
        <v>-7</v>
      </c>
      <c r="AE57" s="609">
        <f>INDEX(Weekly!I:I,MATCH(AC57,Weekly!E:E,0))</f>
        <v>0</v>
      </c>
      <c r="AF57" s="78">
        <f t="shared" si="8"/>
        <v>47</v>
      </c>
      <c r="AH57" s="78" t="s">
        <v>324</v>
      </c>
      <c r="AI57" s="81">
        <f>INDEX(Picks!G:G,MATCH(AH57,Picks!A:A,0))</f>
        <v>17.740000000000002</v>
      </c>
      <c r="AJ57" s="609">
        <f>INDEX(Weekly!I:I,MATCH(AH57,Weekly!E:E,0))</f>
        <v>2</v>
      </c>
      <c r="AK57" s="78">
        <f t="shared" si="9"/>
        <v>53</v>
      </c>
    </row>
    <row r="58" spans="1:37" ht="13.8" thickBot="1" x14ac:dyDescent="0.3">
      <c r="A58" s="634" t="str">
        <f>A56</f>
        <v>David Dunn</v>
      </c>
      <c r="B58" s="635" t="str">
        <f t="shared" si="3"/>
        <v>West Ham</v>
      </c>
      <c r="C58" s="636" t="str">
        <f t="shared" si="4"/>
        <v>11/8</v>
      </c>
      <c r="D58" s="637">
        <f t="shared" si="5"/>
        <v>2.375</v>
      </c>
      <c r="E58" s="651" t="str">
        <f t="shared" si="6"/>
        <v>√</v>
      </c>
      <c r="F58" s="631"/>
      <c r="G58" s="644"/>
      <c r="H58" s="294"/>
      <c r="I58" s="506"/>
      <c r="J58" s="638" t="s">
        <v>622</v>
      </c>
      <c r="K58" s="267" t="str">
        <f>INDEX(Odds!F:F,MATCH(J58,Odds!E:E,0))</f>
        <v>11/8</v>
      </c>
      <c r="L58" s="639">
        <f>INDEX(Odds!G:G,MATCH(J58,Odds!E:E,0))</f>
        <v>2.375</v>
      </c>
      <c r="M58" s="624">
        <f>INDEX(Odds!H:H,MATCH(J58,Odds!E:E,0))</f>
        <v>1</v>
      </c>
      <c r="N58" s="640">
        <f t="shared" si="7"/>
        <v>2.375</v>
      </c>
      <c r="O58" s="641"/>
      <c r="P58" s="66"/>
      <c r="R58" s="42" t="str">
        <f>IF(Odds!E58="","",Odds!E58)</f>
        <v>Doncaster draw</v>
      </c>
      <c r="S58" s="43" t="str">
        <f>INDEX(Odds!F:F,MATCH(R58,Odds!E:E,0))</f>
        <v>12/5</v>
      </c>
      <c r="T58" s="47">
        <f t="shared" si="10"/>
        <v>0</v>
      </c>
      <c r="AB58" s="100"/>
      <c r="AC58" s="78" t="s">
        <v>458</v>
      </c>
      <c r="AD58" s="81">
        <f>INDEX(Picks!F:F,MATCH(AC58,Picks!A:A,0))</f>
        <v>-7</v>
      </c>
      <c r="AE58" s="609">
        <f>INDEX(Weekly!I:I,MATCH(AC58,Weekly!E:E,0))</f>
        <v>0</v>
      </c>
      <c r="AF58" s="78">
        <f t="shared" si="8"/>
        <v>47</v>
      </c>
      <c r="AH58" s="78" t="s">
        <v>336</v>
      </c>
      <c r="AI58" s="81">
        <f>INDEX(Picks!G:G,MATCH(AH58,Picks!A:A,0))</f>
        <v>16.263461538461542</v>
      </c>
      <c r="AJ58" s="609">
        <f>INDEX(Weekly!I:I,MATCH(AH58,Weekly!E:E,0))</f>
        <v>2</v>
      </c>
      <c r="AK58" s="78">
        <f t="shared" si="9"/>
        <v>54</v>
      </c>
    </row>
    <row r="59" spans="1:37" ht="14.4" thickTop="1" thickBot="1" x14ac:dyDescent="0.3">
      <c r="A59" s="618" t="str">
        <f>Results!B59</f>
        <v>Gareth Fallows</v>
      </c>
      <c r="B59" s="642" t="str">
        <f t="shared" si="3"/>
        <v>MK Dons</v>
      </c>
      <c r="C59" s="629" t="str">
        <f t="shared" si="4"/>
        <v>6/5</v>
      </c>
      <c r="D59" s="621">
        <f t="shared" si="5"/>
        <v>2.2000000000000002</v>
      </c>
      <c r="E59" s="652" t="str">
        <f t="shared" si="6"/>
        <v>√</v>
      </c>
      <c r="F59" s="509">
        <f>IF(J59="",-10,INDEX(Results!T:T,MATCH(A59,Results!V:V,0)))</f>
        <v>-4.8</v>
      </c>
      <c r="G59" s="244">
        <f>IF(J59="","",INDEX(Results!AI:AI,MATCH(A59,Results!V:V,0)))</f>
        <v>27.927272727272729</v>
      </c>
      <c r="H59" s="294">
        <f>IF(G59="",0,1)</f>
        <v>1</v>
      </c>
      <c r="I59" s="505">
        <f>INDEX(Picks!AF:AF,MATCH(A59,Picks!AC:AC,0))</f>
        <v>42</v>
      </c>
      <c r="J59" s="622" t="s">
        <v>559</v>
      </c>
      <c r="K59" s="261" t="str">
        <f>INDEX(Odds!F:F,MATCH(J59,Odds!E:E,0))</f>
        <v>6/5</v>
      </c>
      <c r="L59" s="623">
        <f>INDEX(Odds!G:G,MATCH(J59,Odds!E:E,0))</f>
        <v>2.2000000000000002</v>
      </c>
      <c r="M59" s="643">
        <f>INDEX(Odds!H:H,MATCH(J59,Odds!E:E,0))</f>
        <v>1</v>
      </c>
      <c r="N59" s="625">
        <f t="shared" si="7"/>
        <v>2.2000000000000002</v>
      </c>
      <c r="O59" s="626"/>
      <c r="P59" s="66"/>
      <c r="R59" s="42" t="str">
        <f>IF(Odds!E59="","",Odds!E59)</f>
        <v>Luton draw</v>
      </c>
      <c r="S59" s="43" t="str">
        <f>INDEX(Odds!F:F,MATCH(R59,Odds!E:E,0))</f>
        <v>4/1</v>
      </c>
      <c r="T59" s="47">
        <f t="shared" si="10"/>
        <v>0</v>
      </c>
      <c r="AB59" s="100"/>
      <c r="AC59" s="78" t="s">
        <v>322</v>
      </c>
      <c r="AD59" s="81">
        <f>INDEX(Picks!F:F,MATCH(AC59,Picks!A:A,0))</f>
        <v>-7</v>
      </c>
      <c r="AE59" s="609">
        <f>INDEX(Weekly!I:I,MATCH(AC59,Weekly!E:E,0))</f>
        <v>0</v>
      </c>
      <c r="AF59" s="78">
        <f t="shared" si="8"/>
        <v>47</v>
      </c>
      <c r="AH59" s="78" t="s">
        <v>338</v>
      </c>
      <c r="AI59" s="81">
        <f>INDEX(Picks!G:G,MATCH(AH59,Picks!A:A,0))</f>
        <v>16.040500000000002</v>
      </c>
      <c r="AJ59" s="609">
        <f>INDEX(Weekly!I:I,MATCH(AH59,Weekly!E:E,0))</f>
        <v>2</v>
      </c>
      <c r="AK59" s="78">
        <f t="shared" si="9"/>
        <v>55</v>
      </c>
    </row>
    <row r="60" spans="1:37" x14ac:dyDescent="0.25">
      <c r="A60" s="627" t="str">
        <f>A59</f>
        <v>Gareth Fallows</v>
      </c>
      <c r="B60" s="628" t="str">
        <f>IF(J60="","",J60)</f>
        <v>Macclesfield</v>
      </c>
      <c r="C60" s="629" t="str">
        <f t="shared" si="4"/>
        <v>16/11</v>
      </c>
      <c r="D60" s="630">
        <f t="shared" si="5"/>
        <v>2.4545454545454546</v>
      </c>
      <c r="E60" s="651" t="str">
        <f t="shared" si="6"/>
        <v>x</v>
      </c>
      <c r="F60" s="631"/>
      <c r="G60" s="644"/>
      <c r="H60" s="294"/>
      <c r="I60" s="506"/>
      <c r="J60" s="622" t="s">
        <v>531</v>
      </c>
      <c r="K60" s="265" t="str">
        <f>INDEX(Odds!F:F,MATCH(J60,Odds!E:E,0))</f>
        <v>16/11</v>
      </c>
      <c r="L60" s="633">
        <f>INDEX(Odds!G:G,MATCH(J60,Odds!E:E,0))</f>
        <v>2.4545454545454546</v>
      </c>
      <c r="M60" s="624">
        <f>INDEX(Odds!H:H,MATCH(J60,Odds!E:E,0))</f>
        <v>0</v>
      </c>
      <c r="N60" s="625">
        <f t="shared" si="7"/>
        <v>0</v>
      </c>
      <c r="O60" s="626"/>
      <c r="P60" s="66"/>
      <c r="R60" s="42" t="str">
        <f>IF(Odds!E60="","",Odds!E60)</f>
        <v>Peterborough draw</v>
      </c>
      <c r="S60" s="43" t="str">
        <f>INDEX(Odds!F:F,MATCH(R60,Odds!E:E,0))</f>
        <v>5/2</v>
      </c>
      <c r="T60" s="47">
        <f t="shared" si="10"/>
        <v>0</v>
      </c>
      <c r="AB60" s="100"/>
      <c r="AC60" s="78" t="s">
        <v>321</v>
      </c>
      <c r="AD60" s="81">
        <f>INDEX(Picks!F:F,MATCH(AC60,Picks!A:A,0))</f>
        <v>-7</v>
      </c>
      <c r="AE60" s="609">
        <f>INDEX(Weekly!I:I,MATCH(AC60,Weekly!E:E,0))</f>
        <v>0</v>
      </c>
      <c r="AF60" s="78">
        <f t="shared" si="8"/>
        <v>47</v>
      </c>
      <c r="AH60" s="78" t="s">
        <v>351</v>
      </c>
      <c r="AI60" s="81">
        <f>INDEX(Picks!G:G,MATCH(AH60,Picks!A:A,0))</f>
        <v>14.440828402366861</v>
      </c>
      <c r="AJ60" s="609">
        <f>INDEX(Weekly!I:I,MATCH(AH60,Weekly!E:E,0))</f>
        <v>1</v>
      </c>
      <c r="AK60" s="78">
        <f t="shared" si="9"/>
        <v>56</v>
      </c>
    </row>
    <row r="61" spans="1:37" ht="13.8" thickBot="1" x14ac:dyDescent="0.3">
      <c r="A61" s="634" t="str">
        <f>A59</f>
        <v>Gareth Fallows</v>
      </c>
      <c r="B61" s="635" t="str">
        <f t="shared" ref="B61:B109" si="11">IF(J61="","",J61)</f>
        <v>Lincoln</v>
      </c>
      <c r="C61" s="636" t="str">
        <f t="shared" ref="C61:C109" si="12">IF(J61="","",K61)</f>
        <v>5/4</v>
      </c>
      <c r="D61" s="637">
        <f t="shared" ref="D61:D109" si="13">IF(J61="","",L61)</f>
        <v>2.25</v>
      </c>
      <c r="E61" s="651" t="str">
        <f t="shared" si="6"/>
        <v>x</v>
      </c>
      <c r="F61" s="631"/>
      <c r="G61" s="644"/>
      <c r="H61" s="294"/>
      <c r="I61" s="506"/>
      <c r="J61" s="638" t="s">
        <v>582</v>
      </c>
      <c r="K61" s="267" t="str">
        <f>INDEX(Odds!F:F,MATCH(J61,Odds!E:E,0))</f>
        <v>5/4</v>
      </c>
      <c r="L61" s="639">
        <f>INDEX(Odds!G:G,MATCH(J61,Odds!E:E,0))</f>
        <v>2.25</v>
      </c>
      <c r="M61" s="624">
        <f>INDEX(Odds!H:H,MATCH(J61,Odds!E:E,0))</f>
        <v>0</v>
      </c>
      <c r="N61" s="640">
        <f t="shared" si="7"/>
        <v>0</v>
      </c>
      <c r="O61" s="641"/>
      <c r="P61" s="66"/>
      <c r="R61" s="42" t="str">
        <f>IF(Odds!E61="","",Odds!E61)</f>
        <v>Plymouth draw</v>
      </c>
      <c r="S61" s="43" t="str">
        <f>INDEX(Odds!F:F,MATCH(R61,Odds!E:E,0))</f>
        <v>12/5</v>
      </c>
      <c r="T61" s="47">
        <f t="shared" si="10"/>
        <v>0</v>
      </c>
      <c r="AB61" s="100"/>
      <c r="AC61" s="80" t="s">
        <v>358</v>
      </c>
      <c r="AD61" s="81">
        <f>INDEX(Picks!F:F,MATCH(AC61,Picks!A:A,0))</f>
        <v>-7</v>
      </c>
      <c r="AE61" s="609">
        <f>INDEX(Weekly!I:I,MATCH(AC61,Weekly!E:E,0))</f>
        <v>0</v>
      </c>
      <c r="AF61" s="78">
        <f t="shared" si="8"/>
        <v>47</v>
      </c>
      <c r="AH61" s="78" t="s">
        <v>457</v>
      </c>
      <c r="AI61" s="81">
        <f>INDEX(Picks!G:G,MATCH(AH61,Picks!A:A,0))</f>
        <v>13.847222222222221</v>
      </c>
      <c r="AJ61" s="609">
        <f>INDEX(Weekly!I:I,MATCH(AH61,Weekly!E:E,0))</f>
        <v>2</v>
      </c>
      <c r="AK61" s="78">
        <f t="shared" si="9"/>
        <v>57</v>
      </c>
    </row>
    <row r="62" spans="1:37" ht="14.4" thickTop="1" thickBot="1" x14ac:dyDescent="0.3">
      <c r="A62" s="618" t="str">
        <f>Results!B62</f>
        <v>Gareth Powell</v>
      </c>
      <c r="B62" s="642" t="str">
        <f t="shared" si="11"/>
        <v>Man U</v>
      </c>
      <c r="C62" s="629" t="str">
        <f t="shared" si="12"/>
        <v>3/10</v>
      </c>
      <c r="D62" s="621">
        <f t="shared" si="13"/>
        <v>1.3</v>
      </c>
      <c r="E62" s="652" t="str">
        <f t="shared" si="6"/>
        <v>x</v>
      </c>
      <c r="F62" s="509">
        <f>IF(J62="",-10,INDEX(Results!T:T,MATCH(A62,Results!V:V,0)))</f>
        <v>-1.8888888888888893</v>
      </c>
      <c r="G62" s="244">
        <f>IF(J62="","",INDEX(Results!AI:AI,MATCH(A62,Results!V:V,0)))</f>
        <v>6.0555555555555536</v>
      </c>
      <c r="H62" s="294">
        <f>IF(G62="",0,1)</f>
        <v>1</v>
      </c>
      <c r="I62" s="505">
        <f>INDEX(Picks!AF:AF,MATCH(A62,Picks!AC:AC,0))</f>
        <v>28</v>
      </c>
      <c r="J62" s="622" t="s">
        <v>621</v>
      </c>
      <c r="K62" s="261" t="str">
        <f>INDEX(Odds!F:F,MATCH(J62,Odds!E:E,0))</f>
        <v>3/10</v>
      </c>
      <c r="L62" s="623">
        <f>INDEX(Odds!G:G,MATCH(J62,Odds!E:E,0))</f>
        <v>1.3</v>
      </c>
      <c r="M62" s="643">
        <f>INDEX(Odds!H:H,MATCH(J62,Odds!E:E,0))</f>
        <v>0</v>
      </c>
      <c r="N62" s="625">
        <f t="shared" ref="N62:N97" si="14">L62*M62</f>
        <v>0</v>
      </c>
      <c r="O62" s="626"/>
      <c r="P62" s="66"/>
      <c r="R62" s="42" t="str">
        <f>IF(Odds!E62="","",Odds!E62)</f>
        <v>Portsmouth draw</v>
      </c>
      <c r="S62" s="43" t="str">
        <f>INDEX(Odds!F:F,MATCH(R62,Odds!E:E,0))</f>
        <v>4/1</v>
      </c>
      <c r="T62" s="47">
        <f t="shared" si="10"/>
        <v>1</v>
      </c>
      <c r="AB62" s="100"/>
      <c r="AC62" s="78" t="s">
        <v>355</v>
      </c>
      <c r="AD62" s="81">
        <f>INDEX(Picks!F:F,MATCH(AC62,Picks!A:A,0))</f>
        <v>-7</v>
      </c>
      <c r="AE62" s="609">
        <f>INDEX(Weekly!I:I,MATCH(AC62,Weekly!E:E,0))</f>
        <v>0</v>
      </c>
      <c r="AF62" s="78">
        <f t="shared" si="8"/>
        <v>47</v>
      </c>
      <c r="AH62" s="78" t="s">
        <v>365</v>
      </c>
      <c r="AI62" s="81">
        <f>INDEX(Picks!G:G,MATCH(AH62,Picks!A:A,0))</f>
        <v>9.4777777777777779</v>
      </c>
      <c r="AJ62" s="609">
        <f>INDEX(Weekly!I:I,MATCH(AH62,Weekly!E:E,0))</f>
        <v>2</v>
      </c>
      <c r="AK62" s="78">
        <f t="shared" si="9"/>
        <v>58</v>
      </c>
    </row>
    <row r="63" spans="1:37" x14ac:dyDescent="0.25">
      <c r="A63" s="627" t="str">
        <f>A62</f>
        <v>Gareth Powell</v>
      </c>
      <c r="B63" s="628" t="str">
        <f>IF(J63="","",J63)</f>
        <v>Chelsea</v>
      </c>
      <c r="C63" s="629" t="str">
        <f>IF(J63="","",K63)</f>
        <v>4/9</v>
      </c>
      <c r="D63" s="630">
        <f>IF(J63="","",L63)</f>
        <v>1.4444444444444444</v>
      </c>
      <c r="E63" s="651" t="str">
        <f>IF(J63="","",IF(M63=1,"√","x"))</f>
        <v>√</v>
      </c>
      <c r="F63" s="631"/>
      <c r="G63" s="644"/>
      <c r="H63" s="294"/>
      <c r="I63" s="506"/>
      <c r="J63" s="622" t="s">
        <v>625</v>
      </c>
      <c r="K63" s="265" t="str">
        <f>INDEX(Odds!F:F,MATCH(J63,Odds!E:E,0))</f>
        <v>4/9</v>
      </c>
      <c r="L63" s="633">
        <f>INDEX(Odds!G:G,MATCH(J63,Odds!E:E,0))</f>
        <v>1.4444444444444444</v>
      </c>
      <c r="M63" s="624">
        <f>INDEX(Odds!H:H,MATCH(J63,Odds!E:E,0))</f>
        <v>1</v>
      </c>
      <c r="N63" s="625">
        <f t="shared" si="14"/>
        <v>1.4444444444444444</v>
      </c>
      <c r="O63" s="626"/>
      <c r="P63" s="66"/>
      <c r="R63" s="42" t="str">
        <f>IF(Odds!E63="","",Odds!E63)</f>
        <v>Shrewsbury draw</v>
      </c>
      <c r="S63" s="43" t="str">
        <f>INDEX(Odds!F:F,MATCH(R63,Odds!E:E,0))</f>
        <v>23/10</v>
      </c>
      <c r="T63" s="47">
        <f t="shared" si="10"/>
        <v>1</v>
      </c>
      <c r="AB63" s="100"/>
      <c r="AC63" s="78" t="s">
        <v>344</v>
      </c>
      <c r="AD63" s="81">
        <f>INDEX(Picks!F:F,MATCH(AC63,Picks!A:A,0))</f>
        <v>-7</v>
      </c>
      <c r="AE63" s="609">
        <f>INDEX(Weekly!I:I,MATCH(AC63,Weekly!E:E,0))</f>
        <v>0</v>
      </c>
      <c r="AF63" s="78">
        <f t="shared" si="8"/>
        <v>47</v>
      </c>
      <c r="AH63" s="78" t="s">
        <v>320</v>
      </c>
      <c r="AI63" s="81">
        <f>INDEX(Picks!G:G,MATCH(AH63,Picks!A:A,0))</f>
        <v>9.0257500000000022</v>
      </c>
      <c r="AJ63" s="609">
        <f>INDEX(Weekly!I:I,MATCH(AH63,Weekly!E:E,0))</f>
        <v>2</v>
      </c>
      <c r="AK63" s="78">
        <f t="shared" si="9"/>
        <v>59</v>
      </c>
    </row>
    <row r="64" spans="1:37" ht="13.8" thickBot="1" x14ac:dyDescent="0.3">
      <c r="A64" s="634" t="str">
        <f>A62</f>
        <v>Gareth Powell</v>
      </c>
      <c r="B64" s="635" t="str">
        <f t="shared" si="11"/>
        <v>Wolves</v>
      </c>
      <c r="C64" s="636" t="str">
        <f t="shared" si="12"/>
        <v>1/2</v>
      </c>
      <c r="D64" s="637">
        <f t="shared" si="13"/>
        <v>1.5</v>
      </c>
      <c r="E64" s="651" t="str">
        <f t="shared" si="6"/>
        <v>√</v>
      </c>
      <c r="F64" s="631"/>
      <c r="G64" s="644"/>
      <c r="H64" s="294"/>
      <c r="I64" s="506"/>
      <c r="J64" s="638" t="s">
        <v>590</v>
      </c>
      <c r="K64" s="267" t="str">
        <f>INDEX(Odds!F:F,MATCH(J64,Odds!E:E,0))</f>
        <v>1/2</v>
      </c>
      <c r="L64" s="639">
        <f>INDEX(Odds!G:G,MATCH(J64,Odds!E:E,0))</f>
        <v>1.5</v>
      </c>
      <c r="M64" s="624">
        <f>INDEX(Odds!H:H,MATCH(J64,Odds!E:E,0))</f>
        <v>1</v>
      </c>
      <c r="N64" s="640">
        <f t="shared" si="14"/>
        <v>1.5</v>
      </c>
      <c r="O64" s="641"/>
      <c r="P64" s="66"/>
      <c r="R64" s="42" t="str">
        <f>IF(Odds!E64="","",Odds!E64)</f>
        <v>Southend draw</v>
      </c>
      <c r="S64" s="43" t="str">
        <f>INDEX(Odds!F:F,MATCH(R64,Odds!E:E,0))</f>
        <v>12/5</v>
      </c>
      <c r="T64" s="47">
        <f t="shared" si="10"/>
        <v>0</v>
      </c>
      <c r="AB64" s="100"/>
      <c r="AC64" s="78" t="s">
        <v>328</v>
      </c>
      <c r="AD64" s="81">
        <f>INDEX(Picks!F:F,MATCH(AC64,Picks!A:A,0))</f>
        <v>-10</v>
      </c>
      <c r="AE64" s="609">
        <f>INDEX(Weekly!I:I,MATCH(AC64,Weekly!E:E,0))</f>
        <v>0</v>
      </c>
      <c r="AF64" s="78">
        <f t="shared" si="8"/>
        <v>63</v>
      </c>
      <c r="AH64" s="78" t="s">
        <v>364</v>
      </c>
      <c r="AI64" s="81">
        <f>INDEX(Picks!G:G,MATCH(AH64,Picks!A:A,0))</f>
        <v>8.4529914529914514</v>
      </c>
      <c r="AJ64" s="609">
        <f>INDEX(Weekly!I:I,MATCH(AH64,Weekly!E:E,0))</f>
        <v>2</v>
      </c>
      <c r="AK64" s="78">
        <f t="shared" si="9"/>
        <v>60</v>
      </c>
    </row>
    <row r="65" spans="1:37" ht="14.4" thickTop="1" thickBot="1" x14ac:dyDescent="0.3">
      <c r="A65" s="618" t="str">
        <f>Results!B65</f>
        <v>Gerard Ventom</v>
      </c>
      <c r="B65" s="642" t="str">
        <f t="shared" si="11"/>
        <v>Blackpool</v>
      </c>
      <c r="C65" s="629" t="str">
        <f t="shared" si="12"/>
        <v>5/4</v>
      </c>
      <c r="D65" s="621">
        <f t="shared" si="13"/>
        <v>2.25</v>
      </c>
      <c r="E65" s="652" t="str">
        <f t="shared" si="6"/>
        <v>x</v>
      </c>
      <c r="F65" s="509">
        <f>IF(J65="",-10,INDEX(Results!T:T,MATCH(A65,Results!V:V,0)))</f>
        <v>-7</v>
      </c>
      <c r="G65" s="244">
        <f>IF(J65="","",INDEX(Results!AI:AI,MATCH(A65,Results!V:V,0)))</f>
        <v>25.799999999999997</v>
      </c>
      <c r="H65" s="294">
        <f>IF(G65="",0,1)</f>
        <v>1</v>
      </c>
      <c r="I65" s="505">
        <f>INDEX(Picks!AF:AF,MATCH(A65,Picks!AC:AC,0))</f>
        <v>47</v>
      </c>
      <c r="J65" s="622" t="s">
        <v>520</v>
      </c>
      <c r="K65" s="261" t="str">
        <f>INDEX(Odds!F:F,MATCH(J65,Odds!E:E,0))</f>
        <v>5/4</v>
      </c>
      <c r="L65" s="623">
        <f>INDEX(Odds!G:G,MATCH(J65,Odds!E:E,0))</f>
        <v>2.25</v>
      </c>
      <c r="M65" s="643">
        <f>INDEX(Odds!H:H,MATCH(J65,Odds!E:E,0))</f>
        <v>0</v>
      </c>
      <c r="N65" s="625">
        <f t="shared" si="14"/>
        <v>0</v>
      </c>
      <c r="O65" s="626"/>
      <c r="P65" s="66"/>
      <c r="R65" s="42" t="str">
        <f>IF(Odds!E65="","",Odds!E65)</f>
        <v>Wycombe draw</v>
      </c>
      <c r="S65" s="43" t="str">
        <f>INDEX(Odds!F:F,MATCH(R65,Odds!E:E,0))</f>
        <v>23/10</v>
      </c>
      <c r="T65" s="47">
        <f t="shared" si="10"/>
        <v>0</v>
      </c>
      <c r="AB65" s="100"/>
      <c r="AC65" s="78" t="s">
        <v>331</v>
      </c>
      <c r="AD65" s="81">
        <f>INDEX(Picks!F:F,MATCH(AC65,Picks!A:A,0))</f>
        <v>-10</v>
      </c>
      <c r="AE65" s="609">
        <f>INDEX(Weekly!I:I,MATCH(AC65,Weekly!E:E,0))</f>
        <v>0</v>
      </c>
      <c r="AF65" s="78">
        <f t="shared" si="8"/>
        <v>63</v>
      </c>
      <c r="AH65" s="78" t="s">
        <v>343</v>
      </c>
      <c r="AI65" s="81">
        <f>INDEX(Picks!G:G,MATCH(AH65,Picks!A:A,0))</f>
        <v>6.0555555555555536</v>
      </c>
      <c r="AJ65" s="609">
        <f>INDEX(Weekly!I:I,MATCH(AH65,Weekly!E:E,0))</f>
        <v>2</v>
      </c>
      <c r="AK65" s="78">
        <f t="shared" si="9"/>
        <v>61</v>
      </c>
    </row>
    <row r="66" spans="1:37" x14ac:dyDescent="0.25">
      <c r="A66" s="627" t="str">
        <f>A65</f>
        <v>Gerard Ventom</v>
      </c>
      <c r="B66" s="628" t="str">
        <f t="shared" si="11"/>
        <v>Sunderland</v>
      </c>
      <c r="C66" s="629" t="str">
        <f t="shared" si="12"/>
        <v>6/5</v>
      </c>
      <c r="D66" s="630">
        <f t="shared" si="13"/>
        <v>2.2000000000000002</v>
      </c>
      <c r="E66" s="651" t="str">
        <f t="shared" si="6"/>
        <v>x</v>
      </c>
      <c r="F66" s="631"/>
      <c r="G66" s="644"/>
      <c r="H66" s="294"/>
      <c r="I66" s="506"/>
      <c r="J66" s="622" t="s">
        <v>194</v>
      </c>
      <c r="K66" s="265" t="str">
        <f>INDEX(Odds!F:F,MATCH(J66,Odds!E:E,0))</f>
        <v>6/5</v>
      </c>
      <c r="L66" s="633">
        <f>INDEX(Odds!G:G,MATCH(J66,Odds!E:E,0))</f>
        <v>2.2000000000000002</v>
      </c>
      <c r="M66" s="624">
        <f>INDEX(Odds!H:H,MATCH(J66,Odds!E:E,0))</f>
        <v>0</v>
      </c>
      <c r="N66" s="625">
        <f t="shared" si="14"/>
        <v>0</v>
      </c>
      <c r="O66" s="626"/>
      <c r="P66" s="66"/>
      <c r="R66" s="42" t="str">
        <f>IF(Odds!E66="","",Odds!E66)</f>
        <v>Bury draw</v>
      </c>
      <c r="S66" s="43" t="str">
        <f>INDEX(Odds!F:F,MATCH(R66,Odds!E:E,0))</f>
        <v>10/3</v>
      </c>
      <c r="T66" s="47">
        <f t="shared" si="10"/>
        <v>1</v>
      </c>
      <c r="AB66" s="100"/>
      <c r="AC66" s="78" t="s">
        <v>329</v>
      </c>
      <c r="AD66" s="81">
        <f>INDEX(Picks!F:F,MATCH(AC66,Picks!A:A,0))</f>
        <v>-10</v>
      </c>
      <c r="AE66" s="609">
        <f>INDEX(Weekly!I:I,MATCH(AC66,Weekly!E:E,0))</f>
        <v>0</v>
      </c>
      <c r="AF66" s="78">
        <f t="shared" si="8"/>
        <v>63</v>
      </c>
      <c r="AH66" s="78" t="s">
        <v>348</v>
      </c>
      <c r="AI66" s="81">
        <f>INDEX(Picks!G:G,MATCH(AH66,Picks!A:A,0))</f>
        <v>4.6116666666666664</v>
      </c>
      <c r="AJ66" s="609">
        <f>INDEX(Weekly!I:I,MATCH(AH66,Weekly!E:E,0))</f>
        <v>1</v>
      </c>
      <c r="AK66" s="78">
        <f t="shared" si="9"/>
        <v>62</v>
      </c>
    </row>
    <row r="67" spans="1:37" ht="13.8" thickBot="1" x14ac:dyDescent="0.3">
      <c r="A67" s="634" t="str">
        <f>A65</f>
        <v>Gerard Ventom</v>
      </c>
      <c r="B67" s="635" t="str">
        <f t="shared" si="11"/>
        <v>Lincoln</v>
      </c>
      <c r="C67" s="636" t="str">
        <f t="shared" si="12"/>
        <v>5/4</v>
      </c>
      <c r="D67" s="637">
        <f t="shared" si="13"/>
        <v>2.25</v>
      </c>
      <c r="E67" s="651" t="str">
        <f t="shared" ref="E67:E130" si="15">IF(J67="","",IF(M67=1,"√","x"))</f>
        <v>x</v>
      </c>
      <c r="F67" s="631"/>
      <c r="G67" s="644"/>
      <c r="H67" s="294"/>
      <c r="I67" s="506"/>
      <c r="J67" s="638" t="s">
        <v>582</v>
      </c>
      <c r="K67" s="267" t="str">
        <f>INDEX(Odds!F:F,MATCH(J67,Odds!E:E,0))</f>
        <v>5/4</v>
      </c>
      <c r="L67" s="639">
        <f>INDEX(Odds!G:G,MATCH(J67,Odds!E:E,0))</f>
        <v>2.25</v>
      </c>
      <c r="M67" s="624">
        <f>INDEX(Odds!H:H,MATCH(J67,Odds!E:E,0))</f>
        <v>0</v>
      </c>
      <c r="N67" s="640">
        <f t="shared" si="14"/>
        <v>0</v>
      </c>
      <c r="O67" s="641"/>
      <c r="P67" s="66"/>
      <c r="R67" s="42" t="str">
        <f>IF(Odds!E67="","",Odds!E67)</f>
        <v>Crawley draw</v>
      </c>
      <c r="S67" s="43" t="str">
        <f>INDEX(Odds!F:F,MATCH(R67,Odds!E:E,0))</f>
        <v>13/5</v>
      </c>
      <c r="T67" s="47">
        <f t="shared" si="10"/>
        <v>0</v>
      </c>
      <c r="AB67" s="100"/>
      <c r="AC67" s="67"/>
      <c r="AD67" s="67"/>
      <c r="AE67" s="610"/>
      <c r="AF67" s="67"/>
    </row>
    <row r="68" spans="1:37" ht="14.4" thickTop="1" thickBot="1" x14ac:dyDescent="0.3">
      <c r="A68" s="618" t="str">
        <f>Results!B68</f>
        <v>Graeme Holmes</v>
      </c>
      <c r="B68" s="642" t="str">
        <f t="shared" si="11"/>
        <v>Newcastle</v>
      </c>
      <c r="C68" s="629" t="str">
        <f t="shared" si="12"/>
        <v>9/1</v>
      </c>
      <c r="D68" s="621">
        <f t="shared" si="13"/>
        <v>10</v>
      </c>
      <c r="E68" s="652" t="str">
        <f t="shared" si="15"/>
        <v>x</v>
      </c>
      <c r="F68" s="509">
        <f>IF(J68="",-10,INDEX(Results!T:T,MATCH(A68,Results!V:V,0)))</f>
        <v>0.66249999999999964</v>
      </c>
      <c r="G68" s="244">
        <f>IF(J68="","",INDEX(Results!AI:AI,MATCH(A68,Results!V:V,0)))</f>
        <v>87.287499999999994</v>
      </c>
      <c r="H68" s="294">
        <f>IF(G68="",0,1)</f>
        <v>1</v>
      </c>
      <c r="I68" s="505">
        <f>INDEX(Picks!AF:AF,MATCH(A68,Picks!AC:AC,0))</f>
        <v>21</v>
      </c>
      <c r="J68" s="622" t="s">
        <v>444</v>
      </c>
      <c r="K68" s="261" t="str">
        <f>INDEX(Odds!F:F,MATCH(J68,Odds!E:E,0))</f>
        <v>9/1</v>
      </c>
      <c r="L68" s="623">
        <f>INDEX(Odds!G:G,MATCH(J68,Odds!E:E,0))</f>
        <v>10</v>
      </c>
      <c r="M68" s="643">
        <f>INDEX(Odds!H:H,MATCH(J68,Odds!E:E,0))</f>
        <v>0</v>
      </c>
      <c r="N68" s="625">
        <f t="shared" si="14"/>
        <v>0</v>
      </c>
      <c r="O68" s="626"/>
      <c r="P68" s="66"/>
      <c r="R68" s="42" t="str">
        <f>IF(Odds!E68="","",Odds!E68)</f>
        <v>Forest Green draw</v>
      </c>
      <c r="S68" s="43" t="str">
        <f>INDEX(Odds!F:F,MATCH(R68,Odds!E:E,0))</f>
        <v>12/5</v>
      </c>
      <c r="T68" s="47">
        <f t="shared" si="10"/>
        <v>1</v>
      </c>
      <c r="AB68" s="100"/>
      <c r="AC68" s="67"/>
      <c r="AD68" s="67"/>
      <c r="AE68" s="610"/>
      <c r="AF68" s="67"/>
    </row>
    <row r="69" spans="1:37" x14ac:dyDescent="0.25">
      <c r="A69" s="627" t="str">
        <f>A68</f>
        <v>Graeme Holmes</v>
      </c>
      <c r="B69" s="628" t="str">
        <f t="shared" si="11"/>
        <v>Charlton</v>
      </c>
      <c r="C69" s="629" t="str">
        <f t="shared" si="12"/>
        <v>3/4</v>
      </c>
      <c r="D69" s="630">
        <f t="shared" si="13"/>
        <v>1.75</v>
      </c>
      <c r="E69" s="651" t="str">
        <f t="shared" si="15"/>
        <v>√</v>
      </c>
      <c r="F69" s="631"/>
      <c r="G69" s="644"/>
      <c r="H69" s="294"/>
      <c r="I69" s="506"/>
      <c r="J69" s="622" t="s">
        <v>613</v>
      </c>
      <c r="K69" s="265" t="str">
        <f>INDEX(Odds!F:F,MATCH(J69,Odds!E:E,0))</f>
        <v>3/4</v>
      </c>
      <c r="L69" s="633">
        <f>INDEX(Odds!G:G,MATCH(J69,Odds!E:E,0))</f>
        <v>1.75</v>
      </c>
      <c r="M69" s="624">
        <f>INDEX(Odds!H:H,MATCH(J69,Odds!E:E,0))</f>
        <v>1</v>
      </c>
      <c r="N69" s="625">
        <f t="shared" si="14"/>
        <v>1.75</v>
      </c>
      <c r="O69" s="626"/>
      <c r="P69" s="66"/>
      <c r="R69" s="42" t="str">
        <f>IF(Odds!E69="","",Odds!E69)</f>
        <v>Grimsby draw</v>
      </c>
      <c r="S69" s="43" t="str">
        <f>INDEX(Odds!F:F,MATCH(R69,Odds!E:E,0))</f>
        <v>13/5</v>
      </c>
      <c r="T69" s="47">
        <f t="shared" si="10"/>
        <v>0</v>
      </c>
      <c r="AB69" s="100"/>
      <c r="AC69" s="67"/>
      <c r="AD69" s="67"/>
      <c r="AE69" s="610"/>
      <c r="AF69" s="67"/>
    </row>
    <row r="70" spans="1:37" ht="13.8" thickBot="1" x14ac:dyDescent="0.3">
      <c r="A70" s="634" t="str">
        <f>A68</f>
        <v>Graeme Holmes</v>
      </c>
      <c r="B70" s="635" t="str">
        <f t="shared" si="11"/>
        <v>Peterborough</v>
      </c>
      <c r="C70" s="636" t="str">
        <f t="shared" si="12"/>
        <v>23/20</v>
      </c>
      <c r="D70" s="637">
        <f t="shared" si="13"/>
        <v>2.15</v>
      </c>
      <c r="E70" s="651" t="str">
        <f t="shared" si="15"/>
        <v>√</v>
      </c>
      <c r="F70" s="631"/>
      <c r="G70" s="644"/>
      <c r="H70" s="294"/>
      <c r="I70" s="506"/>
      <c r="J70" s="638" t="s">
        <v>617</v>
      </c>
      <c r="K70" s="267" t="str">
        <f>INDEX(Odds!F:F,MATCH(J70,Odds!E:E,0))</f>
        <v>23/20</v>
      </c>
      <c r="L70" s="639">
        <f>INDEX(Odds!G:G,MATCH(J70,Odds!E:E,0))</f>
        <v>2.15</v>
      </c>
      <c r="M70" s="624">
        <f>INDEX(Odds!H:H,MATCH(J70,Odds!E:E,0))</f>
        <v>1</v>
      </c>
      <c r="N70" s="640">
        <f t="shared" si="14"/>
        <v>2.15</v>
      </c>
      <c r="O70" s="641"/>
      <c r="P70" s="66"/>
      <c r="R70" s="42" t="str">
        <f>IF(Odds!E70="","",Odds!E70)</f>
        <v>Lincoln draw</v>
      </c>
      <c r="S70" s="43" t="str">
        <f>INDEX(Odds!F:F,MATCH(R70,Odds!E:E,0))</f>
        <v>12/5</v>
      </c>
      <c r="T70" s="47">
        <f t="shared" si="10"/>
        <v>0</v>
      </c>
      <c r="AB70" s="100"/>
      <c r="AC70" s="67"/>
      <c r="AD70" s="67"/>
      <c r="AE70" s="610"/>
      <c r="AF70" s="67"/>
    </row>
    <row r="71" spans="1:37" ht="14.4" thickTop="1" thickBot="1" x14ac:dyDescent="0.3">
      <c r="A71" s="618" t="str">
        <f>Results!B71</f>
        <v>Graham Miller</v>
      </c>
      <c r="B71" s="642" t="str">
        <f>IF(J71="","",J71)</f>
        <v>Bournemouth</v>
      </c>
      <c r="C71" s="629" t="str">
        <f>IF(J71="","",K71)</f>
        <v>17/5</v>
      </c>
      <c r="D71" s="621">
        <f>IF(J71="","",L71)</f>
        <v>4.4000000000000004</v>
      </c>
      <c r="E71" s="652" t="str">
        <f>IF(J71="","",IF(M71=1,"√","x"))</f>
        <v>√</v>
      </c>
      <c r="F71" s="509">
        <f>IF(J71="",-10,INDEX(Results!T:T,MATCH(A71,Results!V:V,0)))</f>
        <v>-2.5999999999999996</v>
      </c>
      <c r="G71" s="244">
        <f>IF(J71="","",INDEX(Results!AI:AI,MATCH(A71,Results!V:V,0)))</f>
        <v>118.36</v>
      </c>
      <c r="H71" s="294">
        <f>IF(G71="",0,1)</f>
        <v>1</v>
      </c>
      <c r="I71" s="505">
        <f>INDEX(Picks!AF:AF,MATCH(A71,Picks!AC:AC,0))</f>
        <v>30</v>
      </c>
      <c r="J71" s="622" t="s">
        <v>591</v>
      </c>
      <c r="K71" s="261" t="str">
        <f>INDEX(Odds!F:F,MATCH(J71,Odds!E:E,0))</f>
        <v>17/5</v>
      </c>
      <c r="L71" s="623">
        <f>INDEX(Odds!G:G,MATCH(J71,Odds!E:E,0))</f>
        <v>4.4000000000000004</v>
      </c>
      <c r="M71" s="643">
        <f>INDEX(Odds!H:H,MATCH(J71,Odds!E:E,0))</f>
        <v>1</v>
      </c>
      <c r="N71" s="625">
        <f t="shared" si="14"/>
        <v>4.4000000000000004</v>
      </c>
      <c r="O71" s="626"/>
      <c r="P71" s="66"/>
      <c r="R71" s="42" t="str">
        <f>IF(Odds!E71="","",Odds!E71)</f>
        <v>Macclesfield draw</v>
      </c>
      <c r="S71" s="43" t="str">
        <f>INDEX(Odds!F:F,MATCH(R71,Odds!E:E,0))</f>
        <v>9/4</v>
      </c>
      <c r="T71" s="47">
        <f t="shared" si="10"/>
        <v>1</v>
      </c>
      <c r="AB71" s="100"/>
      <c r="AC71" s="67"/>
      <c r="AD71" s="67"/>
      <c r="AE71" s="610"/>
      <c r="AF71" s="67"/>
    </row>
    <row r="72" spans="1:37" x14ac:dyDescent="0.25">
      <c r="A72" s="627" t="str">
        <f>A71</f>
        <v>Graham Miller</v>
      </c>
      <c r="B72" s="628" t="str">
        <f t="shared" si="11"/>
        <v>Newcastle Draw</v>
      </c>
      <c r="C72" s="629" t="str">
        <f t="shared" si="12"/>
        <v>4/1</v>
      </c>
      <c r="D72" s="630">
        <f t="shared" si="13"/>
        <v>5</v>
      </c>
      <c r="E72" s="651" t="str">
        <f t="shared" si="15"/>
        <v>x</v>
      </c>
      <c r="F72" s="631"/>
      <c r="G72" s="644"/>
      <c r="H72" s="294"/>
      <c r="I72" s="506"/>
      <c r="J72" s="622" t="s">
        <v>637</v>
      </c>
      <c r="K72" s="265" t="str">
        <f>INDEX(Odds!F:F,MATCH(J72,Odds!E:E,0))</f>
        <v>4/1</v>
      </c>
      <c r="L72" s="633">
        <f>INDEX(Odds!G:G,MATCH(J72,Odds!E:E,0))</f>
        <v>5</v>
      </c>
      <c r="M72" s="624">
        <f>INDEX(Odds!H:H,MATCH(J72,Odds!E:E,0))</f>
        <v>0</v>
      </c>
      <c r="N72" s="625">
        <f t="shared" si="14"/>
        <v>0</v>
      </c>
      <c r="O72" s="626"/>
      <c r="P72" s="66"/>
      <c r="R72" s="42" t="str">
        <f>IF(Odds!E72="","",Odds!E72)</f>
        <v>MK Dons draw</v>
      </c>
      <c r="S72" s="43" t="str">
        <f>INDEX(Odds!F:F,MATCH(R72,Odds!E:E,0))</f>
        <v>23/10</v>
      </c>
      <c r="T72" s="47">
        <f t="shared" si="10"/>
        <v>0</v>
      </c>
      <c r="AB72" s="100"/>
      <c r="AC72" s="67"/>
      <c r="AD72" s="67"/>
      <c r="AE72" s="610"/>
      <c r="AF72" s="67"/>
    </row>
    <row r="73" spans="1:37" ht="13.8" thickBot="1" x14ac:dyDescent="0.3">
      <c r="A73" s="634" t="str">
        <f>A71</f>
        <v>Graham Miller</v>
      </c>
      <c r="B73" s="635" t="str">
        <f t="shared" si="11"/>
        <v>Shrewsbury</v>
      </c>
      <c r="C73" s="636" t="str">
        <f t="shared" si="12"/>
        <v>19/10</v>
      </c>
      <c r="D73" s="637">
        <f t="shared" si="13"/>
        <v>2.9</v>
      </c>
      <c r="E73" s="651" t="str">
        <f t="shared" si="15"/>
        <v>x</v>
      </c>
      <c r="F73" s="631"/>
      <c r="G73" s="644"/>
      <c r="H73" s="294"/>
      <c r="I73" s="506"/>
      <c r="J73" s="638" t="s">
        <v>522</v>
      </c>
      <c r="K73" s="267" t="str">
        <f>INDEX(Odds!F:F,MATCH(J73,Odds!E:E,0))</f>
        <v>19/10</v>
      </c>
      <c r="L73" s="639">
        <f>INDEX(Odds!G:G,MATCH(J73,Odds!E:E,0))</f>
        <v>2.9</v>
      </c>
      <c r="M73" s="624">
        <f>INDEX(Odds!H:H,MATCH(J73,Odds!E:E,0))</f>
        <v>0</v>
      </c>
      <c r="N73" s="640">
        <f t="shared" si="14"/>
        <v>0</v>
      </c>
      <c r="O73" s="641"/>
      <c r="P73" s="66"/>
      <c r="R73" s="42" t="str">
        <f>IF(Odds!E73="","",Odds!E73)</f>
        <v>Morecambe draw</v>
      </c>
      <c r="S73" s="43" t="str">
        <f>INDEX(Odds!F:F,MATCH(R73,Odds!E:E,0))</f>
        <v>13/5</v>
      </c>
      <c r="T73" s="47">
        <f t="shared" si="10"/>
        <v>1</v>
      </c>
      <c r="AB73" s="100"/>
      <c r="AC73" s="67"/>
      <c r="AD73" s="67"/>
      <c r="AE73" s="610"/>
      <c r="AF73" s="67"/>
    </row>
    <row r="74" spans="1:37" ht="14.4" thickTop="1" thickBot="1" x14ac:dyDescent="0.3">
      <c r="A74" s="618" t="str">
        <f>Results!B74</f>
        <v>Howard Bradley</v>
      </c>
      <c r="B74" s="642" t="str">
        <f t="shared" si="11"/>
        <v>Sheff W</v>
      </c>
      <c r="C74" s="629" t="str">
        <f t="shared" si="12"/>
        <v>11/13</v>
      </c>
      <c r="D74" s="621">
        <f t="shared" si="13"/>
        <v>1.8461538461538463</v>
      </c>
      <c r="E74" s="652" t="str">
        <f t="shared" si="15"/>
        <v>x</v>
      </c>
      <c r="F74" s="509">
        <f>IF(J74="",-10,INDEX(Results!T:T,MATCH(A74,Results!V:V,0)))</f>
        <v>-7</v>
      </c>
      <c r="G74" s="244">
        <f>IF(J74="","",INDEX(Results!AI:AI,MATCH(A74,Results!V:V,0)))</f>
        <v>54.843076923076922</v>
      </c>
      <c r="H74" s="294">
        <f>IF(G74="",0,1)</f>
        <v>1</v>
      </c>
      <c r="I74" s="505">
        <f>INDEX(Picks!AF:AF,MATCH(A74,Picks!AC:AC,0))</f>
        <v>47</v>
      </c>
      <c r="J74" s="622" t="s">
        <v>608</v>
      </c>
      <c r="K74" s="261" t="str">
        <f>INDEX(Odds!F:F,MATCH(J74,Odds!E:E,0))</f>
        <v>11/13</v>
      </c>
      <c r="L74" s="623">
        <f>INDEX(Odds!G:G,MATCH(J74,Odds!E:E,0))</f>
        <v>1.8461538461538463</v>
      </c>
      <c r="M74" s="643">
        <f>INDEX(Odds!H:H,MATCH(J74,Odds!E:E,0))</f>
        <v>0</v>
      </c>
      <c r="N74" s="625">
        <f t="shared" si="14"/>
        <v>0</v>
      </c>
      <c r="O74" s="626"/>
      <c r="P74" s="66"/>
      <c r="R74" s="42" t="str">
        <f>IF(Odds!E74="","",Odds!E74)</f>
        <v>Oldham draw</v>
      </c>
      <c r="S74" s="43" t="str">
        <f>INDEX(Odds!F:F,MATCH(R74,Odds!E:E,0))</f>
        <v>13/5</v>
      </c>
      <c r="T74" s="47">
        <f t="shared" si="10"/>
        <v>0</v>
      </c>
      <c r="AB74" s="100"/>
      <c r="AC74" s="67"/>
      <c r="AD74" s="67"/>
      <c r="AE74" s="610"/>
      <c r="AF74" s="67"/>
    </row>
    <row r="75" spans="1:37" x14ac:dyDescent="0.25">
      <c r="A75" s="627" t="str">
        <f>A74</f>
        <v>Howard Bradley</v>
      </c>
      <c r="B75" s="628" t="str">
        <f t="shared" si="11"/>
        <v>Stoke</v>
      </c>
      <c r="C75" s="629" t="str">
        <f t="shared" si="12"/>
        <v>14/5</v>
      </c>
      <c r="D75" s="630">
        <f t="shared" si="13"/>
        <v>3.8</v>
      </c>
      <c r="E75" s="651" t="str">
        <f t="shared" si="15"/>
        <v>x</v>
      </c>
      <c r="F75" s="631"/>
      <c r="G75" s="644"/>
      <c r="H75" s="294"/>
      <c r="I75" s="506"/>
      <c r="J75" s="622" t="s">
        <v>607</v>
      </c>
      <c r="K75" s="265" t="str">
        <f>INDEX(Odds!F:F,MATCH(J75,Odds!E:E,0))</f>
        <v>14/5</v>
      </c>
      <c r="L75" s="633">
        <f>INDEX(Odds!G:G,MATCH(J75,Odds!E:E,0))</f>
        <v>3.8</v>
      </c>
      <c r="M75" s="624">
        <f>INDEX(Odds!H:H,MATCH(J75,Odds!E:E,0))</f>
        <v>0</v>
      </c>
      <c r="N75" s="625">
        <f t="shared" si="14"/>
        <v>0</v>
      </c>
      <c r="O75" s="626"/>
      <c r="P75" s="66"/>
      <c r="R75" s="42" t="str">
        <f>IF(Odds!E75="","",Odds!E75)</f>
        <v>Stevenage draw</v>
      </c>
      <c r="S75" s="43" t="str">
        <f>INDEX(Odds!F:F,MATCH(R75,Odds!E:E,0))</f>
        <v>16/5</v>
      </c>
      <c r="T75" s="47">
        <f t="shared" si="10"/>
        <v>0</v>
      </c>
      <c r="AB75" s="100"/>
      <c r="AC75" s="67"/>
      <c r="AD75" s="67"/>
      <c r="AE75" s="610"/>
      <c r="AF75" s="67"/>
    </row>
    <row r="76" spans="1:37" ht="13.8" thickBot="1" x14ac:dyDescent="0.3">
      <c r="A76" s="634" t="str">
        <f>A74</f>
        <v>Howard Bradley</v>
      </c>
      <c r="B76" s="635" t="str">
        <f t="shared" si="11"/>
        <v>Villa draw</v>
      </c>
      <c r="C76" s="636" t="str">
        <f t="shared" si="12"/>
        <v>13/5</v>
      </c>
      <c r="D76" s="637">
        <f t="shared" si="13"/>
        <v>3.6</v>
      </c>
      <c r="E76" s="651" t="str">
        <f t="shared" si="15"/>
        <v>x</v>
      </c>
      <c r="F76" s="631"/>
      <c r="G76" s="644"/>
      <c r="H76" s="294"/>
      <c r="I76" s="506"/>
      <c r="J76" s="638" t="s">
        <v>653</v>
      </c>
      <c r="K76" s="267" t="str">
        <f>INDEX(Odds!F:F,MATCH(J76,Odds!E:E,0))</f>
        <v>13/5</v>
      </c>
      <c r="L76" s="639">
        <f>INDEX(Odds!G:G,MATCH(J76,Odds!E:E,0))</f>
        <v>3.6</v>
      </c>
      <c r="M76" s="624">
        <f>INDEX(Odds!H:H,MATCH(J76,Odds!E:E,0))</f>
        <v>0</v>
      </c>
      <c r="N76" s="640">
        <f t="shared" si="14"/>
        <v>0</v>
      </c>
      <c r="O76" s="641"/>
      <c r="P76" s="66"/>
      <c r="R76" s="42" t="str">
        <f>IF(Odds!E76="","",Odds!E76)</f>
        <v>Swindon draw</v>
      </c>
      <c r="S76" s="43" t="str">
        <f>INDEX(Odds!F:F,MATCH(R76,Odds!E:E,0))</f>
        <v>12/5</v>
      </c>
      <c r="T76" s="47">
        <f t="shared" si="10"/>
        <v>0</v>
      </c>
      <c r="AB76" s="100"/>
      <c r="AC76" s="67"/>
      <c r="AD76" s="67"/>
      <c r="AE76" s="610"/>
      <c r="AF76" s="67"/>
    </row>
    <row r="77" spans="1:37" ht="14.4" thickTop="1" thickBot="1" x14ac:dyDescent="0.3">
      <c r="A77" s="618" t="str">
        <f>Results!B77</f>
        <v>Ian Davies</v>
      </c>
      <c r="B77" s="642" t="str">
        <f t="shared" si="11"/>
        <v>Charlton draw</v>
      </c>
      <c r="C77" s="629" t="str">
        <f t="shared" si="12"/>
        <v>27/10</v>
      </c>
      <c r="D77" s="621">
        <f t="shared" si="13"/>
        <v>3.7</v>
      </c>
      <c r="E77" s="652" t="str">
        <f t="shared" si="15"/>
        <v>x</v>
      </c>
      <c r="F77" s="509">
        <f>IF(J77="",-10,INDEX(Results!T:T,MATCH(A77,Results!V:V,0)))</f>
        <v>-7</v>
      </c>
      <c r="G77" s="244">
        <f>IF(J77="","",INDEX(Results!AI:AI,MATCH(A77,Results!V:V,0)))</f>
        <v>80.924000000000007</v>
      </c>
      <c r="H77" s="294">
        <f>IF(G77="",0,1)</f>
        <v>1</v>
      </c>
      <c r="I77" s="505">
        <f>INDEX(Picks!AF:AF,MATCH(A77,Picks!AC:AC,0))</f>
        <v>47</v>
      </c>
      <c r="J77" s="622" t="s">
        <v>628</v>
      </c>
      <c r="K77" s="261" t="str">
        <f>INDEX(Odds!F:F,MATCH(J77,Odds!E:E,0))</f>
        <v>27/10</v>
      </c>
      <c r="L77" s="623">
        <f>INDEX(Odds!G:G,MATCH(J77,Odds!E:E,0))</f>
        <v>3.7</v>
      </c>
      <c r="M77" s="643">
        <f>INDEX(Odds!H:H,MATCH(J77,Odds!E:E,0))</f>
        <v>0</v>
      </c>
      <c r="N77" s="625">
        <f t="shared" si="14"/>
        <v>0</v>
      </c>
      <c r="O77" s="626"/>
      <c r="P77" s="66"/>
      <c r="R77" s="42" t="str">
        <f>IF(Odds!E77="","",Odds!E77)</f>
        <v>Yeovil draw</v>
      </c>
      <c r="S77" s="43" t="str">
        <f>INDEX(Odds!F:F,MATCH(R77,Odds!E:E,0))</f>
        <v>13/5</v>
      </c>
      <c r="T77" s="47">
        <f t="shared" si="10"/>
        <v>1</v>
      </c>
      <c r="AB77" s="100"/>
      <c r="AC77" s="67"/>
      <c r="AD77" s="67"/>
      <c r="AE77" s="610"/>
      <c r="AF77" s="67"/>
    </row>
    <row r="78" spans="1:37" x14ac:dyDescent="0.25">
      <c r="A78" s="627" t="str">
        <f>A77</f>
        <v>Ian Davies</v>
      </c>
      <c r="B78" s="628" t="str">
        <f t="shared" si="11"/>
        <v>Plymouth draw</v>
      </c>
      <c r="C78" s="629" t="str">
        <f t="shared" si="12"/>
        <v>12/5</v>
      </c>
      <c r="D78" s="630">
        <f t="shared" si="13"/>
        <v>3.4</v>
      </c>
      <c r="E78" s="651" t="str">
        <f t="shared" si="15"/>
        <v>x</v>
      </c>
      <c r="F78" s="631"/>
      <c r="G78" s="644"/>
      <c r="H78" s="294"/>
      <c r="I78" s="506"/>
      <c r="J78" s="622" t="s">
        <v>629</v>
      </c>
      <c r="K78" s="265" t="str">
        <f>INDEX(Odds!F:F,MATCH(J78,Odds!E:E,0))</f>
        <v>12/5</v>
      </c>
      <c r="L78" s="633">
        <f>INDEX(Odds!G:G,MATCH(J78,Odds!E:E,0))</f>
        <v>3.4</v>
      </c>
      <c r="M78" s="624">
        <f>INDEX(Odds!H:H,MATCH(J78,Odds!E:E,0))</f>
        <v>0</v>
      </c>
      <c r="N78" s="625">
        <f t="shared" si="14"/>
        <v>0</v>
      </c>
      <c r="O78" s="626"/>
      <c r="P78" s="66"/>
      <c r="R78" s="42" t="str">
        <f>IF(Odds!E78="","",Odds!E78)</f>
        <v>Arsenal draw</v>
      </c>
      <c r="S78" s="43" t="str">
        <f>INDEX(Odds!F:F,MATCH(R78,Odds!E:E,0))</f>
        <v>19/5</v>
      </c>
      <c r="T78" s="47">
        <f t="shared" si="10"/>
        <v>1</v>
      </c>
      <c r="AB78" s="100"/>
      <c r="AC78" s="67"/>
      <c r="AD78" s="67"/>
      <c r="AE78" s="610"/>
      <c r="AF78" s="67"/>
    </row>
    <row r="79" spans="1:37" ht="13.8" thickBot="1" x14ac:dyDescent="0.3">
      <c r="A79" s="634" t="str">
        <f>A77</f>
        <v>Ian Davies</v>
      </c>
      <c r="B79" s="635" t="str">
        <f t="shared" si="11"/>
        <v>Wycombe draw</v>
      </c>
      <c r="C79" s="636" t="str">
        <f t="shared" si="12"/>
        <v>23/10</v>
      </c>
      <c r="D79" s="637">
        <f t="shared" si="13"/>
        <v>3.3</v>
      </c>
      <c r="E79" s="651" t="str">
        <f t="shared" si="15"/>
        <v>x</v>
      </c>
      <c r="F79" s="631"/>
      <c r="G79" s="644"/>
      <c r="H79" s="294"/>
      <c r="I79" s="506"/>
      <c r="J79" s="638" t="s">
        <v>630</v>
      </c>
      <c r="K79" s="267" t="str">
        <f>INDEX(Odds!F:F,MATCH(J79,Odds!E:E,0))</f>
        <v>23/10</v>
      </c>
      <c r="L79" s="639">
        <f>INDEX(Odds!G:G,MATCH(J79,Odds!E:E,0))</f>
        <v>3.3</v>
      </c>
      <c r="M79" s="624">
        <f>INDEX(Odds!H:H,MATCH(J79,Odds!E:E,0))</f>
        <v>0</v>
      </c>
      <c r="N79" s="640">
        <f t="shared" si="14"/>
        <v>0</v>
      </c>
      <c r="O79" s="641"/>
      <c r="P79" s="66"/>
      <c r="R79" s="42" t="str">
        <f>IF(Odds!E79="","",Odds!E79)</f>
        <v>Chelsea draw</v>
      </c>
      <c r="S79" s="43" t="str">
        <f>INDEX(Odds!F:F,MATCH(R79,Odds!E:E,0))</f>
        <v>17/4</v>
      </c>
      <c r="T79" s="47">
        <f t="shared" si="10"/>
        <v>0</v>
      </c>
      <c r="AB79" s="100"/>
      <c r="AC79" s="67"/>
      <c r="AD79" s="67"/>
      <c r="AE79" s="610"/>
      <c r="AF79" s="67"/>
    </row>
    <row r="80" spans="1:37" ht="14.4" thickTop="1" thickBot="1" x14ac:dyDescent="0.3">
      <c r="A80" s="618" t="str">
        <f>Results!B80</f>
        <v>Jack Walsh</v>
      </c>
      <c r="B80" s="642" t="str">
        <f t="shared" si="11"/>
        <v>Bournemouth</v>
      </c>
      <c r="C80" s="629" t="str">
        <f t="shared" si="12"/>
        <v>17/5</v>
      </c>
      <c r="D80" s="621">
        <f t="shared" si="13"/>
        <v>4.4000000000000004</v>
      </c>
      <c r="E80" s="652" t="str">
        <f t="shared" si="15"/>
        <v>√</v>
      </c>
      <c r="F80" s="509">
        <f>IF(J80="",-10,INDEX(Results!T:T,MATCH(A80,Results!V:V,0)))</f>
        <v>23.32</v>
      </c>
      <c r="G80" s="244">
        <f>IF(J80="","",INDEX(Results!AI:AI,MATCH(A80,Results!V:V,0)))</f>
        <v>336.52</v>
      </c>
      <c r="H80" s="294">
        <f>IF(G80="",0,1)</f>
        <v>1</v>
      </c>
      <c r="I80" s="505">
        <f>INDEX(Picks!AF:AF,MATCH(A80,Picks!AC:AC,0))</f>
        <v>6</v>
      </c>
      <c r="J80" s="622" t="s">
        <v>591</v>
      </c>
      <c r="K80" s="261" t="str">
        <f>INDEX(Odds!F:F,MATCH(J80,Odds!E:E,0))</f>
        <v>17/5</v>
      </c>
      <c r="L80" s="623">
        <f>INDEX(Odds!G:G,MATCH(J80,Odds!E:E,0))</f>
        <v>4.4000000000000004</v>
      </c>
      <c r="M80" s="643">
        <f>INDEX(Odds!H:H,MATCH(J80,Odds!E:E,0))</f>
        <v>1</v>
      </c>
      <c r="N80" s="625">
        <f t="shared" si="14"/>
        <v>4.4000000000000004</v>
      </c>
      <c r="O80" s="626"/>
      <c r="P80" s="66"/>
      <c r="R80" s="42" t="str">
        <f>IF(Odds!E80="","",Odds!E80)</f>
        <v>Huddersfield draw</v>
      </c>
      <c r="S80" s="43" t="str">
        <f>INDEX(Odds!F:F,MATCH(R80,Odds!E:E,0))</f>
        <v>17/4</v>
      </c>
      <c r="T80" s="47">
        <f t="shared" si="10"/>
        <v>1</v>
      </c>
      <c r="AB80" s="100"/>
      <c r="AC80" s="67"/>
      <c r="AD80" s="67"/>
      <c r="AE80" s="610"/>
      <c r="AF80" s="67"/>
    </row>
    <row r="81" spans="1:32" x14ac:dyDescent="0.25">
      <c r="A81" s="627" t="str">
        <f>A80</f>
        <v>Jack Walsh</v>
      </c>
      <c r="B81" s="628" t="str">
        <f t="shared" si="11"/>
        <v>Newcastle</v>
      </c>
      <c r="C81" s="629" t="str">
        <f t="shared" si="12"/>
        <v>9/1</v>
      </c>
      <c r="D81" s="630">
        <f t="shared" si="13"/>
        <v>10</v>
      </c>
      <c r="E81" s="651" t="str">
        <f t="shared" si="15"/>
        <v>x</v>
      </c>
      <c r="F81" s="631"/>
      <c r="G81" s="644"/>
      <c r="H81" s="294"/>
      <c r="I81" s="506"/>
      <c r="J81" s="622" t="s">
        <v>444</v>
      </c>
      <c r="K81" s="265" t="str">
        <f>INDEX(Odds!F:F,MATCH(J81,Odds!E:E,0))</f>
        <v>9/1</v>
      </c>
      <c r="L81" s="633">
        <f>INDEX(Odds!G:G,MATCH(J81,Odds!E:E,0))</f>
        <v>10</v>
      </c>
      <c r="M81" s="624">
        <f>INDEX(Odds!H:H,MATCH(J81,Odds!E:E,0))</f>
        <v>0</v>
      </c>
      <c r="N81" s="625">
        <f t="shared" si="14"/>
        <v>0</v>
      </c>
      <c r="O81" s="626"/>
      <c r="P81" s="66"/>
      <c r="R81" s="42" t="str">
        <f>IF(Odds!E81="","",Odds!E81)</f>
        <v>Blackburn draw</v>
      </c>
      <c r="S81" s="43" t="str">
        <f>INDEX(Odds!F:F,MATCH(R81,Odds!E:E,0))</f>
        <v>5/2</v>
      </c>
      <c r="T81" s="47">
        <f t="shared" si="10"/>
        <v>1</v>
      </c>
      <c r="AB81" s="100"/>
      <c r="AC81" s="67"/>
      <c r="AD81" s="67"/>
      <c r="AE81" s="610"/>
      <c r="AF81" s="67"/>
    </row>
    <row r="82" spans="1:32" ht="13.8" thickBot="1" x14ac:dyDescent="0.3">
      <c r="A82" s="634" t="str">
        <f>A80</f>
        <v>Jack Walsh</v>
      </c>
      <c r="B82" s="635" t="str">
        <f t="shared" si="11"/>
        <v>Arsenal Draw</v>
      </c>
      <c r="C82" s="636" t="str">
        <f t="shared" si="12"/>
        <v>19/5</v>
      </c>
      <c r="D82" s="637">
        <f t="shared" si="13"/>
        <v>4.8</v>
      </c>
      <c r="E82" s="651" t="str">
        <f t="shared" si="15"/>
        <v>√</v>
      </c>
      <c r="F82" s="631"/>
      <c r="G82" s="644"/>
      <c r="H82" s="294"/>
      <c r="I82" s="506"/>
      <c r="J82" s="638" t="s">
        <v>645</v>
      </c>
      <c r="K82" s="267" t="str">
        <f>INDEX(Odds!F:F,MATCH(J82,Odds!E:E,0))</f>
        <v>19/5</v>
      </c>
      <c r="L82" s="639">
        <f>INDEX(Odds!G:G,MATCH(J82,Odds!E:E,0))</f>
        <v>4.8</v>
      </c>
      <c r="M82" s="624">
        <f>INDEX(Odds!H:H,MATCH(J82,Odds!E:E,0))</f>
        <v>1</v>
      </c>
      <c r="N82" s="640">
        <f t="shared" si="14"/>
        <v>4.8</v>
      </c>
      <c r="O82" s="641"/>
      <c r="P82" s="66"/>
      <c r="R82" s="42" t="str">
        <f>IF(Odds!E82="","",Odds!E82)</f>
        <v>Brentford draw</v>
      </c>
      <c r="S82" s="43" t="str">
        <f>INDEX(Odds!F:F,MATCH(R82,Odds!E:E,0))</f>
        <v>5/2</v>
      </c>
      <c r="T82" s="47">
        <f t="shared" si="10"/>
        <v>0</v>
      </c>
      <c r="AB82" s="100"/>
      <c r="AC82" s="67"/>
      <c r="AD82" s="67"/>
      <c r="AE82" s="610"/>
      <c r="AF82" s="67"/>
    </row>
    <row r="83" spans="1:32" ht="14.4" thickTop="1" thickBot="1" x14ac:dyDescent="0.3">
      <c r="A83" s="618" t="str">
        <f>Results!B83</f>
        <v>James Bell</v>
      </c>
      <c r="B83" s="642" t="str">
        <f t="shared" si="11"/>
        <v>Ipswich draw</v>
      </c>
      <c r="C83" s="629" t="str">
        <f t="shared" si="12"/>
        <v>37/13</v>
      </c>
      <c r="D83" s="621">
        <f t="shared" si="13"/>
        <v>3.8461538461538463</v>
      </c>
      <c r="E83" s="652" t="str">
        <f t="shared" si="15"/>
        <v>x</v>
      </c>
      <c r="F83" s="509">
        <f>IF(J83="",-10,INDEX(Results!T:T,MATCH(A83,Results!V:V,0)))</f>
        <v>-7</v>
      </c>
      <c r="G83" s="244">
        <f>IF(J83="","",INDEX(Results!AI:AI,MATCH(A83,Results!V:V,0)))</f>
        <v>197.96153846153845</v>
      </c>
      <c r="H83" s="294">
        <f>IF(G83="",0,1)</f>
        <v>1</v>
      </c>
      <c r="I83" s="505">
        <f>INDEX(Picks!AF:AF,MATCH(A83,Picks!AC:AC,0))</f>
        <v>47</v>
      </c>
      <c r="J83" s="622" t="s">
        <v>649</v>
      </c>
      <c r="K83" s="261" t="str">
        <f>INDEX(Odds!F:F,MATCH(J83,Odds!E:E,0))</f>
        <v>37/13</v>
      </c>
      <c r="L83" s="623">
        <f>INDEX(Odds!G:G,MATCH(J83,Odds!E:E,0))</f>
        <v>3.8461538461538463</v>
      </c>
      <c r="M83" s="643">
        <f>INDEX(Odds!H:H,MATCH(J83,Odds!E:E,0))</f>
        <v>0</v>
      </c>
      <c r="N83" s="625">
        <f t="shared" si="14"/>
        <v>0</v>
      </c>
      <c r="O83" s="626"/>
      <c r="P83" s="66"/>
      <c r="R83" s="42" t="str">
        <f>IF(Odds!E83="","",Odds!E83)</f>
        <v>Derby draw</v>
      </c>
      <c r="S83" s="43" t="str">
        <f>INDEX(Odds!F:F,MATCH(R83,Odds!E:E,0))</f>
        <v>5/2</v>
      </c>
      <c r="T83" s="47">
        <f t="shared" si="10"/>
        <v>0</v>
      </c>
      <c r="AB83" s="100"/>
      <c r="AC83" s="67"/>
      <c r="AD83" s="67"/>
      <c r="AE83" s="610"/>
      <c r="AF83" s="67"/>
    </row>
    <row r="84" spans="1:32" x14ac:dyDescent="0.25">
      <c r="A84" s="627" t="str">
        <f>A83</f>
        <v>James Bell</v>
      </c>
      <c r="B84" s="628" t="str">
        <f t="shared" si="11"/>
        <v>Chelsea draw</v>
      </c>
      <c r="C84" s="629" t="str">
        <f t="shared" si="12"/>
        <v>17/4</v>
      </c>
      <c r="D84" s="630">
        <f t="shared" si="13"/>
        <v>5.25</v>
      </c>
      <c r="E84" s="651" t="str">
        <f t="shared" si="15"/>
        <v>x</v>
      </c>
      <c r="F84" s="631"/>
      <c r="G84" s="644"/>
      <c r="H84" s="294"/>
      <c r="I84" s="506"/>
      <c r="J84" s="622" t="s">
        <v>632</v>
      </c>
      <c r="K84" s="265" t="str">
        <f>INDEX(Odds!F:F,MATCH(J84,Odds!E:E,0))</f>
        <v>17/4</v>
      </c>
      <c r="L84" s="633">
        <f>INDEX(Odds!G:G,MATCH(J84,Odds!E:E,0))</f>
        <v>5.25</v>
      </c>
      <c r="M84" s="624">
        <f>INDEX(Odds!H:H,MATCH(J84,Odds!E:E,0))</f>
        <v>0</v>
      </c>
      <c r="N84" s="625">
        <f t="shared" si="14"/>
        <v>0</v>
      </c>
      <c r="O84" s="626"/>
      <c r="P84" s="66"/>
      <c r="R84" s="42" t="str">
        <f>IF(Odds!E84="","",Odds!E84)</f>
        <v>Forest draw</v>
      </c>
      <c r="S84" s="43" t="str">
        <f>INDEX(Odds!F:F,MATCH(R84,Odds!E:E,0))</f>
        <v>/</v>
      </c>
      <c r="T84" s="47">
        <f t="shared" si="10"/>
        <v>0</v>
      </c>
      <c r="AB84" s="100"/>
      <c r="AC84" s="67"/>
      <c r="AD84" s="67"/>
      <c r="AE84" s="610"/>
      <c r="AF84" s="67"/>
    </row>
    <row r="85" spans="1:32" ht="13.8" thickBot="1" x14ac:dyDescent="0.3">
      <c r="A85" s="634" t="str">
        <f>A83</f>
        <v>James Bell</v>
      </c>
      <c r="B85" s="635" t="str">
        <f t="shared" si="11"/>
        <v>Burnley</v>
      </c>
      <c r="C85" s="636" t="str">
        <f t="shared" si="12"/>
        <v>24/5</v>
      </c>
      <c r="D85" s="637">
        <f t="shared" si="13"/>
        <v>5.8</v>
      </c>
      <c r="E85" s="651" t="str">
        <f t="shared" si="15"/>
        <v>x</v>
      </c>
      <c r="F85" s="631"/>
      <c r="G85" s="644"/>
      <c r="H85" s="294"/>
      <c r="I85" s="506"/>
      <c r="J85" s="638" t="s">
        <v>624</v>
      </c>
      <c r="K85" s="267" t="str">
        <f>INDEX(Odds!F:F,MATCH(J85,Odds!E:E,0))</f>
        <v>24/5</v>
      </c>
      <c r="L85" s="639">
        <f>INDEX(Odds!G:G,MATCH(J85,Odds!E:E,0))</f>
        <v>5.8</v>
      </c>
      <c r="M85" s="624">
        <f>INDEX(Odds!H:H,MATCH(J85,Odds!E:E,0))</f>
        <v>0</v>
      </c>
      <c r="N85" s="640">
        <f t="shared" si="14"/>
        <v>0</v>
      </c>
      <c r="O85" s="641"/>
      <c r="P85" s="66"/>
      <c r="R85" s="42" t="str">
        <f>IF(Odds!E85="","",Odds!E85)</f>
        <v>Hull draw</v>
      </c>
      <c r="S85" s="43" t="str">
        <f>INDEX(Odds!F:F,MATCH(R85,Odds!E:E,0))</f>
        <v>5/2</v>
      </c>
      <c r="T85" s="47">
        <f t="shared" si="10"/>
        <v>1</v>
      </c>
      <c r="AB85" s="100"/>
      <c r="AC85" s="67"/>
      <c r="AD85" s="67"/>
      <c r="AE85" s="610"/>
      <c r="AF85" s="67"/>
    </row>
    <row r="86" spans="1:32" ht="14.4" thickTop="1" thickBot="1" x14ac:dyDescent="0.3">
      <c r="A86" s="618" t="str">
        <f>Results!B86</f>
        <v>John Brown</v>
      </c>
      <c r="B86" s="642" t="str">
        <f t="shared" si="11"/>
        <v>Plymouth</v>
      </c>
      <c r="C86" s="629" t="str">
        <f t="shared" si="12"/>
        <v>5/4</v>
      </c>
      <c r="D86" s="621">
        <f t="shared" si="13"/>
        <v>2.25</v>
      </c>
      <c r="E86" s="652" t="str">
        <f t="shared" si="15"/>
        <v>√</v>
      </c>
      <c r="F86" s="509">
        <f>IF(J86="",-10,INDEX(Results!T:T,MATCH(A86,Results!V:V,0)))</f>
        <v>2.4000000000000004</v>
      </c>
      <c r="G86" s="244">
        <f>IF(J86="","",INDEX(Results!AI:AI,MATCH(A86,Results!V:V,0)))</f>
        <v>32.56</v>
      </c>
      <c r="H86" s="294">
        <f>IF(G86="",0,1)</f>
        <v>1</v>
      </c>
      <c r="I86" s="505">
        <f>INDEX(Picks!AF:AF,MATCH(A86,Picks!AC:AC,0))</f>
        <v>15</v>
      </c>
      <c r="J86" s="622" t="s">
        <v>558</v>
      </c>
      <c r="K86" s="261" t="str">
        <f>INDEX(Odds!F:F,MATCH(J86,Odds!E:E,0))</f>
        <v>5/4</v>
      </c>
      <c r="L86" s="623">
        <f>INDEX(Odds!G:G,MATCH(J86,Odds!E:E,0))</f>
        <v>2.25</v>
      </c>
      <c r="M86" s="643">
        <f>INDEX(Odds!H:H,MATCH(J86,Odds!E:E,0))</f>
        <v>1</v>
      </c>
      <c r="N86" s="625">
        <f t="shared" si="14"/>
        <v>2.25</v>
      </c>
      <c r="O86" s="626"/>
      <c r="P86" s="66"/>
      <c r="R86" s="42" t="str">
        <f>IF(Odds!E86="","",Odds!E86)</f>
        <v>Ipswich draw</v>
      </c>
      <c r="S86" s="43" t="str">
        <f>INDEX(Odds!F:F,MATCH(R86,Odds!E:E,0))</f>
        <v>37/13</v>
      </c>
      <c r="T86" s="47">
        <f t="shared" si="10"/>
        <v>0</v>
      </c>
      <c r="AB86" s="100"/>
      <c r="AC86" s="67"/>
      <c r="AD86" s="67"/>
      <c r="AE86" s="610"/>
      <c r="AF86" s="67"/>
    </row>
    <row r="87" spans="1:32" x14ac:dyDescent="0.25">
      <c r="A87" s="627" t="str">
        <f>A86</f>
        <v>John Brown</v>
      </c>
      <c r="B87" s="628" t="str">
        <f t="shared" si="11"/>
        <v>MK Dons</v>
      </c>
      <c r="C87" s="629" t="str">
        <f t="shared" si="12"/>
        <v>6/5</v>
      </c>
      <c r="D87" s="630">
        <f t="shared" si="13"/>
        <v>2.2000000000000002</v>
      </c>
      <c r="E87" s="651" t="str">
        <f t="shared" si="15"/>
        <v>√</v>
      </c>
      <c r="F87" s="631"/>
      <c r="G87" s="644"/>
      <c r="H87" s="294"/>
      <c r="I87" s="506"/>
      <c r="J87" s="622" t="s">
        <v>559</v>
      </c>
      <c r="K87" s="265" t="str">
        <f>INDEX(Odds!F:F,MATCH(J87,Odds!E:E,0))</f>
        <v>6/5</v>
      </c>
      <c r="L87" s="633">
        <f>INDEX(Odds!G:G,MATCH(J87,Odds!E:E,0))</f>
        <v>2.2000000000000002</v>
      </c>
      <c r="M87" s="624">
        <f>INDEX(Odds!H:H,MATCH(J87,Odds!E:E,0))</f>
        <v>1</v>
      </c>
      <c r="N87" s="625">
        <f t="shared" si="14"/>
        <v>2.2000000000000002</v>
      </c>
      <c r="O87" s="626"/>
      <c r="P87" s="66"/>
      <c r="R87" s="42" t="str">
        <f>IF(Odds!E87="","",Odds!E87)</f>
        <v>Reading draw</v>
      </c>
      <c r="S87" s="43" t="str">
        <f>INDEX(Odds!F:F,MATCH(R87,Odds!E:E,0))</f>
        <v>12/5</v>
      </c>
      <c r="T87" s="47">
        <f t="shared" si="10"/>
        <v>1</v>
      </c>
      <c r="AB87" s="100"/>
      <c r="AC87" s="67"/>
      <c r="AD87" s="67"/>
      <c r="AE87" s="610"/>
      <c r="AF87" s="67"/>
    </row>
    <row r="88" spans="1:32" ht="13.8" thickBot="1" x14ac:dyDescent="0.3">
      <c r="A88" s="634" t="str">
        <f>A86</f>
        <v>John Brown</v>
      </c>
      <c r="B88" s="635" t="str">
        <f t="shared" si="11"/>
        <v>Shrewsbury</v>
      </c>
      <c r="C88" s="636" t="str">
        <f t="shared" si="12"/>
        <v>19/10</v>
      </c>
      <c r="D88" s="637">
        <f t="shared" si="13"/>
        <v>2.9</v>
      </c>
      <c r="E88" s="651" t="str">
        <f t="shared" si="15"/>
        <v>x</v>
      </c>
      <c r="F88" s="631"/>
      <c r="G88" s="644"/>
      <c r="H88" s="294"/>
      <c r="I88" s="506"/>
      <c r="J88" s="638" t="s">
        <v>522</v>
      </c>
      <c r="K88" s="267" t="str">
        <f>INDEX(Odds!F:F,MATCH(J88,Odds!E:E,0))</f>
        <v>19/10</v>
      </c>
      <c r="L88" s="639">
        <f>INDEX(Odds!G:G,MATCH(J88,Odds!E:E,0))</f>
        <v>2.9</v>
      </c>
      <c r="M88" s="624">
        <f>INDEX(Odds!H:H,MATCH(J88,Odds!E:E,0))</f>
        <v>0</v>
      </c>
      <c r="N88" s="640">
        <f t="shared" si="14"/>
        <v>0</v>
      </c>
      <c r="O88" s="641"/>
      <c r="P88" s="66"/>
      <c r="R88" s="42" t="str">
        <f>IF(Odds!E88="","",Odds!E88)</f>
        <v>Rotherham draw</v>
      </c>
      <c r="S88" s="43" t="str">
        <f>INDEX(Odds!F:F,MATCH(R88,Odds!E:E,0))</f>
        <v>11/4</v>
      </c>
      <c r="T88" s="47">
        <f t="shared" si="10"/>
        <v>0</v>
      </c>
      <c r="AB88" s="100"/>
      <c r="AC88" s="67"/>
      <c r="AD88" s="67"/>
      <c r="AE88" s="610"/>
      <c r="AF88" s="67"/>
    </row>
    <row r="89" spans="1:32" ht="14.4" thickTop="1" thickBot="1" x14ac:dyDescent="0.3">
      <c r="A89" s="618" t="str">
        <f>Results!B89</f>
        <v>John Evans</v>
      </c>
      <c r="B89" s="642" t="str">
        <f t="shared" si="11"/>
        <v>West Ham</v>
      </c>
      <c r="C89" s="629" t="str">
        <f t="shared" si="12"/>
        <v>11/8</v>
      </c>
      <c r="D89" s="621">
        <f t="shared" si="13"/>
        <v>2.375</v>
      </c>
      <c r="E89" s="652" t="str">
        <f t="shared" si="15"/>
        <v>√</v>
      </c>
      <c r="F89" s="509">
        <f>IF(J89="",-10,INDEX(Results!T:T,MATCH(A89,Results!V:V,0)))</f>
        <v>25.969374999999999</v>
      </c>
      <c r="G89" s="244">
        <f>IF(J89="","",INDEX(Results!AI:AI,MATCH(A89,Results!V:V,0)))</f>
        <v>25.969374999999999</v>
      </c>
      <c r="H89" s="294">
        <f>IF(G89="",0,1)</f>
        <v>1</v>
      </c>
      <c r="I89" s="505">
        <f>INDEX(Picks!AF:AF,MATCH(A89,Picks!AC:AC,0))</f>
        <v>4</v>
      </c>
      <c r="J89" s="622" t="s">
        <v>622</v>
      </c>
      <c r="K89" s="261" t="str">
        <f>INDEX(Odds!F:F,MATCH(J89,Odds!E:E,0))</f>
        <v>11/8</v>
      </c>
      <c r="L89" s="623">
        <f>INDEX(Odds!G:G,MATCH(J89,Odds!E:E,0))</f>
        <v>2.375</v>
      </c>
      <c r="M89" s="643">
        <f>INDEX(Odds!H:H,MATCH(J89,Odds!E:E,0))</f>
        <v>1</v>
      </c>
      <c r="N89" s="625">
        <f t="shared" si="14"/>
        <v>2.375</v>
      </c>
      <c r="O89" s="626"/>
      <c r="P89" s="66"/>
      <c r="R89" s="42" t="str">
        <f>IF(Odds!E89="","",Odds!E89)</f>
        <v>Sheff W draw</v>
      </c>
      <c r="S89" s="43" t="str">
        <f>INDEX(Odds!F:F,MATCH(R89,Odds!E:E,0))</f>
        <v>27/10</v>
      </c>
      <c r="T89" s="47">
        <f t="shared" si="10"/>
        <v>0</v>
      </c>
      <c r="AB89" s="100"/>
      <c r="AC89" s="67"/>
      <c r="AD89" s="67"/>
      <c r="AE89" s="610"/>
      <c r="AF89" s="67"/>
    </row>
    <row r="90" spans="1:32" x14ac:dyDescent="0.25">
      <c r="A90" s="627" t="str">
        <f>A89</f>
        <v>John Evans</v>
      </c>
      <c r="B90" s="628" t="str">
        <f t="shared" si="11"/>
        <v>Wycombe</v>
      </c>
      <c r="C90" s="629" t="str">
        <f t="shared" si="12"/>
        <v>21/20</v>
      </c>
      <c r="D90" s="630">
        <f t="shared" si="13"/>
        <v>2.0499999999999998</v>
      </c>
      <c r="E90" s="651" t="str">
        <f t="shared" si="15"/>
        <v>√</v>
      </c>
      <c r="F90" s="631"/>
      <c r="G90" s="644"/>
      <c r="H90" s="294"/>
      <c r="I90" s="506"/>
      <c r="J90" s="622" t="s">
        <v>614</v>
      </c>
      <c r="K90" s="265" t="str">
        <f>INDEX(Odds!F:F,MATCH(J90,Odds!E:E,0))</f>
        <v>21/20</v>
      </c>
      <c r="L90" s="633">
        <f>INDEX(Odds!G:G,MATCH(J90,Odds!E:E,0))</f>
        <v>2.0499999999999998</v>
      </c>
      <c r="M90" s="624">
        <f>INDEX(Odds!H:H,MATCH(J90,Odds!E:E,0))</f>
        <v>1</v>
      </c>
      <c r="N90" s="625">
        <f t="shared" si="14"/>
        <v>2.0499999999999998</v>
      </c>
      <c r="O90" s="626"/>
      <c r="P90" s="66"/>
      <c r="R90" s="42" t="str">
        <f>IF(Odds!E90="","",Odds!E90)</f>
        <v>Stoke draw</v>
      </c>
      <c r="S90" s="43" t="str">
        <f>INDEX(Odds!F:F,MATCH(R90,Odds!E:E,0))</f>
        <v>5/2</v>
      </c>
      <c r="T90" s="47">
        <f t="shared" si="10"/>
        <v>1</v>
      </c>
      <c r="AB90" s="100"/>
      <c r="AC90" s="67"/>
      <c r="AD90" s="67"/>
      <c r="AE90" s="610"/>
      <c r="AF90" s="67"/>
    </row>
    <row r="91" spans="1:32" ht="13.8" thickBot="1" x14ac:dyDescent="0.3">
      <c r="A91" s="634" t="str">
        <f>A89</f>
        <v>John Evans</v>
      </c>
      <c r="B91" s="635" t="str">
        <f t="shared" si="11"/>
        <v>Wigan</v>
      </c>
      <c r="C91" s="636" t="str">
        <f t="shared" si="12"/>
        <v>13/10</v>
      </c>
      <c r="D91" s="637">
        <f t="shared" si="13"/>
        <v>2.2999999999999998</v>
      </c>
      <c r="E91" s="651" t="str">
        <f t="shared" si="15"/>
        <v>√</v>
      </c>
      <c r="F91" s="631"/>
      <c r="G91" s="644"/>
      <c r="H91" s="294"/>
      <c r="I91" s="506"/>
      <c r="J91" s="638" t="s">
        <v>430</v>
      </c>
      <c r="K91" s="267" t="str">
        <f>INDEX(Odds!F:F,MATCH(J91,Odds!E:E,0))</f>
        <v>13/10</v>
      </c>
      <c r="L91" s="639">
        <f>INDEX(Odds!G:G,MATCH(J91,Odds!E:E,0))</f>
        <v>2.2999999999999998</v>
      </c>
      <c r="M91" s="624">
        <f>INDEX(Odds!H:H,MATCH(J91,Odds!E:E,0))</f>
        <v>1</v>
      </c>
      <c r="N91" s="640">
        <f t="shared" si="14"/>
        <v>2.2999999999999998</v>
      </c>
      <c r="O91" s="641"/>
      <c r="P91" s="66"/>
      <c r="R91" s="42" t="str">
        <f>IF(Odds!E91="","",Odds!E91)</f>
        <v>Villa draw</v>
      </c>
      <c r="S91" s="43" t="str">
        <f>INDEX(Odds!F:F,MATCH(R91,Odds!E:E,0))</f>
        <v>13/5</v>
      </c>
      <c r="T91" s="47">
        <f t="shared" si="10"/>
        <v>0</v>
      </c>
      <c r="AB91" s="100"/>
      <c r="AC91" s="67"/>
      <c r="AD91" s="67"/>
      <c r="AE91" s="610"/>
      <c r="AF91" s="67"/>
    </row>
    <row r="92" spans="1:32" ht="14.4" thickTop="1" thickBot="1" x14ac:dyDescent="0.3">
      <c r="A92" s="618" t="str">
        <f>Results!B92</f>
        <v>John Robinson</v>
      </c>
      <c r="B92" s="642" t="str">
        <f t="shared" si="11"/>
        <v/>
      </c>
      <c r="C92" s="629" t="str">
        <f t="shared" si="12"/>
        <v/>
      </c>
      <c r="D92" s="621" t="str">
        <f t="shared" si="13"/>
        <v/>
      </c>
      <c r="E92" s="652" t="str">
        <f t="shared" si="15"/>
        <v/>
      </c>
      <c r="F92" s="509">
        <f>IF(J92="",-10,INDEX(Results!T:T,MATCH(A92,Results!V:V,0)))</f>
        <v>-10</v>
      </c>
      <c r="G92" s="244" t="str">
        <f>IF(J92="","",INDEX(Results!AI:AI,MATCH(A92,Results!V:V,0)))</f>
        <v/>
      </c>
      <c r="H92" s="294">
        <f>IF(G92="",0,1)</f>
        <v>0</v>
      </c>
      <c r="I92" s="505">
        <f>INDEX(Picks!AF:AF,MATCH(A92,Picks!AC:AC,0))</f>
        <v>63</v>
      </c>
      <c r="J92" s="622"/>
      <c r="K92" s="261" t="e">
        <f>INDEX(Odds!F:F,MATCH(J92,Odds!E:E,0))</f>
        <v>#N/A</v>
      </c>
      <c r="L92" s="623" t="e">
        <f>INDEX(Odds!G:G,MATCH(J92,Odds!E:E,0))</f>
        <v>#N/A</v>
      </c>
      <c r="M92" s="643" t="e">
        <f>INDEX(Odds!H:H,MATCH(J92,Odds!E:E,0))</f>
        <v>#N/A</v>
      </c>
      <c r="N92" s="625" t="e">
        <f t="shared" si="14"/>
        <v>#N/A</v>
      </c>
      <c r="O92" s="626"/>
      <c r="P92" s="66"/>
      <c r="R92" s="42" t="str">
        <f>IF(Odds!E92="","",Odds!E92)</f>
        <v>Wigan draw</v>
      </c>
      <c r="S92" s="43" t="str">
        <f>INDEX(Odds!F:F,MATCH(R92,Odds!E:E,0))</f>
        <v>12/5</v>
      </c>
      <c r="T92" s="47">
        <f t="shared" si="10"/>
        <v>0</v>
      </c>
      <c r="AB92" s="100"/>
      <c r="AC92" s="67"/>
      <c r="AD92" s="67"/>
      <c r="AE92" s="610"/>
      <c r="AF92" s="67"/>
    </row>
    <row r="93" spans="1:32" x14ac:dyDescent="0.25">
      <c r="A93" s="627" t="str">
        <f>A92</f>
        <v>John Robinson</v>
      </c>
      <c r="B93" s="628" t="str">
        <f t="shared" si="11"/>
        <v/>
      </c>
      <c r="C93" s="629" t="str">
        <f t="shared" si="12"/>
        <v/>
      </c>
      <c r="D93" s="630" t="str">
        <f t="shared" si="13"/>
        <v/>
      </c>
      <c r="E93" s="651" t="str">
        <f t="shared" si="15"/>
        <v/>
      </c>
      <c r="F93" s="631"/>
      <c r="G93" s="644"/>
      <c r="H93" s="294"/>
      <c r="I93" s="506"/>
      <c r="J93" s="622"/>
      <c r="K93" s="265" t="e">
        <f>INDEX(Odds!F:F,MATCH(J93,Odds!E:E,0))</f>
        <v>#N/A</v>
      </c>
      <c r="L93" s="633" t="e">
        <f>INDEX(Odds!G:G,MATCH(J93,Odds!E:E,0))</f>
        <v>#N/A</v>
      </c>
      <c r="M93" s="624" t="e">
        <f>INDEX(Odds!H:H,MATCH(J93,Odds!E:E,0))</f>
        <v>#N/A</v>
      </c>
      <c r="N93" s="625" t="e">
        <f t="shared" si="14"/>
        <v>#N/A</v>
      </c>
      <c r="O93" s="626"/>
      <c r="P93" s="66"/>
      <c r="R93" s="48" t="str">
        <f>IF(Odds!E93="","",Odds!E93)</f>
        <v/>
      </c>
      <c r="S93" s="49" t="str">
        <f>INDEX(Odds!F:F,MATCH(R93,Odds!E:E,0))</f>
        <v/>
      </c>
      <c r="T93" s="50" t="e">
        <f t="shared" si="10"/>
        <v>#N/A</v>
      </c>
      <c r="AB93" s="100"/>
      <c r="AC93" s="67"/>
      <c r="AD93" s="67"/>
      <c r="AE93" s="610"/>
      <c r="AF93" s="67"/>
    </row>
    <row r="94" spans="1:32" ht="13.8" thickBot="1" x14ac:dyDescent="0.3">
      <c r="A94" s="634" t="str">
        <f>A92</f>
        <v>John Robinson</v>
      </c>
      <c r="B94" s="635" t="str">
        <f t="shared" si="11"/>
        <v/>
      </c>
      <c r="C94" s="636" t="str">
        <f t="shared" si="12"/>
        <v/>
      </c>
      <c r="D94" s="637" t="str">
        <f t="shared" si="13"/>
        <v/>
      </c>
      <c r="E94" s="651" t="str">
        <f t="shared" si="15"/>
        <v/>
      </c>
      <c r="F94" s="631"/>
      <c r="G94" s="644"/>
      <c r="H94" s="294"/>
      <c r="I94" s="506"/>
      <c r="J94" s="638"/>
      <c r="K94" s="267" t="e">
        <f>INDEX(Odds!F:F,MATCH(J94,Odds!E:E,0))</f>
        <v>#N/A</v>
      </c>
      <c r="L94" s="639" t="e">
        <f>INDEX(Odds!G:G,MATCH(J94,Odds!E:E,0))</f>
        <v>#N/A</v>
      </c>
      <c r="M94" s="624" t="e">
        <f>INDEX(Odds!H:H,MATCH(J94,Odds!E:E,0))</f>
        <v>#N/A</v>
      </c>
      <c r="N94" s="640" t="e">
        <f t="shared" si="14"/>
        <v>#N/A</v>
      </c>
      <c r="O94" s="641"/>
      <c r="P94" s="66"/>
      <c r="R94" s="44" t="str">
        <f>IF(Odds!E94="","",Odds!E94)</f>
        <v>Burnley</v>
      </c>
      <c r="S94" s="45" t="str">
        <f>INDEX(Odds!F:F,MATCH(R94,Odds!E:E,0))</f>
        <v>24/5</v>
      </c>
      <c r="T94" s="46">
        <f t="shared" ref="T94:T139" si="16">IF(V2&lt;X2,1,0)</f>
        <v>0</v>
      </c>
      <c r="AB94" s="100"/>
      <c r="AC94" s="67"/>
      <c r="AD94" s="67"/>
      <c r="AE94" s="610"/>
      <c r="AF94" s="67"/>
    </row>
    <row r="95" spans="1:32" ht="13.5" customHeight="1" thickTop="1" thickBot="1" x14ac:dyDescent="0.3">
      <c r="A95" s="618" t="str">
        <f>Results!B95</f>
        <v>John Ronan</v>
      </c>
      <c r="B95" s="642" t="str">
        <f t="shared" si="11"/>
        <v>Crawley</v>
      </c>
      <c r="C95" s="629" t="str">
        <f t="shared" si="12"/>
        <v>3/1</v>
      </c>
      <c r="D95" s="621">
        <f t="shared" si="13"/>
        <v>4</v>
      </c>
      <c r="E95" s="652" t="str">
        <f t="shared" si="15"/>
        <v>√</v>
      </c>
      <c r="F95" s="509">
        <f>IF(J95="",-10,INDEX(Results!T:T,MATCH(A95,Results!V:V,0)))</f>
        <v>-3</v>
      </c>
      <c r="G95" s="244">
        <f>IF(J95="","",INDEX(Results!AI:AI,MATCH(A95,Results!V:V,0)))</f>
        <v>57.625</v>
      </c>
      <c r="H95" s="294">
        <f>IF(G95="",0,1)</f>
        <v>1</v>
      </c>
      <c r="I95" s="505">
        <f>INDEX(Picks!AF:AF,MATCH(A95,Picks!AC:AC,0))</f>
        <v>32</v>
      </c>
      <c r="J95" s="622" t="s">
        <v>532</v>
      </c>
      <c r="K95" s="261" t="str">
        <f>INDEX(Odds!F:F,MATCH(J95,Odds!E:E,0))</f>
        <v>3/1</v>
      </c>
      <c r="L95" s="623">
        <f>INDEX(Odds!G:G,MATCH(J95,Odds!E:E,0))</f>
        <v>4</v>
      </c>
      <c r="M95" s="643">
        <f>INDEX(Odds!H:H,MATCH(J95,Odds!E:E,0))</f>
        <v>1</v>
      </c>
      <c r="N95" s="625">
        <f t="shared" si="14"/>
        <v>4</v>
      </c>
      <c r="O95" s="626"/>
      <c r="P95" s="66"/>
      <c r="R95" s="42" t="str">
        <f>IF(Odds!E95="","",Odds!E95)</f>
        <v>Spurs</v>
      </c>
      <c r="S95" s="43" t="str">
        <f>INDEX(Odds!F:F,MATCH(R95,Odds!E:E,0))</f>
        <v>3/4</v>
      </c>
      <c r="T95" s="47">
        <f t="shared" si="16"/>
        <v>0</v>
      </c>
      <c r="AB95" s="100"/>
      <c r="AC95" s="67"/>
      <c r="AD95" s="67"/>
      <c r="AE95" s="610"/>
      <c r="AF95" s="67"/>
    </row>
    <row r="96" spans="1:32" x14ac:dyDescent="0.25">
      <c r="A96" s="627" t="str">
        <f>A95</f>
        <v>John Ronan</v>
      </c>
      <c r="B96" s="628" t="str">
        <f t="shared" si="11"/>
        <v>Reading</v>
      </c>
      <c r="C96" s="629" t="str">
        <f t="shared" si="12"/>
        <v>7/4</v>
      </c>
      <c r="D96" s="630">
        <f t="shared" si="13"/>
        <v>2.75</v>
      </c>
      <c r="E96" s="651" t="str">
        <f t="shared" si="15"/>
        <v>x</v>
      </c>
      <c r="F96" s="631"/>
      <c r="G96" s="644"/>
      <c r="H96" s="294"/>
      <c r="I96" s="506"/>
      <c r="J96" s="622" t="s">
        <v>603</v>
      </c>
      <c r="K96" s="265" t="str">
        <f>INDEX(Odds!F:F,MATCH(J96,Odds!E:E,0))</f>
        <v>7/4</v>
      </c>
      <c r="L96" s="633">
        <f>INDEX(Odds!G:G,MATCH(J96,Odds!E:E,0))</f>
        <v>2.75</v>
      </c>
      <c r="M96" s="624">
        <f>INDEX(Odds!H:H,MATCH(J96,Odds!E:E,0))</f>
        <v>0</v>
      </c>
      <c r="N96" s="625">
        <f t="shared" si="14"/>
        <v>0</v>
      </c>
      <c r="O96" s="626"/>
      <c r="P96" s="66"/>
      <c r="R96" s="42" t="str">
        <f>IF(Odds!E96="","",Odds!E96)</f>
        <v>Palace</v>
      </c>
      <c r="S96" s="43" t="str">
        <f>INDEX(Odds!F:F,MATCH(R96,Odds!E:E,0))</f>
        <v>8/5</v>
      </c>
      <c r="T96" s="47">
        <f t="shared" si="16"/>
        <v>1</v>
      </c>
      <c r="AB96" s="100"/>
      <c r="AC96" s="67"/>
      <c r="AD96" s="67"/>
      <c r="AE96" s="610"/>
      <c r="AF96" s="67"/>
    </row>
    <row r="97" spans="1:32" ht="13.8" thickBot="1" x14ac:dyDescent="0.3">
      <c r="A97" s="634" t="str">
        <f>A95</f>
        <v>John Ronan</v>
      </c>
      <c r="B97" s="635" t="str">
        <f t="shared" si="11"/>
        <v>Villa</v>
      </c>
      <c r="C97" s="636" t="str">
        <f t="shared" si="12"/>
        <v>6/4</v>
      </c>
      <c r="D97" s="637">
        <f t="shared" si="13"/>
        <v>2.5</v>
      </c>
      <c r="E97" s="651" t="str">
        <f t="shared" si="15"/>
        <v>x</v>
      </c>
      <c r="F97" s="631"/>
      <c r="G97" s="644"/>
      <c r="H97" s="294"/>
      <c r="I97" s="506"/>
      <c r="J97" s="638" t="s">
        <v>609</v>
      </c>
      <c r="K97" s="267" t="str">
        <f>INDEX(Odds!F:F,MATCH(J97,Odds!E:E,0))</f>
        <v>6/4</v>
      </c>
      <c r="L97" s="639">
        <f>INDEX(Odds!G:G,MATCH(J97,Odds!E:E,0))</f>
        <v>2.5</v>
      </c>
      <c r="M97" s="624">
        <f>INDEX(Odds!H:H,MATCH(J97,Odds!E:E,0))</f>
        <v>0</v>
      </c>
      <c r="N97" s="640">
        <f t="shared" si="14"/>
        <v>0</v>
      </c>
      <c r="O97" s="641"/>
      <c r="P97" s="66"/>
      <c r="R97" s="42" t="str">
        <f>IF(Odds!E97="","",Odds!E97)</f>
        <v>Liverpool</v>
      </c>
      <c r="S97" s="43" t="str">
        <f>INDEX(Odds!F:F,MATCH(R97,Odds!E:E,0))</f>
        <v>1/3</v>
      </c>
      <c r="T97" s="47">
        <f t="shared" si="16"/>
        <v>1</v>
      </c>
      <c r="AB97" s="100"/>
      <c r="AC97" s="67"/>
      <c r="AD97" s="67"/>
      <c r="AE97" s="610"/>
      <c r="AF97" s="67"/>
    </row>
    <row r="98" spans="1:32" ht="14.4" thickTop="1" thickBot="1" x14ac:dyDescent="0.3">
      <c r="A98" s="618" t="str">
        <f>Results!B98</f>
        <v>Kei Lok Ma</v>
      </c>
      <c r="B98" s="642" t="str">
        <f t="shared" si="11"/>
        <v>West Ham</v>
      </c>
      <c r="C98" s="629" t="str">
        <f t="shared" si="12"/>
        <v>11/8</v>
      </c>
      <c r="D98" s="621">
        <f t="shared" si="13"/>
        <v>2.375</v>
      </c>
      <c r="E98" s="652" t="str">
        <f t="shared" si="15"/>
        <v>√</v>
      </c>
      <c r="F98" s="509">
        <f>IF(J98="",-10,INDEX(Results!T:T,MATCH(A98,Results!V:V,0)))</f>
        <v>-4.625</v>
      </c>
      <c r="G98" s="244">
        <f>IF(J98="","",INDEX(Results!AI:AI,MATCH(A98,Results!V:V,0)))</f>
        <v>81.6484375</v>
      </c>
      <c r="H98" s="294">
        <f>IF(G98="",0,1)</f>
        <v>1</v>
      </c>
      <c r="I98" s="505">
        <f>INDEX(Picks!AF:AF,MATCH(A98,Picks!AC:AC,0))</f>
        <v>38</v>
      </c>
      <c r="J98" s="622" t="s">
        <v>622</v>
      </c>
      <c r="K98" s="261" t="str">
        <f>INDEX(Odds!F:F,MATCH(J98,Odds!E:E,0))</f>
        <v>11/8</v>
      </c>
      <c r="L98" s="623">
        <f>INDEX(Odds!G:G,MATCH(J98,Odds!E:E,0))</f>
        <v>2.375</v>
      </c>
      <c r="M98" s="643">
        <f>INDEX(Odds!H:H,MATCH(J98,Odds!E:E,0))</f>
        <v>1</v>
      </c>
      <c r="N98" s="625">
        <f t="shared" ref="N98:N148" si="17">L98*M98</f>
        <v>2.375</v>
      </c>
      <c r="O98" s="626"/>
      <c r="P98" s="66"/>
      <c r="R98" s="42" t="str">
        <f>IF(Odds!E98="","",Odds!E98)</f>
        <v>Southampton</v>
      </c>
      <c r="S98" s="43" t="str">
        <f>INDEX(Odds!F:F,MATCH(R98,Odds!E:E,0))</f>
        <v>15/8</v>
      </c>
      <c r="T98" s="47">
        <f t="shared" si="16"/>
        <v>0</v>
      </c>
      <c r="AB98" s="100"/>
      <c r="AC98" s="67"/>
      <c r="AD98" s="67"/>
      <c r="AE98" s="610"/>
      <c r="AF98" s="67"/>
    </row>
    <row r="99" spans="1:32" x14ac:dyDescent="0.25">
      <c r="A99" s="627" t="str">
        <f>A98</f>
        <v>Kei Lok Ma</v>
      </c>
      <c r="B99" s="628" t="str">
        <f t="shared" si="11"/>
        <v>Cardiff draw</v>
      </c>
      <c r="C99" s="629" t="str">
        <f t="shared" si="12"/>
        <v>9/4</v>
      </c>
      <c r="D99" s="630">
        <f t="shared" si="13"/>
        <v>3.25</v>
      </c>
      <c r="E99" s="651" t="str">
        <f t="shared" si="15"/>
        <v>x</v>
      </c>
      <c r="F99" s="631"/>
      <c r="G99" s="644"/>
      <c r="H99" s="294"/>
      <c r="I99" s="506"/>
      <c r="J99" s="622" t="s">
        <v>651</v>
      </c>
      <c r="K99" s="265" t="str">
        <f>INDEX(Odds!F:F,MATCH(J99,Odds!E:E,0))</f>
        <v>9/4</v>
      </c>
      <c r="L99" s="633">
        <f>INDEX(Odds!G:G,MATCH(J99,Odds!E:E,0))</f>
        <v>3.25</v>
      </c>
      <c r="M99" s="624">
        <f>INDEX(Odds!H:H,MATCH(J99,Odds!E:E,0))</f>
        <v>0</v>
      </c>
      <c r="N99" s="625">
        <f t="shared" si="17"/>
        <v>0</v>
      </c>
      <c r="O99" s="626"/>
      <c r="P99" s="66"/>
      <c r="R99" s="42" t="str">
        <f>IF(Odds!E99="","",Odds!E99)</f>
        <v>Fulham</v>
      </c>
      <c r="S99" s="43" t="str">
        <f>INDEX(Odds!F:F,MATCH(R99,Odds!E:E,0))</f>
        <v>11/2</v>
      </c>
      <c r="T99" s="47">
        <f t="shared" si="16"/>
        <v>0</v>
      </c>
      <c r="AB99" s="100"/>
      <c r="AC99" s="67"/>
      <c r="AD99" s="67"/>
      <c r="AE99" s="610"/>
      <c r="AF99" s="67"/>
    </row>
    <row r="100" spans="1:32" ht="13.8" thickBot="1" x14ac:dyDescent="0.3">
      <c r="A100" s="634" t="str">
        <f>A98</f>
        <v>Kei Lok Ma</v>
      </c>
      <c r="B100" s="635" t="str">
        <f t="shared" si="11"/>
        <v>Chelsea draw</v>
      </c>
      <c r="C100" s="636" t="str">
        <f t="shared" si="12"/>
        <v>17/4</v>
      </c>
      <c r="D100" s="637">
        <f t="shared" si="13"/>
        <v>5.25</v>
      </c>
      <c r="E100" s="651" t="str">
        <f t="shared" si="15"/>
        <v>x</v>
      </c>
      <c r="F100" s="631"/>
      <c r="G100" s="644"/>
      <c r="H100" s="294"/>
      <c r="I100" s="506"/>
      <c r="J100" s="638" t="s">
        <v>632</v>
      </c>
      <c r="K100" s="267" t="str">
        <f>INDEX(Odds!F:F,MATCH(J100,Odds!E:E,0))</f>
        <v>17/4</v>
      </c>
      <c r="L100" s="639">
        <f>INDEX(Odds!G:G,MATCH(J100,Odds!E:E,0))</f>
        <v>5.25</v>
      </c>
      <c r="M100" s="624">
        <f>INDEX(Odds!H:H,MATCH(J100,Odds!E:E,0))</f>
        <v>0</v>
      </c>
      <c r="N100" s="640">
        <f t="shared" si="17"/>
        <v>0</v>
      </c>
      <c r="O100" s="641"/>
      <c r="P100" s="66"/>
      <c r="R100" s="42" t="str">
        <f>IF(Odds!E100="","",Odds!E100)</f>
        <v>Gillingham</v>
      </c>
      <c r="S100" s="43" t="str">
        <f>INDEX(Odds!F:F,MATCH(R100,Odds!E:E,0))</f>
        <v>9/4</v>
      </c>
      <c r="T100" s="47">
        <f t="shared" si="16"/>
        <v>1</v>
      </c>
      <c r="AB100" s="100"/>
      <c r="AC100" s="67"/>
      <c r="AD100" s="67"/>
      <c r="AE100" s="610"/>
      <c r="AF100" s="67"/>
    </row>
    <row r="101" spans="1:32" ht="14.4" thickTop="1" thickBot="1" x14ac:dyDescent="0.3">
      <c r="A101" s="618" t="str">
        <f>Results!B101</f>
        <v>Kevin Carter</v>
      </c>
      <c r="B101" s="642" t="str">
        <f t="shared" si="11"/>
        <v>Palace</v>
      </c>
      <c r="C101" s="629" t="str">
        <f t="shared" si="12"/>
        <v>8/5</v>
      </c>
      <c r="D101" s="621">
        <f t="shared" si="13"/>
        <v>2.6</v>
      </c>
      <c r="E101" s="652" t="str">
        <f t="shared" si="15"/>
        <v>√</v>
      </c>
      <c r="F101" s="509">
        <f>IF(J101="",-10,INDEX(Results!T:T,MATCH(A101,Results!V:V,0)))</f>
        <v>104.75200000000001</v>
      </c>
      <c r="G101" s="244">
        <f>IF(J101="","",INDEX(Results!AI:AI,MATCH(A101,Results!V:V,0)))</f>
        <v>104.75200000000001</v>
      </c>
      <c r="H101" s="294">
        <f>IF(G101="",0,1)</f>
        <v>1</v>
      </c>
      <c r="I101" s="505">
        <f>INDEX(Picks!AF:AF,MATCH(A101,Picks!AC:AC,0))</f>
        <v>1</v>
      </c>
      <c r="J101" s="622" t="s">
        <v>592</v>
      </c>
      <c r="K101" s="261" t="str">
        <f>INDEX(Odds!F:F,MATCH(J101,Odds!E:E,0))</f>
        <v>8/5</v>
      </c>
      <c r="L101" s="623">
        <f>INDEX(Odds!G:G,MATCH(J101,Odds!E:E,0))</f>
        <v>2.6</v>
      </c>
      <c r="M101" s="643">
        <f>INDEX(Odds!H:H,MATCH(J101,Odds!E:E,0))</f>
        <v>1</v>
      </c>
      <c r="N101" s="625">
        <f t="shared" si="17"/>
        <v>2.6</v>
      </c>
      <c r="O101" s="626"/>
      <c r="P101" s="66"/>
      <c r="R101" s="42" t="str">
        <f>IF(Odds!E101="","",Odds!E101)</f>
        <v>Wimbledon</v>
      </c>
      <c r="S101" s="43" t="str">
        <f>INDEX(Odds!F:F,MATCH(R101,Odds!E:E,0))</f>
        <v>1/1</v>
      </c>
      <c r="T101" s="47">
        <f t="shared" si="16"/>
        <v>0</v>
      </c>
      <c r="AB101" s="100"/>
      <c r="AC101" s="67"/>
      <c r="AD101" s="67"/>
      <c r="AE101" s="610"/>
      <c r="AF101" s="67"/>
    </row>
    <row r="102" spans="1:32" x14ac:dyDescent="0.25">
      <c r="A102" s="627" t="str">
        <f>A101</f>
        <v>Kevin Carter</v>
      </c>
      <c r="B102" s="628" t="str">
        <f t="shared" si="11"/>
        <v>Bournemouth</v>
      </c>
      <c r="C102" s="629" t="str">
        <f t="shared" si="12"/>
        <v>17/5</v>
      </c>
      <c r="D102" s="630">
        <f t="shared" si="13"/>
        <v>4.4000000000000004</v>
      </c>
      <c r="E102" s="651" t="str">
        <f t="shared" si="15"/>
        <v>√</v>
      </c>
      <c r="F102" s="631"/>
      <c r="G102" s="644"/>
      <c r="H102" s="294"/>
      <c r="I102" s="506"/>
      <c r="J102" s="622" t="s">
        <v>591</v>
      </c>
      <c r="K102" s="265" t="str">
        <f>INDEX(Odds!F:F,MATCH(J102,Odds!E:E,0))</f>
        <v>17/5</v>
      </c>
      <c r="L102" s="633">
        <f>INDEX(Odds!G:G,MATCH(J102,Odds!E:E,0))</f>
        <v>4.4000000000000004</v>
      </c>
      <c r="M102" s="624">
        <f>INDEX(Odds!H:H,MATCH(J102,Odds!E:E,0))</f>
        <v>1</v>
      </c>
      <c r="N102" s="625">
        <f t="shared" si="17"/>
        <v>4.4000000000000004</v>
      </c>
      <c r="O102" s="626"/>
      <c r="P102" s="66"/>
      <c r="R102" s="42" t="str">
        <f>IF(Odds!E102="","",Odds!E102)</f>
        <v>Barnsley</v>
      </c>
      <c r="S102" s="43" t="str">
        <f>INDEX(Odds!F:F,MATCH(R102,Odds!E:E,0))</f>
        <v>4/7</v>
      </c>
      <c r="T102" s="47">
        <f t="shared" si="16"/>
        <v>0</v>
      </c>
      <c r="AB102" s="100"/>
      <c r="AC102" s="67"/>
      <c r="AD102" s="67"/>
      <c r="AE102" s="610"/>
      <c r="AF102" s="67"/>
    </row>
    <row r="103" spans="1:32" ht="13.8" thickBot="1" x14ac:dyDescent="0.3">
      <c r="A103" s="634" t="str">
        <f>A101</f>
        <v>Kevin Carter</v>
      </c>
      <c r="B103" s="635" t="str">
        <f t="shared" si="11"/>
        <v>Arsenal draw</v>
      </c>
      <c r="C103" s="636" t="str">
        <f t="shared" si="12"/>
        <v>19/5</v>
      </c>
      <c r="D103" s="637">
        <f t="shared" si="13"/>
        <v>4.8</v>
      </c>
      <c r="E103" s="651" t="str">
        <f t="shared" si="15"/>
        <v>√</v>
      </c>
      <c r="F103" s="631"/>
      <c r="G103" s="644"/>
      <c r="H103" s="294"/>
      <c r="I103" s="506"/>
      <c r="J103" s="638" t="s">
        <v>647</v>
      </c>
      <c r="K103" s="267" t="str">
        <f>INDEX(Odds!F:F,MATCH(J103,Odds!E:E,0))</f>
        <v>19/5</v>
      </c>
      <c r="L103" s="639">
        <f>INDEX(Odds!G:G,MATCH(J103,Odds!E:E,0))</f>
        <v>4.8</v>
      </c>
      <c r="M103" s="624">
        <f>INDEX(Odds!H:H,MATCH(J103,Odds!E:E,0))</f>
        <v>1</v>
      </c>
      <c r="N103" s="640">
        <f t="shared" si="17"/>
        <v>4.8</v>
      </c>
      <c r="O103" s="641"/>
      <c r="P103" s="66"/>
      <c r="R103" s="42" t="str">
        <f>IF(Odds!E103="","",Odds!E103)</f>
        <v>Rochdale</v>
      </c>
      <c r="S103" s="43" t="str">
        <f>INDEX(Odds!F:F,MATCH(R103,Odds!E:E,0))</f>
        <v>7/2</v>
      </c>
      <c r="T103" s="47">
        <f t="shared" si="16"/>
        <v>0</v>
      </c>
      <c r="AB103" s="100"/>
      <c r="AC103" s="67"/>
      <c r="AD103" s="67"/>
      <c r="AE103" s="610"/>
      <c r="AF103" s="67"/>
    </row>
    <row r="104" spans="1:32" ht="14.4" thickTop="1" thickBot="1" x14ac:dyDescent="0.3">
      <c r="A104" s="618" t="str">
        <f>Results!B104</f>
        <v>Lennie Bow</v>
      </c>
      <c r="B104" s="642" t="str">
        <f t="shared" si="11"/>
        <v>Charlton</v>
      </c>
      <c r="C104" s="629" t="str">
        <f t="shared" si="12"/>
        <v>3/4</v>
      </c>
      <c r="D104" s="621">
        <f t="shared" si="13"/>
        <v>1.75</v>
      </c>
      <c r="E104" s="652" t="str">
        <f t="shared" si="15"/>
        <v>√</v>
      </c>
      <c r="F104" s="509">
        <f>IF(J104="",-10,INDEX(Results!T:T,MATCH(A104,Results!V:V,0)))</f>
        <v>0.52500000000000036</v>
      </c>
      <c r="G104" s="244">
        <f>IF(J104="","",INDEX(Results!AI:AI,MATCH(A104,Results!V:V,0)))</f>
        <v>16.263461538461542</v>
      </c>
      <c r="H104" s="294">
        <f>IF(G104="",0,1)</f>
        <v>1</v>
      </c>
      <c r="I104" s="505">
        <f>INDEX(Picks!AF:AF,MATCH(A104,Picks!AC:AC,0))</f>
        <v>23</v>
      </c>
      <c r="J104" s="622" t="s">
        <v>613</v>
      </c>
      <c r="K104" s="261" t="str">
        <f>INDEX(Odds!F:F,MATCH(J104,Odds!E:E,0))</f>
        <v>3/4</v>
      </c>
      <c r="L104" s="623">
        <f>INDEX(Odds!G:G,MATCH(J104,Odds!E:E,0))</f>
        <v>1.75</v>
      </c>
      <c r="M104" s="643">
        <f>INDEX(Odds!H:H,MATCH(J104,Odds!E:E,0))</f>
        <v>1</v>
      </c>
      <c r="N104" s="625">
        <f t="shared" si="17"/>
        <v>1.75</v>
      </c>
      <c r="O104" s="626"/>
      <c r="P104" s="66"/>
      <c r="R104" s="42" t="str">
        <f>IF(Odds!E104="","",Odds!E104)</f>
        <v>Coventry</v>
      </c>
      <c r="S104" s="43" t="str">
        <f>INDEX(Odds!F:F,MATCH(R104,Odds!E:E,0))</f>
        <v>12/5</v>
      </c>
      <c r="T104" s="47">
        <f t="shared" si="16"/>
        <v>0</v>
      </c>
      <c r="AB104" s="100"/>
      <c r="AC104" s="67"/>
      <c r="AD104" s="67"/>
      <c r="AE104" s="610"/>
      <c r="AF104" s="67"/>
    </row>
    <row r="105" spans="1:32" x14ac:dyDescent="0.25">
      <c r="A105" s="627" t="str">
        <f>A104</f>
        <v>Lennie Bow</v>
      </c>
      <c r="B105" s="628" t="str">
        <f t="shared" si="11"/>
        <v>Brentford</v>
      </c>
      <c r="C105" s="629" t="str">
        <f t="shared" si="12"/>
        <v>11/10</v>
      </c>
      <c r="D105" s="630">
        <f t="shared" si="13"/>
        <v>2.1</v>
      </c>
      <c r="E105" s="651" t="str">
        <f t="shared" si="15"/>
        <v>√</v>
      </c>
      <c r="F105" s="631"/>
      <c r="G105" s="644"/>
      <c r="H105" s="294"/>
      <c r="I105" s="506"/>
      <c r="J105" s="622" t="s">
        <v>611</v>
      </c>
      <c r="K105" s="265" t="str">
        <f>INDEX(Odds!F:F,MATCH(J105,Odds!E:E,0))</f>
        <v>11/10</v>
      </c>
      <c r="L105" s="633">
        <f>INDEX(Odds!G:G,MATCH(J105,Odds!E:E,0))</f>
        <v>2.1</v>
      </c>
      <c r="M105" s="624">
        <f>INDEX(Odds!H:H,MATCH(J105,Odds!E:E,0))</f>
        <v>1</v>
      </c>
      <c r="N105" s="625">
        <f t="shared" si="17"/>
        <v>2.1</v>
      </c>
      <c r="O105" s="626"/>
      <c r="P105" s="66"/>
      <c r="R105" s="42" t="str">
        <f>IF(Odds!E105="","",Odds!E105)</f>
        <v>Oxford</v>
      </c>
      <c r="S105" s="43" t="str">
        <f>INDEX(Odds!F:F,MATCH(R105,Odds!E:E,0))</f>
        <v>17/2</v>
      </c>
      <c r="T105" s="47">
        <f t="shared" si="16"/>
        <v>0</v>
      </c>
      <c r="AB105" s="100"/>
      <c r="AC105" s="67"/>
      <c r="AD105" s="67"/>
      <c r="AE105" s="610"/>
      <c r="AF105" s="67"/>
    </row>
    <row r="106" spans="1:32" ht="13.8" thickBot="1" x14ac:dyDescent="0.3">
      <c r="A106" s="634" t="str">
        <f>A104</f>
        <v>Lennie Bow</v>
      </c>
      <c r="B106" s="635" t="str">
        <f t="shared" si="11"/>
        <v>Sheff W</v>
      </c>
      <c r="C106" s="636" t="str">
        <f t="shared" si="12"/>
        <v>11/13</v>
      </c>
      <c r="D106" s="637">
        <f t="shared" si="13"/>
        <v>1.8461538461538463</v>
      </c>
      <c r="E106" s="651" t="str">
        <f t="shared" si="15"/>
        <v>x</v>
      </c>
      <c r="F106" s="631"/>
      <c r="G106" s="644"/>
      <c r="H106" s="294"/>
      <c r="I106" s="506"/>
      <c r="J106" s="638" t="s">
        <v>608</v>
      </c>
      <c r="K106" s="267" t="str">
        <f>INDEX(Odds!F:F,MATCH(J106,Odds!E:E,0))</f>
        <v>11/13</v>
      </c>
      <c r="L106" s="639">
        <f>INDEX(Odds!G:G,MATCH(J106,Odds!E:E,0))</f>
        <v>1.8461538461538463</v>
      </c>
      <c r="M106" s="624">
        <f>INDEX(Odds!H:H,MATCH(J106,Odds!E:E,0))</f>
        <v>0</v>
      </c>
      <c r="N106" s="640">
        <f t="shared" si="17"/>
        <v>0</v>
      </c>
      <c r="O106" s="641"/>
      <c r="P106" s="66"/>
      <c r="R106" s="42" t="str">
        <f>IF(Odds!E106="","",Odds!E106)</f>
        <v>Burton</v>
      </c>
      <c r="S106" s="43" t="str">
        <f>INDEX(Odds!F:F,MATCH(R106,Odds!E:E,0))</f>
        <v>23/10</v>
      </c>
      <c r="T106" s="47">
        <f t="shared" si="16"/>
        <v>0</v>
      </c>
      <c r="AB106" s="100"/>
      <c r="AC106" s="67"/>
      <c r="AD106" s="67"/>
      <c r="AE106" s="610"/>
      <c r="AF106" s="67"/>
    </row>
    <row r="107" spans="1:32" ht="14.4" thickTop="1" thickBot="1" x14ac:dyDescent="0.3">
      <c r="A107" s="618" t="str">
        <f>Results!B107</f>
        <v>Liam Wah</v>
      </c>
      <c r="B107" s="642" t="str">
        <f t="shared" si="11"/>
        <v>Bournemouth</v>
      </c>
      <c r="C107" s="629" t="str">
        <f t="shared" si="12"/>
        <v>17/5</v>
      </c>
      <c r="D107" s="621">
        <f t="shared" si="13"/>
        <v>4.4000000000000004</v>
      </c>
      <c r="E107" s="652" t="str">
        <f t="shared" si="15"/>
        <v>√</v>
      </c>
      <c r="F107" s="509">
        <f>IF(J107="",-10,INDEX(Results!T:T,MATCH(A107,Results!V:V,0)))</f>
        <v>15.760000000000002</v>
      </c>
      <c r="G107" s="244">
        <f>IF(J107="","",INDEX(Results!AI:AI,MATCH(A107,Results!V:V,0)))</f>
        <v>87.04</v>
      </c>
      <c r="H107" s="294">
        <f>IF(G107="",0,1)</f>
        <v>1</v>
      </c>
      <c r="I107" s="505">
        <f>INDEX(Picks!AF:AF,MATCH(A107,Picks!AC:AC,0))</f>
        <v>8</v>
      </c>
      <c r="J107" s="622" t="s">
        <v>591</v>
      </c>
      <c r="K107" s="261" t="str">
        <f>INDEX(Odds!F:F,MATCH(J107,Odds!E:E,0))</f>
        <v>17/5</v>
      </c>
      <c r="L107" s="623">
        <f>INDEX(Odds!G:G,MATCH(J107,Odds!E:E,0))</f>
        <v>4.4000000000000004</v>
      </c>
      <c r="M107" s="643">
        <f>INDEX(Odds!H:H,MATCH(J107,Odds!E:E,0))</f>
        <v>1</v>
      </c>
      <c r="N107" s="625">
        <f t="shared" si="17"/>
        <v>4.4000000000000004</v>
      </c>
      <c r="O107" s="626"/>
      <c r="P107" s="66"/>
      <c r="R107" s="42" t="str">
        <f>IF(Odds!E107="","",Odds!E107)</f>
        <v>Scunthorpe</v>
      </c>
      <c r="S107" s="43" t="str">
        <f>INDEX(Odds!F:F,MATCH(R107,Odds!E:E,0))</f>
        <v>21/10</v>
      </c>
      <c r="T107" s="47">
        <f t="shared" si="16"/>
        <v>0</v>
      </c>
      <c r="AB107" s="100"/>
      <c r="AC107" s="67"/>
      <c r="AD107" s="67"/>
      <c r="AE107" s="610"/>
      <c r="AF107" s="67"/>
    </row>
    <row r="108" spans="1:32" x14ac:dyDescent="0.25">
      <c r="A108" s="627" t="str">
        <f>A107</f>
        <v>Liam Wah</v>
      </c>
      <c r="B108" s="628" t="str">
        <f t="shared" si="11"/>
        <v>Forest Green draw</v>
      </c>
      <c r="C108" s="629" t="str">
        <f t="shared" si="12"/>
        <v>12/5</v>
      </c>
      <c r="D108" s="630">
        <f t="shared" si="13"/>
        <v>3.4</v>
      </c>
      <c r="E108" s="651" t="str">
        <f t="shared" si="15"/>
        <v>√</v>
      </c>
      <c r="F108" s="631"/>
      <c r="G108" s="644"/>
      <c r="H108" s="294"/>
      <c r="I108" s="506"/>
      <c r="J108" s="622" t="s">
        <v>639</v>
      </c>
      <c r="K108" s="265" t="str">
        <f>INDEX(Odds!F:F,MATCH(J108,Odds!E:E,0))</f>
        <v>12/5</v>
      </c>
      <c r="L108" s="633">
        <f>INDEX(Odds!G:G,MATCH(J108,Odds!E:E,0))</f>
        <v>3.4</v>
      </c>
      <c r="M108" s="624">
        <f>INDEX(Odds!H:H,MATCH(J108,Odds!E:E,0))</f>
        <v>1</v>
      </c>
      <c r="N108" s="625">
        <f t="shared" si="17"/>
        <v>3.4</v>
      </c>
      <c r="O108" s="626"/>
      <c r="P108" s="66"/>
      <c r="R108" s="42" t="str">
        <f>IF(Odds!E108="","",Odds!E108)</f>
        <v>Accrington</v>
      </c>
      <c r="S108" s="43" t="str">
        <f>INDEX(Odds!F:F,MATCH(R108,Odds!E:E,0))</f>
        <v>15/2</v>
      </c>
      <c r="T108" s="47">
        <f t="shared" si="16"/>
        <v>0</v>
      </c>
      <c r="AB108" s="100"/>
      <c r="AC108" s="67"/>
      <c r="AD108" s="67"/>
      <c r="AE108" s="610"/>
      <c r="AF108" s="67"/>
    </row>
    <row r="109" spans="1:32" ht="13.8" thickBot="1" x14ac:dyDescent="0.3">
      <c r="A109" s="634" t="str">
        <f>A107</f>
        <v>Liam Wah</v>
      </c>
      <c r="B109" s="635" t="str">
        <f t="shared" si="11"/>
        <v>Crewe</v>
      </c>
      <c r="C109" s="636" t="str">
        <f t="shared" si="12"/>
        <v>2/1</v>
      </c>
      <c r="D109" s="637">
        <f t="shared" si="13"/>
        <v>3</v>
      </c>
      <c r="E109" s="651" t="str">
        <f t="shared" si="15"/>
        <v>x</v>
      </c>
      <c r="F109" s="631"/>
      <c r="G109" s="644"/>
      <c r="H109" s="294"/>
      <c r="I109" s="506"/>
      <c r="J109" s="638" t="s">
        <v>564</v>
      </c>
      <c r="K109" s="267" t="str">
        <f>INDEX(Odds!F:F,MATCH(J109,Odds!E:E,0))</f>
        <v>2/1</v>
      </c>
      <c r="L109" s="639">
        <f>INDEX(Odds!G:G,MATCH(J109,Odds!E:E,0))</f>
        <v>3</v>
      </c>
      <c r="M109" s="624">
        <f>INDEX(Odds!H:H,MATCH(J109,Odds!E:E,0))</f>
        <v>0</v>
      </c>
      <c r="N109" s="640">
        <f t="shared" si="17"/>
        <v>0</v>
      </c>
      <c r="O109" s="641"/>
      <c r="P109" s="66"/>
      <c r="R109" s="42" t="str">
        <f>IF(Odds!E109="","",Odds!E109)</f>
        <v>Walsall</v>
      </c>
      <c r="S109" s="43" t="str">
        <f>INDEX(Odds!F:F,MATCH(R109,Odds!E:E,0))</f>
        <v>7/5</v>
      </c>
      <c r="T109" s="47">
        <f t="shared" si="16"/>
        <v>0</v>
      </c>
      <c r="AB109" s="100"/>
      <c r="AC109" s="67"/>
      <c r="AD109" s="67"/>
      <c r="AE109" s="610"/>
      <c r="AF109" s="67"/>
    </row>
    <row r="110" spans="1:32" ht="14.4" thickTop="1" thickBot="1" x14ac:dyDescent="0.3">
      <c r="A110" s="618" t="str">
        <f>Results!B110</f>
        <v>Mal Stott</v>
      </c>
      <c r="B110" s="642" t="str">
        <f t="shared" ref="B110:B163" si="18">IF(J110="","",J110)</f>
        <v>Sunderland</v>
      </c>
      <c r="C110" s="629" t="str">
        <f t="shared" ref="C110:C163" si="19">IF(J110="","",K110)</f>
        <v>6/5</v>
      </c>
      <c r="D110" s="621">
        <f t="shared" ref="D110:D163" si="20">IF(J110="","",L110)</f>
        <v>2.2000000000000002</v>
      </c>
      <c r="E110" s="652" t="str">
        <f t="shared" si="15"/>
        <v>x</v>
      </c>
      <c r="F110" s="509">
        <f>IF(J110="",-10,INDEX(Results!T:T,MATCH(A110,Results!V:V,0)))</f>
        <v>3.879999999999999</v>
      </c>
      <c r="G110" s="244">
        <f>IF(J110="","",INDEX(Results!AI:AI,MATCH(A110,Results!V:V,0)))</f>
        <v>30.015999999999998</v>
      </c>
      <c r="H110" s="294">
        <f>IF(G110="",0,1)</f>
        <v>1</v>
      </c>
      <c r="I110" s="505">
        <f>INDEX(Picks!AF:AF,MATCH(A110,Picks!AC:AC,0))</f>
        <v>14</v>
      </c>
      <c r="J110" s="622" t="s">
        <v>194</v>
      </c>
      <c r="K110" s="261" t="str">
        <f>INDEX(Odds!F:F,MATCH(J110,Odds!E:E,0))</f>
        <v>6/5</v>
      </c>
      <c r="L110" s="623">
        <f>INDEX(Odds!G:G,MATCH(J110,Odds!E:E,0))</f>
        <v>2.2000000000000002</v>
      </c>
      <c r="M110" s="643">
        <f>INDEX(Odds!H:H,MATCH(J110,Odds!E:E,0))</f>
        <v>0</v>
      </c>
      <c r="N110" s="625">
        <f t="shared" si="17"/>
        <v>0</v>
      </c>
      <c r="O110" s="626"/>
      <c r="P110" s="66"/>
      <c r="R110" s="42" t="str">
        <f>IF(Odds!E110="","",Odds!E110)</f>
        <v>Sunderland</v>
      </c>
      <c r="S110" s="43" t="str">
        <f>INDEX(Odds!F:F,MATCH(R110,Odds!E:E,0))</f>
        <v>6/5</v>
      </c>
      <c r="T110" s="47">
        <f t="shared" si="16"/>
        <v>0</v>
      </c>
      <c r="AB110" s="100"/>
      <c r="AC110" s="67"/>
      <c r="AD110" s="67"/>
      <c r="AE110" s="610"/>
      <c r="AF110" s="67"/>
    </row>
    <row r="111" spans="1:32" x14ac:dyDescent="0.25">
      <c r="A111" s="627" t="str">
        <f>A110</f>
        <v>Mal Stott</v>
      </c>
      <c r="B111" s="628" t="str">
        <f t="shared" si="18"/>
        <v>Swindon</v>
      </c>
      <c r="C111" s="629" t="str">
        <f t="shared" si="19"/>
        <v>8/5</v>
      </c>
      <c r="D111" s="630">
        <f t="shared" si="20"/>
        <v>2.6</v>
      </c>
      <c r="E111" s="651" t="str">
        <f t="shared" si="15"/>
        <v>√</v>
      </c>
      <c r="F111" s="631"/>
      <c r="G111" s="644"/>
      <c r="H111" s="294"/>
      <c r="I111" s="506"/>
      <c r="J111" s="622" t="s">
        <v>574</v>
      </c>
      <c r="K111" s="265" t="str">
        <f>INDEX(Odds!F:F,MATCH(J111,Odds!E:E,0))</f>
        <v>8/5</v>
      </c>
      <c r="L111" s="633">
        <f>INDEX(Odds!G:G,MATCH(J111,Odds!E:E,0))</f>
        <v>2.6</v>
      </c>
      <c r="M111" s="624">
        <f>INDEX(Odds!H:H,MATCH(J111,Odds!E:E,0))</f>
        <v>1</v>
      </c>
      <c r="N111" s="625">
        <f t="shared" si="17"/>
        <v>2.6</v>
      </c>
      <c r="O111" s="626"/>
      <c r="P111" s="66"/>
      <c r="R111" s="42" t="str">
        <f>IF(Odds!E111="","",Odds!E111)</f>
        <v>Fleetwood</v>
      </c>
      <c r="S111" s="43" t="str">
        <f>INDEX(Odds!F:F,MATCH(R111,Odds!E:E,0))</f>
        <v>27/10</v>
      </c>
      <c r="T111" s="47">
        <f t="shared" si="16"/>
        <v>0</v>
      </c>
      <c r="AB111" s="100"/>
      <c r="AC111" s="67"/>
      <c r="AD111" s="67"/>
      <c r="AE111" s="610"/>
      <c r="AF111" s="67"/>
    </row>
    <row r="112" spans="1:32" ht="13.8" thickBot="1" x14ac:dyDescent="0.3">
      <c r="A112" s="634" t="str">
        <f>A110</f>
        <v>Mal Stott</v>
      </c>
      <c r="B112" s="628" t="str">
        <f t="shared" si="18"/>
        <v>Wigan</v>
      </c>
      <c r="C112" s="636" t="str">
        <f t="shared" si="19"/>
        <v>13/10</v>
      </c>
      <c r="D112" s="637">
        <f t="shared" si="20"/>
        <v>2.2999999999999998</v>
      </c>
      <c r="E112" s="651" t="str">
        <f t="shared" si="15"/>
        <v>√</v>
      </c>
      <c r="F112" s="631"/>
      <c r="G112" s="644"/>
      <c r="H112" s="294"/>
      <c r="I112" s="506"/>
      <c r="J112" s="638" t="s">
        <v>430</v>
      </c>
      <c r="K112" s="267" t="str">
        <f>INDEX(Odds!F:F,MATCH(J112,Odds!E:E,0))</f>
        <v>13/10</v>
      </c>
      <c r="L112" s="639">
        <f>INDEX(Odds!G:G,MATCH(J112,Odds!E:E,0))</f>
        <v>2.2999999999999998</v>
      </c>
      <c r="M112" s="624">
        <f>INDEX(Odds!H:H,MATCH(J112,Odds!E:E,0))</f>
        <v>1</v>
      </c>
      <c r="N112" s="640">
        <f t="shared" si="17"/>
        <v>2.2999999999999998</v>
      </c>
      <c r="O112" s="641"/>
      <c r="P112" s="66"/>
      <c r="R112" s="42" t="str">
        <f>IF(Odds!E112="","",Odds!E112)</f>
        <v>Port Vale</v>
      </c>
      <c r="S112" s="43" t="str">
        <f>INDEX(Odds!F:F,MATCH(R112,Odds!E:E,0))</f>
        <v>6/1</v>
      </c>
      <c r="T112" s="47">
        <f t="shared" si="16"/>
        <v>0</v>
      </c>
      <c r="AB112" s="100"/>
      <c r="AC112" s="67"/>
      <c r="AD112" s="67"/>
      <c r="AE112" s="610"/>
      <c r="AF112" s="67"/>
    </row>
    <row r="113" spans="1:32" ht="14.4" thickTop="1" thickBot="1" x14ac:dyDescent="0.3">
      <c r="A113" s="618" t="str">
        <f>Results!B113</f>
        <v>Mark Bunn</v>
      </c>
      <c r="B113" s="642" t="str">
        <f t="shared" si="18"/>
        <v>Forest Green draw</v>
      </c>
      <c r="C113" s="629" t="str">
        <f t="shared" si="19"/>
        <v>12/5</v>
      </c>
      <c r="D113" s="621">
        <f t="shared" si="20"/>
        <v>3.4</v>
      </c>
      <c r="E113" s="652" t="str">
        <f t="shared" si="15"/>
        <v>√</v>
      </c>
      <c r="F113" s="509">
        <f>IF(J113="",-10,INDEX(Results!T:T,MATCH(A113,Results!V:V,0)))</f>
        <v>11.8</v>
      </c>
      <c r="G113" s="244">
        <f>IF(J113="","",INDEX(Results!AI:AI,MATCH(A113,Results!V:V,0)))</f>
        <v>77.139999999999986</v>
      </c>
      <c r="H113" s="294">
        <f>IF(G113="",0,1)</f>
        <v>1</v>
      </c>
      <c r="I113" s="505">
        <f>INDEX(Picks!AF:AF,MATCH(A113,Picks!AC:AC,0))</f>
        <v>9</v>
      </c>
      <c r="J113" s="622" t="s">
        <v>639</v>
      </c>
      <c r="K113" s="261" t="str">
        <f>INDEX(Odds!F:F,MATCH(J113,Odds!E:E,0))</f>
        <v>12/5</v>
      </c>
      <c r="L113" s="623">
        <f>INDEX(Odds!G:G,MATCH(J113,Odds!E:E,0))</f>
        <v>3.4</v>
      </c>
      <c r="M113" s="643">
        <f>INDEX(Odds!H:H,MATCH(J113,Odds!E:E,0))</f>
        <v>1</v>
      </c>
      <c r="N113" s="625">
        <f t="shared" si="17"/>
        <v>3.4</v>
      </c>
      <c r="O113" s="626"/>
      <c r="P113" s="66"/>
      <c r="R113" s="42" t="str">
        <f>IF(Odds!E113="","",Odds!E113)</f>
        <v>Tranmere</v>
      </c>
      <c r="S113" s="43" t="str">
        <f>INDEX(Odds!F:F,MATCH(R113,Odds!E:E,0))</f>
        <v>1/1</v>
      </c>
      <c r="T113" s="47">
        <f t="shared" si="16"/>
        <v>0</v>
      </c>
      <c r="AB113" s="100"/>
      <c r="AC113" s="67"/>
      <c r="AD113" s="67"/>
      <c r="AE113" s="610"/>
      <c r="AF113" s="67"/>
    </row>
    <row r="114" spans="1:32" x14ac:dyDescent="0.25">
      <c r="A114" s="627" t="str">
        <f>A113</f>
        <v>Mark Bunn</v>
      </c>
      <c r="B114" s="628" t="str">
        <f t="shared" si="18"/>
        <v>MK Dons draw</v>
      </c>
      <c r="C114" s="629" t="str">
        <f t="shared" si="19"/>
        <v>23/10</v>
      </c>
      <c r="D114" s="630">
        <f t="shared" si="20"/>
        <v>3.3</v>
      </c>
      <c r="E114" s="651" t="str">
        <f t="shared" si="15"/>
        <v>x</v>
      </c>
      <c r="F114" s="631"/>
      <c r="G114" s="644"/>
      <c r="H114" s="294"/>
      <c r="I114" s="506"/>
      <c r="J114" s="622" t="s">
        <v>640</v>
      </c>
      <c r="K114" s="265" t="str">
        <f>INDEX(Odds!F:F,MATCH(J114,Odds!E:E,0))</f>
        <v>23/10</v>
      </c>
      <c r="L114" s="633">
        <f>INDEX(Odds!G:G,MATCH(J114,Odds!E:E,0))</f>
        <v>3.3</v>
      </c>
      <c r="M114" s="624">
        <f>INDEX(Odds!H:H,MATCH(J114,Odds!E:E,0))</f>
        <v>0</v>
      </c>
      <c r="N114" s="625">
        <f t="shared" si="17"/>
        <v>0</v>
      </c>
      <c r="O114" s="626"/>
      <c r="P114" s="66"/>
      <c r="R114" s="42" t="str">
        <f>IF(Odds!E114="","",Odds!E114)</f>
        <v>Exeter</v>
      </c>
      <c r="S114" s="43" t="str">
        <f>INDEX(Odds!F:F,MATCH(R114,Odds!E:E,0))</f>
        <v>2/1</v>
      </c>
      <c r="T114" s="47">
        <f t="shared" si="16"/>
        <v>0</v>
      </c>
      <c r="AB114" s="100"/>
      <c r="AC114" s="67"/>
      <c r="AD114" s="67"/>
      <c r="AE114" s="610"/>
      <c r="AF114" s="67"/>
    </row>
    <row r="115" spans="1:32" ht="13.8" thickBot="1" x14ac:dyDescent="0.3">
      <c r="A115" s="634" t="str">
        <f>A113</f>
        <v>Mark Bunn</v>
      </c>
      <c r="B115" s="635" t="str">
        <f t="shared" si="18"/>
        <v>Blackburn draw</v>
      </c>
      <c r="C115" s="636" t="str">
        <f t="shared" si="19"/>
        <v>5/2</v>
      </c>
      <c r="D115" s="637">
        <f t="shared" si="20"/>
        <v>3.5</v>
      </c>
      <c r="E115" s="651" t="str">
        <f t="shared" si="15"/>
        <v>√</v>
      </c>
      <c r="F115" s="631"/>
      <c r="G115" s="644"/>
      <c r="H115" s="294"/>
      <c r="I115" s="506"/>
      <c r="J115" s="638" t="s">
        <v>641</v>
      </c>
      <c r="K115" s="267" t="str">
        <f>INDEX(Odds!F:F,MATCH(J115,Odds!E:E,0))</f>
        <v>5/2</v>
      </c>
      <c r="L115" s="639">
        <f>INDEX(Odds!G:G,MATCH(J115,Odds!E:E,0))</f>
        <v>3.5</v>
      </c>
      <c r="M115" s="624">
        <f>INDEX(Odds!H:H,MATCH(J115,Odds!E:E,0))</f>
        <v>1</v>
      </c>
      <c r="N115" s="640">
        <f t="shared" si="17"/>
        <v>3.5</v>
      </c>
      <c r="O115" s="641"/>
      <c r="P115" s="66"/>
      <c r="R115" s="42" t="str">
        <f>IF(Odds!E115="","",Odds!E115)</f>
        <v>Crewe</v>
      </c>
      <c r="S115" s="43" t="str">
        <f>INDEX(Odds!F:F,MATCH(R115,Odds!E:E,0))</f>
        <v>2/1</v>
      </c>
      <c r="T115" s="47">
        <f t="shared" si="16"/>
        <v>0</v>
      </c>
      <c r="AB115" s="100"/>
      <c r="AC115" s="67"/>
      <c r="AD115" s="67"/>
      <c r="AE115" s="610"/>
      <c r="AF115" s="67"/>
    </row>
    <row r="116" spans="1:32" ht="14.4" thickTop="1" thickBot="1" x14ac:dyDescent="0.3">
      <c r="A116" s="618" t="str">
        <f>Results!B116</f>
        <v>Mark Saunders</v>
      </c>
      <c r="B116" s="642" t="str">
        <f t="shared" si="18"/>
        <v>Everton draw</v>
      </c>
      <c r="C116" s="629" t="str">
        <f t="shared" si="19"/>
        <v>3/1</v>
      </c>
      <c r="D116" s="621">
        <f t="shared" si="20"/>
        <v>4</v>
      </c>
      <c r="E116" s="652" t="str">
        <f t="shared" si="15"/>
        <v>x</v>
      </c>
      <c r="F116" s="509">
        <f>IF(J116="",-10,INDEX(Results!T:T,MATCH(A116,Results!V:V,0)))</f>
        <v>-3.5</v>
      </c>
      <c r="G116" s="244">
        <f>IF(J116="","",INDEX(Results!AI:AI,MATCH(A116,Results!V:V,0)))</f>
        <v>127</v>
      </c>
      <c r="H116" s="294">
        <f>IF(G116="",0,1)</f>
        <v>1</v>
      </c>
      <c r="I116" s="505">
        <f>INDEX(Picks!AF:AF,MATCH(A116,Picks!AC:AC,0))</f>
        <v>33</v>
      </c>
      <c r="J116" s="622" t="s">
        <v>631</v>
      </c>
      <c r="K116" s="261" t="str">
        <f>INDEX(Odds!F:F,MATCH(J116,Odds!E:E,0))</f>
        <v>3/1</v>
      </c>
      <c r="L116" s="623">
        <f>INDEX(Odds!G:G,MATCH(J116,Odds!E:E,0))</f>
        <v>4</v>
      </c>
      <c r="M116" s="643">
        <f>INDEX(Odds!H:H,MATCH(J116,Odds!E:E,0))</f>
        <v>0</v>
      </c>
      <c r="N116" s="625">
        <f t="shared" si="17"/>
        <v>0</v>
      </c>
      <c r="O116" s="626"/>
      <c r="P116" s="66"/>
      <c r="R116" s="42" t="str">
        <f>IF(Odds!E116="","",Odds!E116)</f>
        <v>Colchester</v>
      </c>
      <c r="S116" s="43" t="str">
        <f>INDEX(Odds!F:F,MATCH(R116,Odds!E:E,0))</f>
        <v>23/10</v>
      </c>
      <c r="T116" s="47">
        <f t="shared" si="16"/>
        <v>1</v>
      </c>
      <c r="AB116" s="100"/>
      <c r="AC116" s="67"/>
      <c r="AD116" s="67"/>
      <c r="AE116" s="610"/>
      <c r="AF116" s="67"/>
    </row>
    <row r="117" spans="1:32" x14ac:dyDescent="0.25">
      <c r="A117" s="627" t="str">
        <f>A116</f>
        <v>Mark Saunders</v>
      </c>
      <c r="B117" s="628" t="str">
        <f t="shared" si="18"/>
        <v>Newcastle draw</v>
      </c>
      <c r="C117" s="629" t="str">
        <f t="shared" si="19"/>
        <v>4/1</v>
      </c>
      <c r="D117" s="630">
        <f t="shared" si="20"/>
        <v>5</v>
      </c>
      <c r="E117" s="651" t="str">
        <f t="shared" si="15"/>
        <v>x</v>
      </c>
      <c r="F117" s="631"/>
      <c r="G117" s="644"/>
      <c r="H117" s="294"/>
      <c r="I117" s="506"/>
      <c r="J117" s="622" t="s">
        <v>646</v>
      </c>
      <c r="K117" s="265" t="str">
        <f>INDEX(Odds!F:F,MATCH(J117,Odds!E:E,0))</f>
        <v>4/1</v>
      </c>
      <c r="L117" s="633">
        <f>INDEX(Odds!G:G,MATCH(J117,Odds!E:E,0))</f>
        <v>5</v>
      </c>
      <c r="M117" s="624">
        <f>INDEX(Odds!H:H,MATCH(J117,Odds!E:E,0))</f>
        <v>0</v>
      </c>
      <c r="N117" s="625">
        <f t="shared" si="17"/>
        <v>0</v>
      </c>
      <c r="O117" s="626"/>
      <c r="P117" s="66"/>
      <c r="R117" s="42" t="str">
        <f>IF(Odds!E117="","",Odds!E117)</f>
        <v>Cambridge</v>
      </c>
      <c r="S117" s="43" t="str">
        <f>INDEX(Odds!F:F,MATCH(R117,Odds!E:E,0))</f>
        <v>21/10</v>
      </c>
      <c r="T117" s="47">
        <f t="shared" si="16"/>
        <v>0</v>
      </c>
      <c r="AB117" s="100"/>
      <c r="AC117" s="67"/>
      <c r="AD117" s="67"/>
      <c r="AE117" s="610"/>
      <c r="AF117" s="67"/>
    </row>
    <row r="118" spans="1:32" ht="13.8" thickBot="1" x14ac:dyDescent="0.3">
      <c r="A118" s="634" t="str">
        <f>A116</f>
        <v>Mark Saunders</v>
      </c>
      <c r="B118" s="635" t="str">
        <f t="shared" si="18"/>
        <v>Blackburn draw</v>
      </c>
      <c r="C118" s="636" t="str">
        <f t="shared" si="19"/>
        <v>5/2</v>
      </c>
      <c r="D118" s="637">
        <f t="shared" si="20"/>
        <v>3.5</v>
      </c>
      <c r="E118" s="651" t="str">
        <f t="shared" si="15"/>
        <v>√</v>
      </c>
      <c r="F118" s="631"/>
      <c r="G118" s="644"/>
      <c r="H118" s="294"/>
      <c r="I118" s="506"/>
      <c r="J118" s="638" t="s">
        <v>641</v>
      </c>
      <c r="K118" s="267" t="str">
        <f>INDEX(Odds!F:F,MATCH(J118,Odds!E:E,0))</f>
        <v>5/2</v>
      </c>
      <c r="L118" s="639">
        <f>INDEX(Odds!G:G,MATCH(J118,Odds!E:E,0))</f>
        <v>3.5</v>
      </c>
      <c r="M118" s="624">
        <f>INDEX(Odds!H:H,MATCH(J118,Odds!E:E,0))</f>
        <v>1</v>
      </c>
      <c r="N118" s="640">
        <f t="shared" si="17"/>
        <v>3.5</v>
      </c>
      <c r="O118" s="641"/>
      <c r="P118" s="66"/>
      <c r="R118" s="42" t="str">
        <f>IF(Odds!E118="","",Odds!E118)</f>
        <v>Mansfield</v>
      </c>
      <c r="S118" s="43" t="str">
        <f>INDEX(Odds!F:F,MATCH(R118,Odds!E:E,0))</f>
        <v>5/2</v>
      </c>
      <c r="T118" s="47">
        <f t="shared" si="16"/>
        <v>0</v>
      </c>
      <c r="AB118" s="100"/>
      <c r="AC118" s="67"/>
      <c r="AD118" s="67"/>
      <c r="AE118" s="610"/>
      <c r="AF118" s="67"/>
    </row>
    <row r="119" spans="1:32" ht="14.4" thickTop="1" thickBot="1" x14ac:dyDescent="0.3">
      <c r="A119" s="618" t="str">
        <f>Results!B119</f>
        <v>Martin Molyneux</v>
      </c>
      <c r="B119" s="642" t="str">
        <f t="shared" si="18"/>
        <v/>
      </c>
      <c r="C119" s="629" t="str">
        <f t="shared" si="19"/>
        <v/>
      </c>
      <c r="D119" s="621" t="str">
        <f t="shared" si="20"/>
        <v/>
      </c>
      <c r="E119" s="652" t="str">
        <f t="shared" si="15"/>
        <v/>
      </c>
      <c r="F119" s="509">
        <f>IF(J119="",-10,INDEX(Results!T:T,MATCH(A119,Results!V:V,0)))</f>
        <v>-10</v>
      </c>
      <c r="G119" s="244" t="str">
        <f>IF(J119="","",INDEX(Results!AI:AI,MATCH(A119,Results!V:V,0)))</f>
        <v/>
      </c>
      <c r="H119" s="294">
        <f>IF(G119="",0,1)</f>
        <v>0</v>
      </c>
      <c r="I119" s="505">
        <f>INDEX(Picks!AF:AF,MATCH(A119,Picks!AC:AC,0))</f>
        <v>63</v>
      </c>
      <c r="J119" s="622"/>
      <c r="K119" s="261" t="e">
        <f>INDEX(Odds!F:F,MATCH(J119,Odds!E:E,0))</f>
        <v>#N/A</v>
      </c>
      <c r="L119" s="623" t="e">
        <f>INDEX(Odds!G:G,MATCH(J119,Odds!E:E,0))</f>
        <v>#N/A</v>
      </c>
      <c r="M119" s="643" t="e">
        <f>INDEX(Odds!H:H,MATCH(J119,Odds!E:E,0))</f>
        <v>#N/A</v>
      </c>
      <c r="N119" s="625" t="e">
        <f t="shared" si="17"/>
        <v>#N/A</v>
      </c>
      <c r="O119" s="626"/>
      <c r="P119" s="66"/>
      <c r="R119" s="42" t="str">
        <f>IF(Odds!E119="","",Odds!E119)</f>
        <v>Newport</v>
      </c>
      <c r="S119" s="43" t="str">
        <f>INDEX(Odds!F:F,MATCH(R119,Odds!E:E,0))</f>
        <v>15/13</v>
      </c>
      <c r="T119" s="47">
        <f t="shared" si="16"/>
        <v>0</v>
      </c>
      <c r="AB119" s="100"/>
      <c r="AC119" s="67"/>
      <c r="AD119" s="67"/>
      <c r="AE119" s="610"/>
      <c r="AF119" s="67"/>
    </row>
    <row r="120" spans="1:32" x14ac:dyDescent="0.25">
      <c r="A120" s="627" t="str">
        <f>A119</f>
        <v>Martin Molyneux</v>
      </c>
      <c r="B120" s="628" t="str">
        <f t="shared" si="18"/>
        <v/>
      </c>
      <c r="C120" s="629" t="str">
        <f t="shared" si="19"/>
        <v/>
      </c>
      <c r="D120" s="630" t="str">
        <f t="shared" si="20"/>
        <v/>
      </c>
      <c r="E120" s="651" t="str">
        <f t="shared" si="15"/>
        <v/>
      </c>
      <c r="F120" s="631"/>
      <c r="G120" s="644"/>
      <c r="H120" s="294"/>
      <c r="I120" s="506"/>
      <c r="J120" s="622"/>
      <c r="K120" s="265" t="e">
        <f>INDEX(Odds!F:F,MATCH(J120,Odds!E:E,0))</f>
        <v>#N/A</v>
      </c>
      <c r="L120" s="633" t="e">
        <f>INDEX(Odds!G:G,MATCH(J120,Odds!E:E,0))</f>
        <v>#N/A</v>
      </c>
      <c r="M120" s="624" t="e">
        <f>INDEX(Odds!H:H,MATCH(J120,Odds!E:E,0))</f>
        <v>#N/A</v>
      </c>
      <c r="N120" s="625" t="e">
        <f t="shared" si="17"/>
        <v>#N/A</v>
      </c>
      <c r="O120" s="626"/>
      <c r="P120" s="66"/>
      <c r="R120" s="42" t="str">
        <f>IF(Odds!E120="","",Odds!E120)</f>
        <v>Northampton</v>
      </c>
      <c r="S120" s="43" t="str">
        <f>INDEX(Odds!F:F,MATCH(R120,Odds!E:E,0))</f>
        <v>11/4</v>
      </c>
      <c r="T120" s="47">
        <f t="shared" si="16"/>
        <v>1</v>
      </c>
      <c r="AB120" s="100"/>
      <c r="AC120" s="67"/>
      <c r="AD120" s="67"/>
      <c r="AE120" s="610"/>
      <c r="AF120" s="67"/>
    </row>
    <row r="121" spans="1:32" ht="13.8" thickBot="1" x14ac:dyDescent="0.3">
      <c r="A121" s="634" t="str">
        <f>A119</f>
        <v>Martin Molyneux</v>
      </c>
      <c r="B121" s="635" t="str">
        <f t="shared" si="18"/>
        <v/>
      </c>
      <c r="C121" s="636" t="str">
        <f t="shared" si="19"/>
        <v/>
      </c>
      <c r="D121" s="637" t="str">
        <f t="shared" si="20"/>
        <v/>
      </c>
      <c r="E121" s="651" t="str">
        <f t="shared" si="15"/>
        <v/>
      </c>
      <c r="F121" s="631"/>
      <c r="G121" s="644"/>
      <c r="H121" s="294"/>
      <c r="I121" s="506"/>
      <c r="J121" s="638"/>
      <c r="K121" s="267" t="e">
        <f>INDEX(Odds!F:F,MATCH(J121,Odds!E:E,0))</f>
        <v>#N/A</v>
      </c>
      <c r="L121" s="639" t="e">
        <f>INDEX(Odds!G:G,MATCH(J121,Odds!E:E,0))</f>
        <v>#N/A</v>
      </c>
      <c r="M121" s="624" t="e">
        <f>INDEX(Odds!H:H,MATCH(J121,Odds!E:E,0))</f>
        <v>#N/A</v>
      </c>
      <c r="N121" s="640" t="e">
        <f t="shared" si="17"/>
        <v>#N/A</v>
      </c>
      <c r="O121" s="641"/>
      <c r="P121" s="66"/>
      <c r="R121" s="42" t="str">
        <f>IF(Odds!E121="","",Odds!E121)</f>
        <v>Cheltenham</v>
      </c>
      <c r="S121" s="43" t="str">
        <f>INDEX(Odds!F:F,MATCH(R121,Odds!E:E,0))</f>
        <v>9/2</v>
      </c>
      <c r="T121" s="47">
        <f t="shared" si="16"/>
        <v>0</v>
      </c>
      <c r="AB121" s="100"/>
      <c r="AC121" s="67"/>
      <c r="AD121" s="67"/>
      <c r="AE121" s="610"/>
      <c r="AF121" s="67"/>
    </row>
    <row r="122" spans="1:32" ht="14.4" thickTop="1" thickBot="1" x14ac:dyDescent="0.3">
      <c r="A122" s="618" t="str">
        <f>Results!B122</f>
        <v>Martin Tarbuck</v>
      </c>
      <c r="B122" s="642" t="str">
        <f t="shared" si="18"/>
        <v>Norwich</v>
      </c>
      <c r="C122" s="629" t="str">
        <f t="shared" si="19"/>
        <v>2/1</v>
      </c>
      <c r="D122" s="621">
        <f t="shared" si="20"/>
        <v>3</v>
      </c>
      <c r="E122" s="652" t="str">
        <f t="shared" si="15"/>
        <v>√</v>
      </c>
      <c r="F122" s="509">
        <f>IF(J122="",-10,INDEX(Results!T:T,MATCH(A122,Results!V:V,0)))</f>
        <v>-4</v>
      </c>
      <c r="G122" s="244">
        <f>IF(J122="","",INDEX(Results!AI:AI,MATCH(A122,Results!V:V,0)))</f>
        <v>48.639999999999993</v>
      </c>
      <c r="H122" s="294">
        <f>IF(G122="",0,1)</f>
        <v>1</v>
      </c>
      <c r="I122" s="505">
        <f>INDEX(Picks!AF:AF,MATCH(A122,Picks!AC:AC,0))</f>
        <v>35</v>
      </c>
      <c r="J122" s="622" t="s">
        <v>601</v>
      </c>
      <c r="K122" s="261" t="str">
        <f>INDEX(Odds!F:F,MATCH(J122,Odds!E:E,0))</f>
        <v>2/1</v>
      </c>
      <c r="L122" s="623">
        <f>INDEX(Odds!G:G,MATCH(J122,Odds!E:E,0))</f>
        <v>3</v>
      </c>
      <c r="M122" s="643">
        <f>INDEX(Odds!H:H,MATCH(J122,Odds!E:E,0))</f>
        <v>1</v>
      </c>
      <c r="N122" s="625">
        <f t="shared" si="17"/>
        <v>3</v>
      </c>
      <c r="O122" s="626"/>
      <c r="P122" s="66"/>
      <c r="R122" s="42" t="str">
        <f>IF(Odds!E122="","",Odds!E122)</f>
        <v>Notts Co</v>
      </c>
      <c r="S122" s="43" t="str">
        <f>INDEX(Odds!F:F,MATCH(R122,Odds!E:E,0))</f>
        <v>9/5</v>
      </c>
      <c r="T122" s="47">
        <f t="shared" si="16"/>
        <v>0</v>
      </c>
      <c r="AB122" s="100"/>
      <c r="AC122" s="67"/>
      <c r="AD122" s="67"/>
      <c r="AE122" s="610"/>
      <c r="AF122" s="67"/>
    </row>
    <row r="123" spans="1:32" x14ac:dyDescent="0.25">
      <c r="A123" s="627" t="str">
        <f>A122</f>
        <v>Martin Tarbuck</v>
      </c>
      <c r="B123" s="628" t="str">
        <f t="shared" si="18"/>
        <v>Stoke</v>
      </c>
      <c r="C123" s="629" t="str">
        <f t="shared" si="19"/>
        <v>14/5</v>
      </c>
      <c r="D123" s="630">
        <f t="shared" si="20"/>
        <v>3.8</v>
      </c>
      <c r="E123" s="651" t="str">
        <f t="shared" si="15"/>
        <v>x</v>
      </c>
      <c r="F123" s="631"/>
      <c r="G123" s="644"/>
      <c r="H123" s="294"/>
      <c r="I123" s="506"/>
      <c r="J123" s="622" t="s">
        <v>607</v>
      </c>
      <c r="K123" s="265" t="str">
        <f>INDEX(Odds!F:F,MATCH(J123,Odds!E:E,0))</f>
        <v>14/5</v>
      </c>
      <c r="L123" s="633">
        <f>INDEX(Odds!G:G,MATCH(J123,Odds!E:E,0))</f>
        <v>3.8</v>
      </c>
      <c r="M123" s="624">
        <f>INDEX(Odds!H:H,MATCH(J123,Odds!E:E,0))</f>
        <v>0</v>
      </c>
      <c r="N123" s="625">
        <f t="shared" si="17"/>
        <v>0</v>
      </c>
      <c r="O123" s="626"/>
      <c r="P123" s="66"/>
      <c r="R123" s="42" t="str">
        <f>IF(Odds!E123="","",Odds!E123)</f>
        <v>Carlisle</v>
      </c>
      <c r="S123" s="43" t="str">
        <f>INDEX(Odds!F:F,MATCH(R123,Odds!E:E,0))</f>
        <v>19/20</v>
      </c>
      <c r="T123" s="47">
        <f t="shared" si="16"/>
        <v>0</v>
      </c>
      <c r="AB123" s="100"/>
      <c r="AC123" s="67"/>
      <c r="AD123" s="67"/>
      <c r="AE123" s="610"/>
      <c r="AF123" s="67"/>
    </row>
    <row r="124" spans="1:32" ht="13.8" thickBot="1" x14ac:dyDescent="0.3">
      <c r="A124" s="634" t="str">
        <f>A122</f>
        <v>Martin Tarbuck</v>
      </c>
      <c r="B124" s="635" t="str">
        <f t="shared" si="18"/>
        <v>Carlisle</v>
      </c>
      <c r="C124" s="636" t="str">
        <f t="shared" si="19"/>
        <v>19/20</v>
      </c>
      <c r="D124" s="637">
        <f t="shared" si="20"/>
        <v>1.95</v>
      </c>
      <c r="E124" s="651" t="str">
        <f t="shared" si="15"/>
        <v>x</v>
      </c>
      <c r="F124" s="631"/>
      <c r="G124" s="644"/>
      <c r="H124" s="294"/>
      <c r="I124" s="506"/>
      <c r="J124" s="638" t="s">
        <v>523</v>
      </c>
      <c r="K124" s="267" t="str">
        <f>INDEX(Odds!F:F,MATCH(J124,Odds!E:E,0))</f>
        <v>19/20</v>
      </c>
      <c r="L124" s="639">
        <f>INDEX(Odds!G:G,MATCH(J124,Odds!E:E,0))</f>
        <v>1.95</v>
      </c>
      <c r="M124" s="624">
        <f>INDEX(Odds!H:H,MATCH(J124,Odds!E:E,0))</f>
        <v>0</v>
      </c>
      <c r="N124" s="640">
        <f t="shared" si="17"/>
        <v>0</v>
      </c>
      <c r="O124" s="641"/>
      <c r="P124" s="66"/>
      <c r="R124" s="42" t="str">
        <f>IF(Odds!E124="","",Odds!E124)</f>
        <v>Brighton</v>
      </c>
      <c r="S124" s="43" t="str">
        <f>INDEX(Odds!F:F,MATCH(R124,Odds!E:E,0))</f>
        <v>17/2</v>
      </c>
      <c r="T124" s="47">
        <f t="shared" si="16"/>
        <v>0</v>
      </c>
      <c r="AB124" s="100"/>
      <c r="AC124" s="67"/>
      <c r="AD124" s="67"/>
      <c r="AE124" s="610"/>
      <c r="AF124" s="67"/>
    </row>
    <row r="125" spans="1:32" ht="14.4" thickTop="1" thickBot="1" x14ac:dyDescent="0.3">
      <c r="A125" s="618" t="str">
        <f>Results!B125</f>
        <v>Mike Penk</v>
      </c>
      <c r="B125" s="642" t="str">
        <f t="shared" si="18"/>
        <v>Walsall</v>
      </c>
      <c r="C125" s="629" t="str">
        <f t="shared" si="19"/>
        <v>7/5</v>
      </c>
      <c r="D125" s="621">
        <f t="shared" si="20"/>
        <v>2.4</v>
      </c>
      <c r="E125" s="652" t="str">
        <f t="shared" si="15"/>
        <v>x</v>
      </c>
      <c r="F125" s="509">
        <f>IF(J125="",-10,INDEX(Results!T:T,MATCH(A125,Results!V:V,0)))</f>
        <v>-7</v>
      </c>
      <c r="G125" s="244">
        <f>IF(J125="","",INDEX(Results!AI:AI,MATCH(A125,Results!V:V,0)))</f>
        <v>40.156363636363636</v>
      </c>
      <c r="H125" s="294">
        <f>IF(G125="",0,1)</f>
        <v>1</v>
      </c>
      <c r="I125" s="505">
        <f>INDEX(Picks!AF:AF,MATCH(A125,Picks!AC:AC,0))</f>
        <v>47</v>
      </c>
      <c r="J125" s="622" t="s">
        <v>569</v>
      </c>
      <c r="K125" s="261" t="str">
        <f>INDEX(Odds!F:F,MATCH(J125,Odds!E:E,0))</f>
        <v>7/5</v>
      </c>
      <c r="L125" s="623">
        <f>INDEX(Odds!G:G,MATCH(J125,Odds!E:E,0))</f>
        <v>2.4</v>
      </c>
      <c r="M125" s="643">
        <f>INDEX(Odds!H:H,MATCH(J125,Odds!E:E,0))</f>
        <v>0</v>
      </c>
      <c r="N125" s="625">
        <f t="shared" si="17"/>
        <v>0</v>
      </c>
      <c r="O125" s="626"/>
      <c r="P125" s="66"/>
      <c r="R125" s="42" t="str">
        <f>IF(Odds!E125="","",Odds!E125)</f>
        <v>Watford</v>
      </c>
      <c r="S125" s="43" t="str">
        <f>INDEX(Odds!F:F,MATCH(R125,Odds!E:E,0))</f>
        <v>15/2</v>
      </c>
      <c r="T125" s="47">
        <f t="shared" si="16"/>
        <v>0</v>
      </c>
      <c r="AB125" s="100"/>
      <c r="AC125" s="67"/>
      <c r="AD125" s="67"/>
      <c r="AE125" s="610"/>
      <c r="AF125" s="67"/>
    </row>
    <row r="126" spans="1:32" x14ac:dyDescent="0.25">
      <c r="A126" s="627" t="str">
        <f>A125</f>
        <v>Mike Penk</v>
      </c>
      <c r="B126" s="628" t="str">
        <f t="shared" si="18"/>
        <v>Scunthorpe</v>
      </c>
      <c r="C126" s="629" t="str">
        <f t="shared" si="19"/>
        <v>21/10</v>
      </c>
      <c r="D126" s="630">
        <f t="shared" si="20"/>
        <v>3.1</v>
      </c>
      <c r="E126" s="651" t="str">
        <f t="shared" si="15"/>
        <v>x</v>
      </c>
      <c r="F126" s="631"/>
      <c r="G126" s="644"/>
      <c r="H126" s="294"/>
      <c r="I126" s="506"/>
      <c r="J126" s="622" t="s">
        <v>517</v>
      </c>
      <c r="K126" s="265" t="str">
        <f>INDEX(Odds!F:F,MATCH(J126,Odds!E:E,0))</f>
        <v>21/10</v>
      </c>
      <c r="L126" s="633">
        <f>INDEX(Odds!G:G,MATCH(J126,Odds!E:E,0))</f>
        <v>3.1</v>
      </c>
      <c r="M126" s="624">
        <f>INDEX(Odds!H:H,MATCH(J126,Odds!E:E,0))</f>
        <v>0</v>
      </c>
      <c r="N126" s="625">
        <f t="shared" si="17"/>
        <v>0</v>
      </c>
      <c r="O126" s="626"/>
      <c r="P126" s="66"/>
      <c r="R126" s="42" t="str">
        <f>IF(Odds!E126="","",Odds!E126)</f>
        <v>Man U</v>
      </c>
      <c r="S126" s="43" t="str">
        <f>INDEX(Odds!F:F,MATCH(R126,Odds!E:E,0))</f>
        <v>3/10</v>
      </c>
      <c r="T126" s="47">
        <f t="shared" si="16"/>
        <v>0</v>
      </c>
      <c r="AB126" s="100"/>
      <c r="AC126" s="67"/>
      <c r="AD126" s="67"/>
      <c r="AE126" s="610"/>
      <c r="AF126" s="67"/>
    </row>
    <row r="127" spans="1:32" ht="13.8" thickBot="1" x14ac:dyDescent="0.3">
      <c r="A127" s="634" t="str">
        <f>A125</f>
        <v>Mike Penk</v>
      </c>
      <c r="B127" s="635" t="str">
        <f t="shared" si="18"/>
        <v>Macclesfield</v>
      </c>
      <c r="C127" s="636" t="str">
        <f t="shared" si="19"/>
        <v>16/11</v>
      </c>
      <c r="D127" s="637">
        <f t="shared" si="20"/>
        <v>2.4545454545454546</v>
      </c>
      <c r="E127" s="651" t="str">
        <f t="shared" si="15"/>
        <v>x</v>
      </c>
      <c r="F127" s="631"/>
      <c r="G127" s="644"/>
      <c r="H127" s="294"/>
      <c r="I127" s="506"/>
      <c r="J127" s="638" t="s">
        <v>531</v>
      </c>
      <c r="K127" s="267" t="str">
        <f>INDEX(Odds!F:F,MATCH(J127,Odds!E:E,0))</f>
        <v>16/11</v>
      </c>
      <c r="L127" s="639">
        <f>INDEX(Odds!G:G,MATCH(J127,Odds!E:E,0))</f>
        <v>2.4545454545454546</v>
      </c>
      <c r="M127" s="624">
        <f>INDEX(Odds!H:H,MATCH(J127,Odds!E:E,0))</f>
        <v>0</v>
      </c>
      <c r="N127" s="640">
        <f t="shared" si="17"/>
        <v>0</v>
      </c>
      <c r="O127" s="641"/>
      <c r="P127" s="66"/>
      <c r="R127" s="42" t="str">
        <f>IF(Odds!E127="","",Odds!E127)</f>
        <v>Swansea</v>
      </c>
      <c r="S127" s="43" t="str">
        <f>INDEX(Odds!F:F,MATCH(R127,Odds!E:E,0))</f>
        <v>7/4</v>
      </c>
      <c r="T127" s="47">
        <f t="shared" si="16"/>
        <v>0</v>
      </c>
      <c r="AB127" s="100"/>
      <c r="AC127" s="67"/>
      <c r="AD127" s="67"/>
      <c r="AE127" s="610"/>
      <c r="AF127" s="67"/>
    </row>
    <row r="128" spans="1:32" ht="14.4" thickTop="1" thickBot="1" x14ac:dyDescent="0.3">
      <c r="A128" s="618" t="str">
        <f>Results!B128</f>
        <v>Mo Sudell</v>
      </c>
      <c r="B128" s="642" t="str">
        <f t="shared" si="18"/>
        <v>Villa</v>
      </c>
      <c r="C128" s="629" t="str">
        <f t="shared" si="19"/>
        <v>6/4</v>
      </c>
      <c r="D128" s="621">
        <f t="shared" si="20"/>
        <v>2.5</v>
      </c>
      <c r="E128" s="652" t="str">
        <f t="shared" si="15"/>
        <v>x</v>
      </c>
      <c r="F128" s="509">
        <f>IF(J128="",-10,INDEX(Results!T:T,MATCH(A128,Results!V:V,0)))</f>
        <v>-4.7</v>
      </c>
      <c r="G128" s="244">
        <f>IF(J128="","",INDEX(Results!AI:AI,MATCH(A128,Results!V:V,0)))</f>
        <v>27.227499999999992</v>
      </c>
      <c r="H128" s="294">
        <f>IF(G128="",0,1)</f>
        <v>1</v>
      </c>
      <c r="I128" s="505">
        <f>INDEX(Picks!AF:AF,MATCH(A128,Picks!AC:AC,0))</f>
        <v>41</v>
      </c>
      <c r="J128" s="622" t="s">
        <v>609</v>
      </c>
      <c r="K128" s="261" t="str">
        <f>INDEX(Odds!F:F,MATCH(J128,Odds!E:E,0))</f>
        <v>6/4</v>
      </c>
      <c r="L128" s="623">
        <f>INDEX(Odds!G:G,MATCH(J128,Odds!E:E,0))</f>
        <v>2.5</v>
      </c>
      <c r="M128" s="643">
        <f>INDEX(Odds!H:H,MATCH(J128,Odds!E:E,0))</f>
        <v>0</v>
      </c>
      <c r="N128" s="625">
        <f t="shared" si="17"/>
        <v>0</v>
      </c>
      <c r="O128" s="626"/>
      <c r="P128" s="66"/>
      <c r="R128" s="42" t="str">
        <f>IF(Odds!E128="","",Odds!E128)</f>
        <v>Preston</v>
      </c>
      <c r="S128" s="43" t="str">
        <f>INDEX(Odds!F:F,MATCH(R128,Odds!E:E,0))</f>
        <v>11/4</v>
      </c>
      <c r="T128" s="47">
        <f t="shared" si="16"/>
        <v>0</v>
      </c>
      <c r="AB128" s="100"/>
      <c r="AC128" s="67"/>
      <c r="AD128" s="67"/>
      <c r="AE128" s="610"/>
      <c r="AF128" s="67"/>
    </row>
    <row r="129" spans="1:32" x14ac:dyDescent="0.25">
      <c r="A129" s="627" t="str">
        <f>A128</f>
        <v>Mo Sudell</v>
      </c>
      <c r="B129" s="628" t="str">
        <f t="shared" si="18"/>
        <v>Wigan</v>
      </c>
      <c r="C129" s="629" t="str">
        <f t="shared" si="19"/>
        <v>13/10</v>
      </c>
      <c r="D129" s="630">
        <f t="shared" si="20"/>
        <v>2.2999999999999998</v>
      </c>
      <c r="E129" s="651" t="str">
        <f t="shared" si="15"/>
        <v>√</v>
      </c>
      <c r="F129" s="631"/>
      <c r="G129" s="644"/>
      <c r="H129" s="294"/>
      <c r="I129" s="506"/>
      <c r="J129" s="622" t="s">
        <v>430</v>
      </c>
      <c r="K129" s="265" t="str">
        <f>INDEX(Odds!F:F,MATCH(J129,Odds!E:E,0))</f>
        <v>13/10</v>
      </c>
      <c r="L129" s="633">
        <f>INDEX(Odds!G:G,MATCH(J129,Odds!E:E,0))</f>
        <v>2.2999999999999998</v>
      </c>
      <c r="M129" s="624">
        <f>INDEX(Odds!H:H,MATCH(J129,Odds!E:E,0))</f>
        <v>1</v>
      </c>
      <c r="N129" s="625">
        <f t="shared" si="17"/>
        <v>2.2999999999999998</v>
      </c>
      <c r="O129" s="626"/>
      <c r="P129" s="66"/>
      <c r="R129" s="42" t="str">
        <f>IF(Odds!E129="","",Odds!E129)</f>
        <v>West Brom</v>
      </c>
      <c r="S129" s="43" t="str">
        <f>INDEX(Odds!F:F,MATCH(R129,Odds!E:E,0))</f>
        <v>9/4</v>
      </c>
      <c r="T129" s="47">
        <f t="shared" si="16"/>
        <v>0</v>
      </c>
      <c r="AB129" s="100"/>
      <c r="AC129" s="67"/>
      <c r="AD129" s="67"/>
      <c r="AE129" s="610"/>
      <c r="AF129" s="67"/>
    </row>
    <row r="130" spans="1:32" ht="13.8" thickBot="1" x14ac:dyDescent="0.3">
      <c r="A130" s="634" t="str">
        <f>A128</f>
        <v>Mo Sudell</v>
      </c>
      <c r="B130" s="635" t="str">
        <f t="shared" si="18"/>
        <v>Sheff U</v>
      </c>
      <c r="C130" s="636" t="str">
        <f t="shared" si="19"/>
        <v>21/20</v>
      </c>
      <c r="D130" s="637">
        <f t="shared" si="20"/>
        <v>2.0499999999999998</v>
      </c>
      <c r="E130" s="651" t="str">
        <f t="shared" si="15"/>
        <v>x</v>
      </c>
      <c r="F130" s="631"/>
      <c r="G130" s="644"/>
      <c r="H130" s="294"/>
      <c r="I130" s="506"/>
      <c r="J130" s="638" t="s">
        <v>605</v>
      </c>
      <c r="K130" s="267" t="str">
        <f>INDEX(Odds!F:F,MATCH(J130,Odds!E:E,0))</f>
        <v>21/20</v>
      </c>
      <c r="L130" s="639">
        <f>INDEX(Odds!G:G,MATCH(J130,Odds!E:E,0))</f>
        <v>2.0499999999999998</v>
      </c>
      <c r="M130" s="624">
        <f>INDEX(Odds!H:H,MATCH(J130,Odds!E:E,0))</f>
        <v>0</v>
      </c>
      <c r="N130" s="640">
        <f t="shared" si="17"/>
        <v>0</v>
      </c>
      <c r="O130" s="641"/>
      <c r="P130" s="66"/>
      <c r="R130" s="42" t="str">
        <f>IF(Odds!E130="","",Odds!E130)</f>
        <v>Bolton</v>
      </c>
      <c r="S130" s="43" t="str">
        <f>INDEX(Odds!F:F,MATCH(R130,Odds!E:E,0))</f>
        <v>/</v>
      </c>
      <c r="T130" s="47">
        <f t="shared" si="16"/>
        <v>0</v>
      </c>
      <c r="AB130" s="100"/>
      <c r="AC130" s="67"/>
      <c r="AD130" s="67"/>
      <c r="AE130" s="610"/>
      <c r="AF130" s="67"/>
    </row>
    <row r="131" spans="1:32" ht="14.4" thickTop="1" thickBot="1" x14ac:dyDescent="0.3">
      <c r="A131" s="618" t="str">
        <f>Results!B131</f>
        <v>Nick Blocksidge</v>
      </c>
      <c r="B131" s="642" t="str">
        <f t="shared" si="18"/>
        <v>Brentford</v>
      </c>
      <c r="C131" s="629" t="str">
        <f t="shared" si="19"/>
        <v>11/10</v>
      </c>
      <c r="D131" s="621">
        <f t="shared" si="20"/>
        <v>2.1</v>
      </c>
      <c r="E131" s="652" t="str">
        <f t="shared" ref="E131:E194" si="21">IF(J131="","",IF(M131=1,"√","x"))</f>
        <v>√</v>
      </c>
      <c r="F131" s="509">
        <f>IF(J131="",-10,INDEX(Results!T:T,MATCH(A131,Results!V:V,0)))</f>
        <v>2.2300000000000004</v>
      </c>
      <c r="G131" s="244">
        <f>IF(J131="","",INDEX(Results!AI:AI,MATCH(A131,Results!V:V,0)))</f>
        <v>26.781999999999996</v>
      </c>
      <c r="H131" s="294">
        <f>IF(G131="",0,1)</f>
        <v>1</v>
      </c>
      <c r="I131" s="505">
        <f>INDEX(Picks!AF:AF,MATCH(A131,Picks!AC:AC,0))</f>
        <v>16</v>
      </c>
      <c r="J131" s="622" t="s">
        <v>611</v>
      </c>
      <c r="K131" s="261" t="str">
        <f>INDEX(Odds!F:F,MATCH(J131,Odds!E:E,0))</f>
        <v>11/10</v>
      </c>
      <c r="L131" s="623">
        <f>INDEX(Odds!G:G,MATCH(J131,Odds!E:E,0))</f>
        <v>2.1</v>
      </c>
      <c r="M131" s="643">
        <f>INDEX(Odds!H:H,MATCH(J131,Odds!E:E,0))</f>
        <v>1</v>
      </c>
      <c r="N131" s="625">
        <f t="shared" si="17"/>
        <v>2.1</v>
      </c>
      <c r="O131" s="626"/>
      <c r="P131" s="66"/>
      <c r="R131" s="42" t="str">
        <f>IF(Odds!E131="","",Odds!E131)</f>
        <v>Bristol C</v>
      </c>
      <c r="S131" s="43" t="str">
        <f>INDEX(Odds!F:F,MATCH(R131,Odds!E:E,0))</f>
        <v>7/5</v>
      </c>
      <c r="T131" s="47">
        <f t="shared" si="16"/>
        <v>0</v>
      </c>
      <c r="AB131" s="100"/>
      <c r="AC131" s="67"/>
      <c r="AD131" s="67"/>
      <c r="AE131" s="610"/>
      <c r="AF131" s="67"/>
    </row>
    <row r="132" spans="1:32" x14ac:dyDescent="0.25">
      <c r="A132" s="627" t="str">
        <f>A131</f>
        <v>Nick Blocksidge</v>
      </c>
      <c r="B132" s="628" t="str">
        <f t="shared" si="18"/>
        <v>Bristol C</v>
      </c>
      <c r="C132" s="629" t="str">
        <f t="shared" si="19"/>
        <v>7/5</v>
      </c>
      <c r="D132" s="630">
        <f t="shared" si="20"/>
        <v>2.4</v>
      </c>
      <c r="E132" s="651" t="str">
        <f t="shared" si="21"/>
        <v>x</v>
      </c>
      <c r="F132" s="631"/>
      <c r="G132" s="644"/>
      <c r="H132" s="294"/>
      <c r="I132" s="506"/>
      <c r="J132" s="622" t="s">
        <v>606</v>
      </c>
      <c r="K132" s="265" t="str">
        <f>INDEX(Odds!F:F,MATCH(J132,Odds!E:E,0))</f>
        <v>7/5</v>
      </c>
      <c r="L132" s="633">
        <f>INDEX(Odds!G:G,MATCH(J132,Odds!E:E,0))</f>
        <v>2.4</v>
      </c>
      <c r="M132" s="624">
        <f>INDEX(Odds!H:H,MATCH(J132,Odds!E:E,0))</f>
        <v>0</v>
      </c>
      <c r="N132" s="625">
        <f t="shared" si="17"/>
        <v>0</v>
      </c>
      <c r="O132" s="626"/>
      <c r="P132" s="66"/>
      <c r="R132" s="42" t="str">
        <f>IF(Odds!E132="","",Odds!E132)</f>
        <v>Leeds</v>
      </c>
      <c r="S132" s="43" t="str">
        <f>INDEX(Odds!F:F,MATCH(R132,Odds!E:E,0))</f>
        <v>9/13</v>
      </c>
      <c r="T132" s="47">
        <f t="shared" si="16"/>
        <v>0</v>
      </c>
      <c r="AB132" s="100"/>
      <c r="AC132" s="67"/>
      <c r="AD132" s="67"/>
      <c r="AE132" s="610"/>
      <c r="AF132" s="67"/>
    </row>
    <row r="133" spans="1:32" ht="13.8" thickBot="1" x14ac:dyDescent="0.3">
      <c r="A133" s="634" t="str">
        <f>A131</f>
        <v>Nick Blocksidge</v>
      </c>
      <c r="B133" s="635" t="str">
        <f t="shared" si="18"/>
        <v>Wigan</v>
      </c>
      <c r="C133" s="636" t="str">
        <f t="shared" si="19"/>
        <v>13/10</v>
      </c>
      <c r="D133" s="637">
        <f t="shared" si="20"/>
        <v>2.2999999999999998</v>
      </c>
      <c r="E133" s="651" t="str">
        <f t="shared" si="21"/>
        <v>√</v>
      </c>
      <c r="F133" s="631"/>
      <c r="G133" s="644"/>
      <c r="H133" s="294"/>
      <c r="I133" s="506"/>
      <c r="J133" s="638" t="s">
        <v>430</v>
      </c>
      <c r="K133" s="267" t="str">
        <f>INDEX(Odds!F:F,MATCH(J133,Odds!E:E,0))</f>
        <v>13/10</v>
      </c>
      <c r="L133" s="639">
        <f>INDEX(Odds!G:G,MATCH(J133,Odds!E:E,0))</f>
        <v>2.2999999999999998</v>
      </c>
      <c r="M133" s="624">
        <f>INDEX(Odds!H:H,MATCH(J133,Odds!E:E,0))</f>
        <v>1</v>
      </c>
      <c r="N133" s="640">
        <f t="shared" si="17"/>
        <v>2.2999999999999998</v>
      </c>
      <c r="O133" s="641"/>
      <c r="P133" s="66"/>
      <c r="R133" s="42" t="str">
        <f>IF(Odds!E133="","",Odds!E133)</f>
        <v>Birmingham</v>
      </c>
      <c r="S133" s="43" t="str">
        <f>INDEX(Odds!F:F,MATCH(R133,Odds!E:E,0))</f>
        <v>13/8</v>
      </c>
      <c r="T133" s="47">
        <f t="shared" si="16"/>
        <v>0</v>
      </c>
      <c r="AB133" s="100"/>
      <c r="AC133" s="67"/>
      <c r="AD133" s="67"/>
      <c r="AE133" s="610"/>
      <c r="AF133" s="67"/>
    </row>
    <row r="134" spans="1:32" ht="14.4" thickTop="1" thickBot="1" x14ac:dyDescent="0.3">
      <c r="A134" s="618" t="str">
        <f>Results!B134</f>
        <v>Nigel Heyes</v>
      </c>
      <c r="B134" s="642" t="str">
        <f t="shared" si="18"/>
        <v>Peterborough</v>
      </c>
      <c r="C134" s="629" t="str">
        <f t="shared" si="19"/>
        <v>23/20</v>
      </c>
      <c r="D134" s="621">
        <f t="shared" si="20"/>
        <v>2.15</v>
      </c>
      <c r="E134" s="652" t="str">
        <f t="shared" si="21"/>
        <v>√</v>
      </c>
      <c r="F134" s="509">
        <f>IF(J134="",-10,INDEX(Results!T:T,MATCH(A134,Results!V:V,0)))</f>
        <v>-4.8499999999999996</v>
      </c>
      <c r="G134" s="244">
        <f>IF(J134="","",INDEX(Results!AI:AI,MATCH(A134,Results!V:V,0)))</f>
        <v>45.864999999999995</v>
      </c>
      <c r="H134" s="294">
        <f>IF(G134="",0,1)</f>
        <v>1</v>
      </c>
      <c r="I134" s="505">
        <f>INDEX(Picks!AF:AF,MATCH(A134,Picks!AC:AC,0))</f>
        <v>43</v>
      </c>
      <c r="J134" s="622" t="s">
        <v>617</v>
      </c>
      <c r="K134" s="261" t="str">
        <f>INDEX(Odds!F:F,MATCH(J134,Odds!E:E,0))</f>
        <v>23/20</v>
      </c>
      <c r="L134" s="623">
        <f>INDEX(Odds!G:G,MATCH(J134,Odds!E:E,0))</f>
        <v>2.15</v>
      </c>
      <c r="M134" s="643">
        <f>INDEX(Odds!H:H,MATCH(J134,Odds!E:E,0))</f>
        <v>1</v>
      </c>
      <c r="N134" s="625">
        <f t="shared" si="17"/>
        <v>2.15</v>
      </c>
      <c r="O134" s="626"/>
      <c r="P134" s="66"/>
      <c r="R134" s="42" t="str">
        <f>IF(Odds!E134="","",Odds!E134)</f>
        <v>Middlesbro</v>
      </c>
      <c r="S134" s="43" t="str">
        <f>INDEX(Odds!F:F,MATCH(R134,Odds!E:E,0))</f>
        <v>11/13</v>
      </c>
      <c r="T134" s="47">
        <f t="shared" si="16"/>
        <v>1</v>
      </c>
      <c r="AB134" s="100"/>
      <c r="AC134" s="67"/>
      <c r="AD134" s="67"/>
      <c r="AE134" s="610"/>
      <c r="AF134" s="67"/>
    </row>
    <row r="135" spans="1:32" x14ac:dyDescent="0.25">
      <c r="A135" s="627" t="str">
        <f>A134</f>
        <v>Nigel Heyes</v>
      </c>
      <c r="B135" s="628" t="str">
        <f t="shared" si="18"/>
        <v>Mansfield</v>
      </c>
      <c r="C135" s="629" t="str">
        <f t="shared" si="19"/>
        <v>5/2</v>
      </c>
      <c r="D135" s="630">
        <f t="shared" si="20"/>
        <v>3.5</v>
      </c>
      <c r="E135" s="651" t="str">
        <f t="shared" si="21"/>
        <v>x</v>
      </c>
      <c r="F135" s="631"/>
      <c r="G135" s="644"/>
      <c r="H135" s="294"/>
      <c r="I135" s="506"/>
      <c r="J135" s="622" t="s">
        <v>583</v>
      </c>
      <c r="K135" s="265" t="str">
        <f>INDEX(Odds!F:F,MATCH(J135,Odds!E:E,0))</f>
        <v>5/2</v>
      </c>
      <c r="L135" s="633">
        <f>INDEX(Odds!G:G,MATCH(J135,Odds!E:E,0))</f>
        <v>3.5</v>
      </c>
      <c r="M135" s="624">
        <f>INDEX(Odds!H:H,MATCH(J135,Odds!E:E,0))</f>
        <v>0</v>
      </c>
      <c r="N135" s="625">
        <f t="shared" si="17"/>
        <v>0</v>
      </c>
      <c r="O135" s="626"/>
      <c r="P135" s="66"/>
      <c r="R135" s="42" t="str">
        <f>IF(Odds!E135="","",Odds!E135)</f>
        <v>QPR</v>
      </c>
      <c r="S135" s="43" t="str">
        <f>INDEX(Odds!F:F,MATCH(R135,Odds!E:E,0))</f>
        <v>7/2</v>
      </c>
      <c r="T135" s="47">
        <f t="shared" si="16"/>
        <v>1</v>
      </c>
      <c r="AB135" s="100"/>
      <c r="AC135" s="67"/>
      <c r="AD135" s="67"/>
      <c r="AE135" s="610"/>
      <c r="AF135" s="67"/>
    </row>
    <row r="136" spans="1:32" ht="13.8" thickBot="1" x14ac:dyDescent="0.3">
      <c r="A136" s="634" t="str">
        <f>A134</f>
        <v>Nigel Heyes</v>
      </c>
      <c r="B136" s="635" t="str">
        <f t="shared" si="18"/>
        <v>Notts Co</v>
      </c>
      <c r="C136" s="636" t="str">
        <f t="shared" si="19"/>
        <v>9/5</v>
      </c>
      <c r="D136" s="637">
        <f t="shared" si="20"/>
        <v>2.8</v>
      </c>
      <c r="E136" s="651" t="str">
        <f t="shared" si="21"/>
        <v>x</v>
      </c>
      <c r="F136" s="631"/>
      <c r="G136" s="644"/>
      <c r="H136" s="294"/>
      <c r="I136" s="506"/>
      <c r="J136" s="638" t="s">
        <v>570</v>
      </c>
      <c r="K136" s="267" t="str">
        <f>INDEX(Odds!F:F,MATCH(J136,Odds!E:E,0))</f>
        <v>9/5</v>
      </c>
      <c r="L136" s="639">
        <f>INDEX(Odds!G:G,MATCH(J136,Odds!E:E,0))</f>
        <v>2.8</v>
      </c>
      <c r="M136" s="624">
        <f>INDEX(Odds!H:H,MATCH(J136,Odds!E:E,0))</f>
        <v>0</v>
      </c>
      <c r="N136" s="640">
        <f t="shared" si="17"/>
        <v>0</v>
      </c>
      <c r="O136" s="641"/>
      <c r="P136" s="66"/>
      <c r="R136" s="42" t="str">
        <f>IF(Odds!E136="","",Odds!E136)</f>
        <v>Sheff U</v>
      </c>
      <c r="S136" s="43" t="str">
        <f>INDEX(Odds!F:F,MATCH(R136,Odds!E:E,0))</f>
        <v>21/20</v>
      </c>
      <c r="T136" s="47">
        <f t="shared" si="16"/>
        <v>0</v>
      </c>
      <c r="AB136" s="100"/>
      <c r="AC136" s="67"/>
      <c r="AD136" s="67"/>
      <c r="AE136" s="610"/>
      <c r="AF136" s="67"/>
    </row>
    <row r="137" spans="1:32" ht="14.4" thickTop="1" thickBot="1" x14ac:dyDescent="0.3">
      <c r="A137" s="618" t="str">
        <f>Results!B137</f>
        <v>Oscar Jackson</v>
      </c>
      <c r="B137" s="642" t="str">
        <f t="shared" si="18"/>
        <v>Stoke</v>
      </c>
      <c r="C137" s="629" t="str">
        <f t="shared" si="19"/>
        <v>14/5</v>
      </c>
      <c r="D137" s="621">
        <f t="shared" si="20"/>
        <v>3.8</v>
      </c>
      <c r="E137" s="652" t="str">
        <f t="shared" si="21"/>
        <v>x</v>
      </c>
      <c r="F137" s="509">
        <f>IF(J137="",-10,INDEX(Results!T:T,MATCH(A137,Results!V:V,0)))</f>
        <v>-7</v>
      </c>
      <c r="G137" s="244">
        <f>IF(J137="","",INDEX(Results!AI:AI,MATCH(A137,Results!V:V,0)))</f>
        <v>192.64</v>
      </c>
      <c r="H137" s="294">
        <f>IF(G137="",0,1)</f>
        <v>1</v>
      </c>
      <c r="I137" s="505">
        <f>INDEX(Picks!AF:AF,MATCH(A137,Picks!AC:AC,0))</f>
        <v>47</v>
      </c>
      <c r="J137" s="622" t="s">
        <v>607</v>
      </c>
      <c r="K137" s="261" t="str">
        <f>INDEX(Odds!F:F,MATCH(J137,Odds!E:E,0))</f>
        <v>14/5</v>
      </c>
      <c r="L137" s="623">
        <f>INDEX(Odds!G:G,MATCH(J137,Odds!E:E,0))</f>
        <v>3.8</v>
      </c>
      <c r="M137" s="643">
        <f>INDEX(Odds!H:H,MATCH(J137,Odds!E:E,0))</f>
        <v>0</v>
      </c>
      <c r="N137" s="625">
        <f t="shared" si="17"/>
        <v>0</v>
      </c>
      <c r="O137" s="626"/>
      <c r="P137" s="66"/>
      <c r="R137" s="42" t="str">
        <f>IF(Odds!E137="","",Odds!E137)</f>
        <v>Norwich</v>
      </c>
      <c r="S137" s="43" t="str">
        <f>INDEX(Odds!F:F,MATCH(R137,Odds!E:E,0))</f>
        <v>2/1</v>
      </c>
      <c r="T137" s="47">
        <f t="shared" si="16"/>
        <v>1</v>
      </c>
      <c r="AB137" s="100"/>
      <c r="AC137" s="67"/>
      <c r="AD137" s="67"/>
      <c r="AE137" s="610"/>
      <c r="AF137" s="67"/>
    </row>
    <row r="138" spans="1:32" x14ac:dyDescent="0.25">
      <c r="A138" s="627" t="str">
        <f>A137</f>
        <v>Oscar Jackson</v>
      </c>
      <c r="B138" s="628" t="str">
        <f t="shared" si="18"/>
        <v>Notts Co</v>
      </c>
      <c r="C138" s="629" t="str">
        <f t="shared" si="19"/>
        <v>9/5</v>
      </c>
      <c r="D138" s="630">
        <f t="shared" si="20"/>
        <v>2.8</v>
      </c>
      <c r="E138" s="651" t="str">
        <f t="shared" si="21"/>
        <v>x</v>
      </c>
      <c r="F138" s="631"/>
      <c r="G138" s="644"/>
      <c r="H138" s="294"/>
      <c r="I138" s="506"/>
      <c r="J138" s="622" t="s">
        <v>570</v>
      </c>
      <c r="K138" s="265" t="str">
        <f>INDEX(Odds!F:F,MATCH(J138,Odds!E:E,0))</f>
        <v>9/5</v>
      </c>
      <c r="L138" s="633">
        <f>INDEX(Odds!G:G,MATCH(J138,Odds!E:E,0))</f>
        <v>2.8</v>
      </c>
      <c r="M138" s="624">
        <f>INDEX(Odds!H:H,MATCH(J138,Odds!E:E,0))</f>
        <v>0</v>
      </c>
      <c r="N138" s="625">
        <f t="shared" si="17"/>
        <v>0</v>
      </c>
      <c r="O138" s="626"/>
      <c r="P138" s="66"/>
      <c r="R138" s="42" t="str">
        <f>IF(Odds!E138="","",Odds!E138)</f>
        <v>Millwall</v>
      </c>
      <c r="S138" s="43" t="str">
        <f>INDEX(Odds!F:F,MATCH(R138,Odds!E:E,0))</f>
        <v>21/10</v>
      </c>
      <c r="T138" s="47">
        <f t="shared" si="16"/>
        <v>0</v>
      </c>
      <c r="AB138" s="100"/>
      <c r="AC138" s="67"/>
      <c r="AD138" s="67"/>
      <c r="AE138" s="610"/>
      <c r="AF138" s="67"/>
    </row>
    <row r="139" spans="1:32" ht="13.8" thickBot="1" x14ac:dyDescent="0.3">
      <c r="A139" s="634" t="str">
        <f>A137</f>
        <v>Oscar Jackson</v>
      </c>
      <c r="B139" s="635" t="str">
        <f t="shared" si="18"/>
        <v>Newcastle</v>
      </c>
      <c r="C139" s="636" t="str">
        <f t="shared" si="19"/>
        <v>9/1</v>
      </c>
      <c r="D139" s="637">
        <f t="shared" si="20"/>
        <v>10</v>
      </c>
      <c r="E139" s="651" t="str">
        <f t="shared" si="21"/>
        <v>x</v>
      </c>
      <c r="F139" s="631"/>
      <c r="G139" s="644"/>
      <c r="H139" s="294"/>
      <c r="I139" s="506"/>
      <c r="J139" s="638" t="s">
        <v>444</v>
      </c>
      <c r="K139" s="267" t="str">
        <f>INDEX(Odds!F:F,MATCH(J139,Odds!E:E,0))</f>
        <v>9/1</v>
      </c>
      <c r="L139" s="639">
        <f>INDEX(Odds!G:G,MATCH(J139,Odds!E:E,0))</f>
        <v>10</v>
      </c>
      <c r="M139" s="624">
        <f>INDEX(Odds!H:H,MATCH(J139,Odds!E:E,0))</f>
        <v>0</v>
      </c>
      <c r="N139" s="640">
        <f t="shared" si="17"/>
        <v>0</v>
      </c>
      <c r="O139" s="641"/>
      <c r="P139" s="66"/>
      <c r="R139" s="48" t="str">
        <f>IF(Odds!E139="","",Odds!E139)</f>
        <v/>
      </c>
      <c r="S139" s="49" t="str">
        <f>INDEX(Odds!F:F,MATCH(R139,Odds!E:E,0))</f>
        <v/>
      </c>
      <c r="T139" s="50" t="e">
        <f t="shared" si="16"/>
        <v>#N/A</v>
      </c>
      <c r="AB139" s="100"/>
      <c r="AC139" s="67"/>
      <c r="AD139" s="67"/>
      <c r="AE139" s="610"/>
      <c r="AF139" s="67"/>
    </row>
    <row r="140" spans="1:32" ht="14.4" thickTop="1" thickBot="1" x14ac:dyDescent="0.3">
      <c r="A140" s="618" t="str">
        <f>Results!B140</f>
        <v>Paul Adderley</v>
      </c>
      <c r="B140" s="642" t="str">
        <f t="shared" si="18"/>
        <v>Newcastle</v>
      </c>
      <c r="C140" s="629" t="str">
        <f t="shared" si="19"/>
        <v>9/1</v>
      </c>
      <c r="D140" s="621">
        <f t="shared" si="20"/>
        <v>10</v>
      </c>
      <c r="E140" s="652" t="str">
        <f t="shared" si="21"/>
        <v>x</v>
      </c>
      <c r="F140" s="509">
        <f>IF(J140="",-10,INDEX(Results!T:T,MATCH(A140,Results!V:V,0)))</f>
        <v>-7</v>
      </c>
      <c r="G140" s="244">
        <f>IF(J140="","",INDEX(Results!AI:AI,MATCH(A140,Results!V:V,0)))</f>
        <v>1089.25</v>
      </c>
      <c r="H140" s="294">
        <f>IF(G140="",0,1)</f>
        <v>1</v>
      </c>
      <c r="I140" s="505">
        <f>INDEX(Picks!AF:AF,MATCH(A140,Picks!AC:AC,0))</f>
        <v>47</v>
      </c>
      <c r="J140" s="622" t="s">
        <v>444</v>
      </c>
      <c r="K140" s="261" t="str">
        <f>INDEX(Odds!F:F,MATCH(J140,Odds!E:E,0))</f>
        <v>9/1</v>
      </c>
      <c r="L140" s="623">
        <f>INDEX(Odds!G:G,MATCH(J140,Odds!E:E,0))</f>
        <v>10</v>
      </c>
      <c r="M140" s="643">
        <f>INDEX(Odds!H:H,MATCH(J140,Odds!E:E,0))</f>
        <v>0</v>
      </c>
      <c r="N140" s="625">
        <f t="shared" si="17"/>
        <v>0</v>
      </c>
      <c r="O140" s="626"/>
      <c r="P140" s="66"/>
      <c r="AB140" s="100"/>
      <c r="AC140" s="67"/>
      <c r="AD140" s="67"/>
      <c r="AE140" s="610"/>
      <c r="AF140" s="67"/>
    </row>
    <row r="141" spans="1:32" x14ac:dyDescent="0.25">
      <c r="A141" s="627" t="str">
        <f>A140</f>
        <v>Paul Adderley</v>
      </c>
      <c r="B141" s="628" t="str">
        <f t="shared" si="18"/>
        <v>Watford</v>
      </c>
      <c r="C141" s="629" t="str">
        <f t="shared" si="19"/>
        <v>15/2</v>
      </c>
      <c r="D141" s="630">
        <f t="shared" si="20"/>
        <v>8.5</v>
      </c>
      <c r="E141" s="651" t="str">
        <f t="shared" si="21"/>
        <v>x</v>
      </c>
      <c r="F141" s="631"/>
      <c r="G141" s="644"/>
      <c r="H141" s="294"/>
      <c r="I141" s="506"/>
      <c r="J141" s="622" t="s">
        <v>21</v>
      </c>
      <c r="K141" s="265" t="str">
        <f>INDEX(Odds!F:F,MATCH(J141,Odds!E:E,0))</f>
        <v>15/2</v>
      </c>
      <c r="L141" s="633">
        <f>INDEX(Odds!G:G,MATCH(J141,Odds!E:E,0))</f>
        <v>8.5</v>
      </c>
      <c r="M141" s="624">
        <f>INDEX(Odds!H:H,MATCH(J141,Odds!E:E,0))</f>
        <v>0</v>
      </c>
      <c r="N141" s="625">
        <f t="shared" si="17"/>
        <v>0</v>
      </c>
      <c r="O141" s="626"/>
      <c r="P141" s="66"/>
      <c r="AB141" s="100"/>
      <c r="AC141" s="67"/>
      <c r="AD141" s="67"/>
      <c r="AE141" s="610"/>
      <c r="AF141" s="67"/>
    </row>
    <row r="142" spans="1:32" ht="13.8" thickBot="1" x14ac:dyDescent="0.3">
      <c r="A142" s="634" t="str">
        <f>A140</f>
        <v>Paul Adderley</v>
      </c>
      <c r="B142" s="635" t="str">
        <f t="shared" si="18"/>
        <v>Brighton</v>
      </c>
      <c r="C142" s="636" t="str">
        <f t="shared" si="19"/>
        <v>17/2</v>
      </c>
      <c r="D142" s="637">
        <f t="shared" si="20"/>
        <v>9.5</v>
      </c>
      <c r="E142" s="651" t="str">
        <f t="shared" si="21"/>
        <v>x</v>
      </c>
      <c r="F142" s="631"/>
      <c r="G142" s="644"/>
      <c r="H142" s="294"/>
      <c r="I142" s="506"/>
      <c r="J142" s="638" t="s">
        <v>588</v>
      </c>
      <c r="K142" s="267" t="str">
        <f>INDEX(Odds!F:F,MATCH(J142,Odds!E:E,0))</f>
        <v>17/2</v>
      </c>
      <c r="L142" s="639">
        <f>INDEX(Odds!G:G,MATCH(J142,Odds!E:E,0))</f>
        <v>9.5</v>
      </c>
      <c r="M142" s="624">
        <f>INDEX(Odds!H:H,MATCH(J142,Odds!E:E,0))</f>
        <v>0</v>
      </c>
      <c r="N142" s="640">
        <f t="shared" si="17"/>
        <v>0</v>
      </c>
      <c r="O142" s="641"/>
      <c r="P142" s="66"/>
      <c r="AB142" s="100"/>
      <c r="AC142" s="67"/>
      <c r="AD142" s="67"/>
      <c r="AE142" s="610"/>
      <c r="AF142" s="67"/>
    </row>
    <row r="143" spans="1:32" ht="14.4" thickTop="1" thickBot="1" x14ac:dyDescent="0.3">
      <c r="A143" s="618" t="str">
        <f>Results!B143</f>
        <v>Paul Allen</v>
      </c>
      <c r="B143" s="642" t="str">
        <f t="shared" si="18"/>
        <v>Luton</v>
      </c>
      <c r="C143" s="629" t="str">
        <f t="shared" si="19"/>
        <v>3/10</v>
      </c>
      <c r="D143" s="621">
        <f t="shared" si="20"/>
        <v>1.3</v>
      </c>
      <c r="E143" s="652" t="str">
        <f t="shared" si="21"/>
        <v>√</v>
      </c>
      <c r="F143" s="509">
        <f>IF(J143="",-10,INDEX(Results!T:T,MATCH(A143,Results!V:V,0)))</f>
        <v>-0.75499999999999989</v>
      </c>
      <c r="G143" s="244">
        <f>IF(J143="","",INDEX(Results!AI:AI,MATCH(A143,Results!V:V,0)))</f>
        <v>9.0257500000000022</v>
      </c>
      <c r="H143" s="294">
        <f>IF(G143="",0,1)</f>
        <v>1</v>
      </c>
      <c r="I143" s="505">
        <f>INDEX(Picks!AF:AF,MATCH(A143,Picks!AC:AC,0))</f>
        <v>25</v>
      </c>
      <c r="J143" s="622" t="s">
        <v>516</v>
      </c>
      <c r="K143" s="261" t="str">
        <f>INDEX(Odds!F:F,MATCH(J143,Odds!E:E,0))</f>
        <v>3/10</v>
      </c>
      <c r="L143" s="623">
        <f>INDEX(Odds!G:G,MATCH(J143,Odds!E:E,0))</f>
        <v>1.3</v>
      </c>
      <c r="M143" s="643">
        <f>INDEX(Odds!H:H,MATCH(J143,Odds!E:E,0))</f>
        <v>1</v>
      </c>
      <c r="N143" s="625">
        <f t="shared" si="17"/>
        <v>1.3</v>
      </c>
      <c r="O143" s="626"/>
      <c r="P143" s="66"/>
      <c r="AB143" s="100"/>
      <c r="AC143" s="67"/>
      <c r="AD143" s="67"/>
      <c r="AE143" s="610"/>
      <c r="AF143" s="67"/>
    </row>
    <row r="144" spans="1:32" x14ac:dyDescent="0.25">
      <c r="A144" s="627" t="str">
        <f>A143</f>
        <v>Paul Allen</v>
      </c>
      <c r="B144" s="628" t="str">
        <f t="shared" si="18"/>
        <v>Peterborough</v>
      </c>
      <c r="C144" s="629" t="str">
        <f t="shared" si="19"/>
        <v>23/20</v>
      </c>
      <c r="D144" s="630">
        <f t="shared" si="20"/>
        <v>2.15</v>
      </c>
      <c r="E144" s="651" t="str">
        <f t="shared" si="21"/>
        <v>√</v>
      </c>
      <c r="F144" s="631"/>
      <c r="G144" s="644"/>
      <c r="H144" s="294"/>
      <c r="I144" s="506"/>
      <c r="J144" s="622" t="s">
        <v>617</v>
      </c>
      <c r="K144" s="265" t="str">
        <f>INDEX(Odds!F:F,MATCH(J144,Odds!E:E,0))</f>
        <v>23/20</v>
      </c>
      <c r="L144" s="633">
        <f>INDEX(Odds!G:G,MATCH(J144,Odds!E:E,0))</f>
        <v>2.15</v>
      </c>
      <c r="M144" s="624">
        <f>INDEX(Odds!H:H,MATCH(J144,Odds!E:E,0))</f>
        <v>1</v>
      </c>
      <c r="N144" s="625">
        <f t="shared" si="17"/>
        <v>2.15</v>
      </c>
      <c r="O144" s="626"/>
      <c r="P144" s="66"/>
      <c r="AB144" s="100"/>
      <c r="AC144" s="67"/>
      <c r="AD144" s="67"/>
      <c r="AE144" s="610"/>
      <c r="AF144" s="67"/>
    </row>
    <row r="145" spans="1:32" ht="13.8" thickBot="1" x14ac:dyDescent="0.3">
      <c r="A145" s="634" t="str">
        <f>A143</f>
        <v>Paul Allen</v>
      </c>
      <c r="B145" s="635" t="str">
        <f t="shared" si="18"/>
        <v>Portsmouth</v>
      </c>
      <c r="C145" s="636" t="str">
        <f t="shared" si="19"/>
        <v>7/20</v>
      </c>
      <c r="D145" s="637">
        <f t="shared" si="20"/>
        <v>1.35</v>
      </c>
      <c r="E145" s="651" t="str">
        <f t="shared" si="21"/>
        <v>x</v>
      </c>
      <c r="F145" s="631"/>
      <c r="G145" s="644"/>
      <c r="H145" s="294"/>
      <c r="I145" s="506"/>
      <c r="J145" s="638" t="s">
        <v>524</v>
      </c>
      <c r="K145" s="267" t="str">
        <f>INDEX(Odds!F:F,MATCH(J145,Odds!E:E,0))</f>
        <v>7/20</v>
      </c>
      <c r="L145" s="639">
        <f>INDEX(Odds!G:G,MATCH(J145,Odds!E:E,0))</f>
        <v>1.35</v>
      </c>
      <c r="M145" s="624">
        <f>INDEX(Odds!H:H,MATCH(J145,Odds!E:E,0))</f>
        <v>0</v>
      </c>
      <c r="N145" s="640">
        <f t="shared" si="17"/>
        <v>0</v>
      </c>
      <c r="O145" s="641"/>
      <c r="P145" s="66"/>
      <c r="AB145" s="100"/>
      <c r="AC145" s="67"/>
      <c r="AD145" s="67"/>
      <c r="AE145" s="610"/>
      <c r="AF145" s="67"/>
    </row>
    <row r="146" spans="1:32" ht="14.4" thickTop="1" thickBot="1" x14ac:dyDescent="0.3">
      <c r="A146" s="618" t="str">
        <f>Results!B146</f>
        <v>Paul Barnes</v>
      </c>
      <c r="B146" s="642" t="str">
        <f t="shared" si="18"/>
        <v>Bournemouth</v>
      </c>
      <c r="C146" s="629" t="str">
        <f t="shared" si="19"/>
        <v>17/5</v>
      </c>
      <c r="D146" s="621">
        <f t="shared" si="20"/>
        <v>4.4000000000000004</v>
      </c>
      <c r="E146" s="652" t="str">
        <f t="shared" si="21"/>
        <v>√</v>
      </c>
      <c r="F146" s="509">
        <f>IF(J146="",-10,INDEX(Results!T:T,MATCH(A146,Results!V:V,0)))</f>
        <v>11.440000000000001</v>
      </c>
      <c r="G146" s="244">
        <f>IF(J146="","",INDEX(Results!AI:AI,MATCH(A146,Results!V:V,0)))</f>
        <v>176.68</v>
      </c>
      <c r="H146" s="294">
        <f>IF(G146="",0,1)</f>
        <v>1</v>
      </c>
      <c r="I146" s="505">
        <f>INDEX(Picks!AF:AF,MATCH(A146,Picks!AC:AC,0))</f>
        <v>10</v>
      </c>
      <c r="J146" s="622" t="s">
        <v>591</v>
      </c>
      <c r="K146" s="261" t="str">
        <f>INDEX(Odds!F:F,MATCH(J146,Odds!E:E,0))</f>
        <v>17/5</v>
      </c>
      <c r="L146" s="623">
        <f>INDEX(Odds!G:G,MATCH(J146,Odds!E:E,0))</f>
        <v>4.4000000000000004</v>
      </c>
      <c r="M146" s="643">
        <f>INDEX(Odds!H:H,MATCH(J146,Odds!E:E,0))</f>
        <v>1</v>
      </c>
      <c r="N146" s="625">
        <f t="shared" si="17"/>
        <v>4.4000000000000004</v>
      </c>
      <c r="O146" s="626"/>
      <c r="P146" s="66"/>
      <c r="AB146" s="100"/>
      <c r="AC146" s="67"/>
      <c r="AD146" s="67"/>
      <c r="AE146" s="610"/>
      <c r="AF146" s="67"/>
    </row>
    <row r="147" spans="1:32" x14ac:dyDescent="0.25">
      <c r="A147" s="627" t="str">
        <f>A146</f>
        <v>Paul Barnes</v>
      </c>
      <c r="B147" s="628" t="str">
        <f t="shared" si="18"/>
        <v>Watford</v>
      </c>
      <c r="C147" s="629" t="str">
        <f t="shared" si="19"/>
        <v>15/2</v>
      </c>
      <c r="D147" s="630">
        <f t="shared" si="20"/>
        <v>8.5</v>
      </c>
      <c r="E147" s="651" t="str">
        <f t="shared" si="21"/>
        <v>x</v>
      </c>
      <c r="F147" s="631"/>
      <c r="G147" s="644"/>
      <c r="H147" s="294"/>
      <c r="I147" s="506"/>
      <c r="J147" s="622" t="s">
        <v>21</v>
      </c>
      <c r="K147" s="265" t="str">
        <f>INDEX(Odds!F:F,MATCH(J147,Odds!E:E,0))</f>
        <v>15/2</v>
      </c>
      <c r="L147" s="633">
        <f>INDEX(Odds!G:G,MATCH(J147,Odds!E:E,0))</f>
        <v>8.5</v>
      </c>
      <c r="M147" s="624">
        <f>INDEX(Odds!H:H,MATCH(J147,Odds!E:E,0))</f>
        <v>0</v>
      </c>
      <c r="N147" s="625">
        <f t="shared" si="17"/>
        <v>0</v>
      </c>
      <c r="O147" s="626"/>
      <c r="P147" s="66"/>
      <c r="AB147" s="100"/>
      <c r="AC147" s="67"/>
      <c r="AD147" s="67"/>
      <c r="AE147" s="610"/>
      <c r="AF147" s="67"/>
    </row>
    <row r="148" spans="1:32" ht="13.8" thickBot="1" x14ac:dyDescent="0.3">
      <c r="A148" s="634" t="str">
        <f>A146</f>
        <v>Paul Barnes</v>
      </c>
      <c r="B148" s="635" t="str">
        <f t="shared" si="18"/>
        <v>Palace</v>
      </c>
      <c r="C148" s="636" t="str">
        <f t="shared" si="19"/>
        <v>8/5</v>
      </c>
      <c r="D148" s="637">
        <f t="shared" si="20"/>
        <v>2.6</v>
      </c>
      <c r="E148" s="651" t="str">
        <f t="shared" si="21"/>
        <v>√</v>
      </c>
      <c r="F148" s="631"/>
      <c r="G148" s="644"/>
      <c r="H148" s="294"/>
      <c r="I148" s="506"/>
      <c r="J148" s="638" t="s">
        <v>592</v>
      </c>
      <c r="K148" s="267" t="str">
        <f>INDEX(Odds!F:F,MATCH(J148,Odds!E:E,0))</f>
        <v>8/5</v>
      </c>
      <c r="L148" s="639">
        <f>INDEX(Odds!G:G,MATCH(J148,Odds!E:E,0))</f>
        <v>2.6</v>
      </c>
      <c r="M148" s="624">
        <f>INDEX(Odds!H:H,MATCH(J148,Odds!E:E,0))</f>
        <v>1</v>
      </c>
      <c r="N148" s="640">
        <f t="shared" si="17"/>
        <v>2.6</v>
      </c>
      <c r="O148" s="641"/>
      <c r="P148" s="66"/>
      <c r="AB148" s="100"/>
      <c r="AC148" s="67"/>
      <c r="AD148" s="67"/>
      <c r="AE148" s="610"/>
      <c r="AF148" s="67"/>
    </row>
    <row r="149" spans="1:32" ht="14.4" thickTop="1" thickBot="1" x14ac:dyDescent="0.3">
      <c r="A149" s="618" t="str">
        <f>Results!B149</f>
        <v>Paul Fairhurst</v>
      </c>
      <c r="B149" s="642" t="str">
        <f t="shared" si="18"/>
        <v>Cardiff</v>
      </c>
      <c r="C149" s="629" t="str">
        <f t="shared" si="19"/>
        <v>9/5</v>
      </c>
      <c r="D149" s="621">
        <f t="shared" si="20"/>
        <v>2.8</v>
      </c>
      <c r="E149" s="652" t="str">
        <f t="shared" si="21"/>
        <v>x</v>
      </c>
      <c r="F149" s="509">
        <f>IF(J149="",-10,INDEX(Results!T:T,MATCH(A149,Results!V:V,0)))</f>
        <v>-4</v>
      </c>
      <c r="G149" s="244">
        <f>IF(J149="","",INDEX(Results!AI:AI,MATCH(A149,Results!V:V,0)))</f>
        <v>27.72</v>
      </c>
      <c r="H149" s="294">
        <f>IF(G149="",0,1)</f>
        <v>1</v>
      </c>
      <c r="I149" s="505">
        <f>INDEX(Picks!AF:AF,MATCH(A149,Picks!AC:AC,0))</f>
        <v>35</v>
      </c>
      <c r="J149" s="622" t="s">
        <v>619</v>
      </c>
      <c r="K149" s="261" t="str">
        <f>INDEX(Odds!F:F,MATCH(J149,Odds!E:E,0))</f>
        <v>9/5</v>
      </c>
      <c r="L149" s="623">
        <f>INDEX(Odds!G:G,MATCH(J149,Odds!E:E,0))</f>
        <v>2.8</v>
      </c>
      <c r="M149" s="643">
        <f>INDEX(Odds!H:H,MATCH(J149,Odds!E:E,0))</f>
        <v>0</v>
      </c>
      <c r="N149" s="625">
        <f t="shared" ref="N149:N184" si="22">L149*M149</f>
        <v>0</v>
      </c>
      <c r="O149" s="626"/>
      <c r="P149" s="66"/>
      <c r="AB149" s="100"/>
      <c r="AC149" s="67"/>
      <c r="AD149" s="67"/>
      <c r="AE149" s="610"/>
      <c r="AF149" s="67"/>
    </row>
    <row r="150" spans="1:32" x14ac:dyDescent="0.25">
      <c r="A150" s="627" t="str">
        <f>A149</f>
        <v>Paul Fairhurst</v>
      </c>
      <c r="B150" s="628" t="str">
        <f t="shared" si="18"/>
        <v>Portsmouth</v>
      </c>
      <c r="C150" s="629" t="str">
        <f t="shared" si="19"/>
        <v>7/20</v>
      </c>
      <c r="D150" s="630">
        <f t="shared" si="20"/>
        <v>1.35</v>
      </c>
      <c r="E150" s="651" t="str">
        <f t="shared" si="21"/>
        <v>x</v>
      </c>
      <c r="F150" s="631"/>
      <c r="G150" s="644"/>
      <c r="H150" s="294"/>
      <c r="I150" s="506"/>
      <c r="J150" s="622" t="s">
        <v>524</v>
      </c>
      <c r="K150" s="265" t="str">
        <f>INDEX(Odds!F:F,MATCH(J150,Odds!E:E,0))</f>
        <v>7/20</v>
      </c>
      <c r="L150" s="633">
        <f>INDEX(Odds!G:G,MATCH(J150,Odds!E:E,0))</f>
        <v>1.35</v>
      </c>
      <c r="M150" s="624">
        <f>INDEX(Odds!H:H,MATCH(J150,Odds!E:E,0))</f>
        <v>0</v>
      </c>
      <c r="N150" s="625">
        <f t="shared" si="22"/>
        <v>0</v>
      </c>
      <c r="O150" s="626"/>
      <c r="P150" s="66"/>
      <c r="AB150" s="100"/>
      <c r="AC150" s="67"/>
      <c r="AD150" s="67"/>
      <c r="AE150" s="610"/>
      <c r="AF150" s="67"/>
    </row>
    <row r="151" spans="1:32" ht="13.8" thickBot="1" x14ac:dyDescent="0.3">
      <c r="A151" s="634" t="str">
        <f>A149</f>
        <v>Paul Fairhurst</v>
      </c>
      <c r="B151" s="635" t="str">
        <f t="shared" si="18"/>
        <v>Norwich</v>
      </c>
      <c r="C151" s="636" t="str">
        <f t="shared" si="19"/>
        <v>2/1</v>
      </c>
      <c r="D151" s="637">
        <f t="shared" si="20"/>
        <v>3</v>
      </c>
      <c r="E151" s="651" t="str">
        <f t="shared" si="21"/>
        <v>√</v>
      </c>
      <c r="F151" s="631"/>
      <c r="G151" s="644"/>
      <c r="H151" s="294"/>
      <c r="I151" s="506"/>
      <c r="J151" s="638" t="s">
        <v>601</v>
      </c>
      <c r="K151" s="267" t="str">
        <f>INDEX(Odds!F:F,MATCH(J151,Odds!E:E,0))</f>
        <v>2/1</v>
      </c>
      <c r="L151" s="639">
        <f>INDEX(Odds!G:G,MATCH(J151,Odds!E:E,0))</f>
        <v>3</v>
      </c>
      <c r="M151" s="624">
        <f>INDEX(Odds!H:H,MATCH(J151,Odds!E:E,0))</f>
        <v>1</v>
      </c>
      <c r="N151" s="640">
        <f t="shared" si="22"/>
        <v>3</v>
      </c>
      <c r="O151" s="641"/>
      <c r="P151" s="66"/>
      <c r="AB151" s="100"/>
      <c r="AC151" s="67"/>
      <c r="AD151" s="67"/>
      <c r="AE151" s="610"/>
      <c r="AF151" s="67"/>
    </row>
    <row r="152" spans="1:32" ht="14.4" thickTop="1" thickBot="1" x14ac:dyDescent="0.3">
      <c r="A152" s="618" t="str">
        <f>Results!B152</f>
        <v>Paul Fiddler</v>
      </c>
      <c r="B152" s="642" t="str">
        <f t="shared" si="18"/>
        <v>Spurs</v>
      </c>
      <c r="C152" s="629" t="str">
        <f t="shared" si="19"/>
        <v>3/4</v>
      </c>
      <c r="D152" s="621">
        <f t="shared" si="20"/>
        <v>1.75</v>
      </c>
      <c r="E152" s="652" t="str">
        <f t="shared" si="21"/>
        <v>x</v>
      </c>
      <c r="F152" s="509">
        <f>IF(J152="",-10,INDEX(Results!T:T,MATCH(A152,Results!V:V,0)))</f>
        <v>-7</v>
      </c>
      <c r="G152" s="244">
        <f>IF(J152="","",INDEX(Results!AI:AI,MATCH(A152,Results!V:V,0)))</f>
        <v>18.840000000000003</v>
      </c>
      <c r="H152" s="294">
        <f>IF(G152="",0,1)</f>
        <v>1</v>
      </c>
      <c r="I152" s="505">
        <f>INDEX(Picks!AF:AF,MATCH(A152,Picks!AC:AC,0))</f>
        <v>47</v>
      </c>
      <c r="J152" s="622" t="s">
        <v>623</v>
      </c>
      <c r="K152" s="261" t="str">
        <f>INDEX(Odds!F:F,MATCH(J152,Odds!E:E,0))</f>
        <v>3/4</v>
      </c>
      <c r="L152" s="623">
        <f>INDEX(Odds!G:G,MATCH(J152,Odds!E:E,0))</f>
        <v>1.75</v>
      </c>
      <c r="M152" s="643">
        <f>INDEX(Odds!H:H,MATCH(J152,Odds!E:E,0))</f>
        <v>0</v>
      </c>
      <c r="N152" s="625">
        <f t="shared" si="22"/>
        <v>0</v>
      </c>
      <c r="O152" s="626"/>
      <c r="P152" s="66"/>
      <c r="AB152" s="100"/>
      <c r="AC152" s="67"/>
      <c r="AD152" s="67"/>
      <c r="AE152" s="610"/>
      <c r="AF152" s="67"/>
    </row>
    <row r="153" spans="1:32" ht="14.25" customHeight="1" x14ac:dyDescent="0.25">
      <c r="A153" s="627" t="str">
        <f>A152</f>
        <v>Paul Fiddler</v>
      </c>
      <c r="B153" s="628" t="str">
        <f t="shared" si="18"/>
        <v>Sunderland</v>
      </c>
      <c r="C153" s="629" t="str">
        <f t="shared" si="19"/>
        <v>6/5</v>
      </c>
      <c r="D153" s="630">
        <f t="shared" si="20"/>
        <v>2.2000000000000002</v>
      </c>
      <c r="E153" s="651" t="str">
        <f t="shared" si="21"/>
        <v>x</v>
      </c>
      <c r="F153" s="631"/>
      <c r="G153" s="644"/>
      <c r="H153" s="294"/>
      <c r="I153" s="506"/>
      <c r="J153" s="622" t="s">
        <v>194</v>
      </c>
      <c r="K153" s="265" t="str">
        <f>INDEX(Odds!F:F,MATCH(J153,Odds!E:E,0))</f>
        <v>6/5</v>
      </c>
      <c r="L153" s="633">
        <f>INDEX(Odds!G:G,MATCH(J153,Odds!E:E,0))</f>
        <v>2.2000000000000002</v>
      </c>
      <c r="M153" s="624">
        <f>INDEX(Odds!H:H,MATCH(J153,Odds!E:E,0))</f>
        <v>0</v>
      </c>
      <c r="N153" s="625">
        <f t="shared" si="22"/>
        <v>0</v>
      </c>
      <c r="O153" s="626"/>
      <c r="P153" s="66"/>
      <c r="AB153" s="100"/>
      <c r="AC153" s="67"/>
      <c r="AD153" s="67"/>
      <c r="AE153" s="610"/>
      <c r="AF153" s="67"/>
    </row>
    <row r="154" spans="1:32" ht="13.8" thickBot="1" x14ac:dyDescent="0.3">
      <c r="A154" s="634" t="str">
        <f>A152</f>
        <v>Paul Fiddler</v>
      </c>
      <c r="B154" s="635" t="str">
        <f t="shared" si="18"/>
        <v>Sheff U</v>
      </c>
      <c r="C154" s="636" t="str">
        <f t="shared" si="19"/>
        <v>21/20</v>
      </c>
      <c r="D154" s="637">
        <f t="shared" si="20"/>
        <v>2.0499999999999998</v>
      </c>
      <c r="E154" s="651" t="str">
        <f t="shared" si="21"/>
        <v>x</v>
      </c>
      <c r="F154" s="631"/>
      <c r="G154" s="644"/>
      <c r="H154" s="294"/>
      <c r="I154" s="506"/>
      <c r="J154" s="638" t="s">
        <v>605</v>
      </c>
      <c r="K154" s="267" t="str">
        <f>INDEX(Odds!F:F,MATCH(J154,Odds!E:E,0))</f>
        <v>21/20</v>
      </c>
      <c r="L154" s="639">
        <f>INDEX(Odds!G:G,MATCH(J154,Odds!E:E,0))</f>
        <v>2.0499999999999998</v>
      </c>
      <c r="M154" s="624">
        <f>INDEX(Odds!H:H,MATCH(J154,Odds!E:E,0))</f>
        <v>0</v>
      </c>
      <c r="N154" s="640">
        <f t="shared" si="22"/>
        <v>0</v>
      </c>
      <c r="O154" s="641"/>
      <c r="P154" s="66"/>
      <c r="AB154" s="100"/>
      <c r="AC154" s="67"/>
      <c r="AD154" s="67"/>
      <c r="AE154" s="610"/>
      <c r="AF154" s="67"/>
    </row>
    <row r="155" spans="1:32" ht="14.4" thickTop="1" thickBot="1" x14ac:dyDescent="0.3">
      <c r="A155" s="618" t="str">
        <f>Results!B155</f>
        <v>Paul Ridgeway</v>
      </c>
      <c r="B155" s="642" t="str">
        <f t="shared" si="18"/>
        <v>Chelsea</v>
      </c>
      <c r="C155" s="629" t="str">
        <f t="shared" si="19"/>
        <v>4/9</v>
      </c>
      <c r="D155" s="621">
        <f t="shared" si="20"/>
        <v>1.4444444444444444</v>
      </c>
      <c r="E155" s="652" t="str">
        <f t="shared" si="21"/>
        <v>√</v>
      </c>
      <c r="F155" s="509">
        <f>IF(J155="",-10,INDEX(Results!T:T,MATCH(A155,Results!V:V,0)))</f>
        <v>-1.6444444444444439</v>
      </c>
      <c r="G155" s="244">
        <f>IF(J155="","",INDEX(Results!AI:AI,MATCH(A155,Results!V:V,0)))</f>
        <v>9.4777777777777779</v>
      </c>
      <c r="H155" s="294">
        <f>IF(G155="",0,1)</f>
        <v>1</v>
      </c>
      <c r="I155" s="505">
        <f>INDEX(Picks!AF:AF,MATCH(A155,Picks!AC:AC,0))</f>
        <v>27</v>
      </c>
      <c r="J155" s="622" t="s">
        <v>625</v>
      </c>
      <c r="K155" s="261" t="str">
        <f>INDEX(Odds!F:F,MATCH(J155,Odds!E:E,0))</f>
        <v>4/9</v>
      </c>
      <c r="L155" s="623">
        <f>INDEX(Odds!G:G,MATCH(J155,Odds!E:E,0))</f>
        <v>1.4444444444444444</v>
      </c>
      <c r="M155" s="643">
        <f>INDEX(Odds!H:H,MATCH(J155,Odds!E:E,0))</f>
        <v>1</v>
      </c>
      <c r="N155" s="625">
        <f t="shared" si="22"/>
        <v>1.4444444444444444</v>
      </c>
      <c r="O155" s="626"/>
      <c r="P155" s="66"/>
      <c r="AB155" s="100"/>
      <c r="AC155" s="67"/>
      <c r="AD155" s="67"/>
      <c r="AE155" s="610"/>
      <c r="AF155" s="67"/>
    </row>
    <row r="156" spans="1:32" x14ac:dyDescent="0.25">
      <c r="A156" s="627" t="str">
        <f>A155</f>
        <v>Paul Ridgeway</v>
      </c>
      <c r="B156" s="628" t="str">
        <f t="shared" si="18"/>
        <v>Spurs</v>
      </c>
      <c r="C156" s="629" t="str">
        <f t="shared" si="19"/>
        <v>3/4</v>
      </c>
      <c r="D156" s="630">
        <f t="shared" si="20"/>
        <v>1.75</v>
      </c>
      <c r="E156" s="651" t="str">
        <f t="shared" si="21"/>
        <v>x</v>
      </c>
      <c r="F156" s="631"/>
      <c r="G156" s="644"/>
      <c r="H156" s="294"/>
      <c r="I156" s="506"/>
      <c r="J156" s="622" t="s">
        <v>623</v>
      </c>
      <c r="K156" s="265" t="str">
        <f>INDEX(Odds!F:F,MATCH(J156,Odds!E:E,0))</f>
        <v>3/4</v>
      </c>
      <c r="L156" s="633">
        <f>INDEX(Odds!G:G,MATCH(J156,Odds!E:E,0))</f>
        <v>1.75</v>
      </c>
      <c r="M156" s="624">
        <f>INDEX(Odds!H:H,MATCH(J156,Odds!E:E,0))</f>
        <v>0</v>
      </c>
      <c r="N156" s="625">
        <f t="shared" si="22"/>
        <v>0</v>
      </c>
      <c r="O156" s="626"/>
      <c r="P156" s="66"/>
      <c r="AB156" s="100"/>
      <c r="AC156" s="67"/>
      <c r="AD156" s="67"/>
      <c r="AE156" s="610"/>
      <c r="AF156" s="67"/>
    </row>
    <row r="157" spans="1:32" ht="13.8" thickBot="1" x14ac:dyDescent="0.3">
      <c r="A157" s="634" t="str">
        <f>A155</f>
        <v>Paul Ridgeway</v>
      </c>
      <c r="B157" s="635" t="str">
        <f t="shared" si="18"/>
        <v>Everton</v>
      </c>
      <c r="C157" s="636" t="str">
        <f t="shared" si="19"/>
        <v>6/10</v>
      </c>
      <c r="D157" s="637">
        <f t="shared" si="20"/>
        <v>1.6</v>
      </c>
      <c r="E157" s="651" t="str">
        <f t="shared" si="21"/>
        <v>√</v>
      </c>
      <c r="F157" s="631"/>
      <c r="G157" s="644"/>
      <c r="H157" s="294"/>
      <c r="I157" s="506"/>
      <c r="J157" s="638" t="s">
        <v>594</v>
      </c>
      <c r="K157" s="267" t="str">
        <f>INDEX(Odds!F:F,MATCH(J157,Odds!E:E,0))</f>
        <v>6/10</v>
      </c>
      <c r="L157" s="639">
        <f>INDEX(Odds!G:G,MATCH(J157,Odds!E:E,0))</f>
        <v>1.6</v>
      </c>
      <c r="M157" s="624">
        <f>INDEX(Odds!H:H,MATCH(J157,Odds!E:E,0))</f>
        <v>1</v>
      </c>
      <c r="N157" s="640">
        <f t="shared" si="22"/>
        <v>1.6</v>
      </c>
      <c r="O157" s="641"/>
      <c r="P157" s="66"/>
      <c r="AB157" s="100"/>
      <c r="AC157" s="67"/>
      <c r="AD157" s="67"/>
      <c r="AE157" s="610"/>
      <c r="AF157" s="67"/>
    </row>
    <row r="158" spans="1:32" ht="14.4" thickTop="1" thickBot="1" x14ac:dyDescent="0.3">
      <c r="A158" s="618" t="str">
        <f>Results!B158</f>
        <v>Pete Baron</v>
      </c>
      <c r="B158" s="642" t="str">
        <f t="shared" si="18"/>
        <v>Cardiff</v>
      </c>
      <c r="C158" s="629" t="str">
        <f t="shared" si="19"/>
        <v>9/5</v>
      </c>
      <c r="D158" s="621">
        <f t="shared" si="20"/>
        <v>2.8</v>
      </c>
      <c r="E158" s="652" t="str">
        <f t="shared" si="21"/>
        <v>x</v>
      </c>
      <c r="F158" s="509">
        <f>IF(J158="",-10,INDEX(Results!T:T,MATCH(A158,Results!V:V,0)))</f>
        <v>-4</v>
      </c>
      <c r="G158" s="244">
        <f>IF(J158="","",INDEX(Results!AI:AI,MATCH(A158,Results!V:V,0)))</f>
        <v>52.79999999999999</v>
      </c>
      <c r="H158" s="294">
        <f>IF(G158="",0,1)</f>
        <v>1</v>
      </c>
      <c r="I158" s="505">
        <f>INDEX(Picks!AF:AF,MATCH(A158,Picks!AC:AC,0))</f>
        <v>35</v>
      </c>
      <c r="J158" s="622" t="s">
        <v>619</v>
      </c>
      <c r="K158" s="261" t="str">
        <f>INDEX(Odds!F:F,MATCH(J158,Odds!E:E,0))</f>
        <v>9/5</v>
      </c>
      <c r="L158" s="623">
        <f>INDEX(Odds!G:G,MATCH(J158,Odds!E:E,0))</f>
        <v>2.8</v>
      </c>
      <c r="M158" s="643">
        <f>INDEX(Odds!H:H,MATCH(J158,Odds!E:E,0))</f>
        <v>0</v>
      </c>
      <c r="N158" s="625">
        <f t="shared" si="22"/>
        <v>0</v>
      </c>
      <c r="O158" s="626"/>
      <c r="P158" s="66"/>
      <c r="AB158" s="100"/>
      <c r="AC158" s="67"/>
      <c r="AD158" s="67"/>
      <c r="AE158" s="610"/>
      <c r="AF158" s="67"/>
    </row>
    <row r="159" spans="1:32" x14ac:dyDescent="0.25">
      <c r="A159" s="627" t="str">
        <f>A158</f>
        <v>Pete Baron</v>
      </c>
      <c r="B159" s="628" t="str">
        <f t="shared" si="18"/>
        <v>Exeter</v>
      </c>
      <c r="C159" s="629" t="str">
        <f t="shared" si="19"/>
        <v>2/1</v>
      </c>
      <c r="D159" s="630">
        <f t="shared" si="20"/>
        <v>3</v>
      </c>
      <c r="E159" s="651" t="str">
        <f t="shared" si="21"/>
        <v>x</v>
      </c>
      <c r="F159" s="631"/>
      <c r="G159" s="644"/>
      <c r="H159" s="294"/>
      <c r="I159" s="506"/>
      <c r="J159" s="622" t="s">
        <v>560</v>
      </c>
      <c r="K159" s="265" t="str">
        <f>INDEX(Odds!F:F,MATCH(J159,Odds!E:E,0))</f>
        <v>2/1</v>
      </c>
      <c r="L159" s="633">
        <f>INDEX(Odds!G:G,MATCH(J159,Odds!E:E,0))</f>
        <v>3</v>
      </c>
      <c r="M159" s="624">
        <f>INDEX(Odds!H:H,MATCH(J159,Odds!E:E,0))</f>
        <v>0</v>
      </c>
      <c r="N159" s="625">
        <f t="shared" si="22"/>
        <v>0</v>
      </c>
      <c r="O159" s="626"/>
      <c r="P159" s="66"/>
      <c r="AB159" s="100"/>
      <c r="AC159" s="67"/>
      <c r="AD159" s="67"/>
      <c r="AE159" s="610"/>
      <c r="AF159" s="67"/>
    </row>
    <row r="160" spans="1:32" ht="13.8" thickBot="1" x14ac:dyDescent="0.3">
      <c r="A160" s="634" t="str">
        <f>A158</f>
        <v>Pete Baron</v>
      </c>
      <c r="B160" s="635" t="str">
        <f t="shared" si="18"/>
        <v>Norwich</v>
      </c>
      <c r="C160" s="636" t="str">
        <f t="shared" si="19"/>
        <v>2/1</v>
      </c>
      <c r="D160" s="637">
        <f t="shared" si="20"/>
        <v>3</v>
      </c>
      <c r="E160" s="651" t="str">
        <f t="shared" si="21"/>
        <v>√</v>
      </c>
      <c r="F160" s="631"/>
      <c r="G160" s="644"/>
      <c r="H160" s="294"/>
      <c r="I160" s="506"/>
      <c r="J160" s="638" t="s">
        <v>601</v>
      </c>
      <c r="K160" s="267" t="str">
        <f>INDEX(Odds!F:F,MATCH(J160,Odds!E:E,0))</f>
        <v>2/1</v>
      </c>
      <c r="L160" s="639">
        <f>INDEX(Odds!G:G,MATCH(J160,Odds!E:E,0))</f>
        <v>3</v>
      </c>
      <c r="M160" s="624">
        <f>INDEX(Odds!H:H,MATCH(J160,Odds!E:E,0))</f>
        <v>1</v>
      </c>
      <c r="N160" s="640">
        <f t="shared" si="22"/>
        <v>3</v>
      </c>
      <c r="O160" s="641"/>
      <c r="P160" s="66"/>
      <c r="AB160" s="100"/>
      <c r="AC160" s="67"/>
      <c r="AD160" s="67"/>
      <c r="AE160" s="610"/>
      <c r="AF160" s="67"/>
    </row>
    <row r="161" spans="1:32" ht="14.4" thickTop="1" thickBot="1" x14ac:dyDescent="0.3">
      <c r="A161" s="618" t="str">
        <f>Results!B161</f>
        <v>Phil Brown</v>
      </c>
      <c r="B161" s="642" t="str">
        <f t="shared" si="18"/>
        <v>Cardiff</v>
      </c>
      <c r="C161" s="629" t="str">
        <f t="shared" si="19"/>
        <v>9/5</v>
      </c>
      <c r="D161" s="621">
        <f t="shared" si="20"/>
        <v>2.8</v>
      </c>
      <c r="E161" s="652" t="str">
        <f t="shared" si="21"/>
        <v>x</v>
      </c>
      <c r="F161" s="509">
        <f>IF(J161="",-10,INDEX(Results!T:T,MATCH(A161,Results!V:V,0)))</f>
        <v>-4.625</v>
      </c>
      <c r="G161" s="244">
        <f>IF(J161="","",INDEX(Results!AI:AI,MATCH(A161,Results!V:V,0)))</f>
        <v>40.09375</v>
      </c>
      <c r="H161" s="294">
        <f>IF(G161="",0,1)</f>
        <v>1</v>
      </c>
      <c r="I161" s="505">
        <f>INDEX(Picks!AF:AF,MATCH(A161,Picks!AC:AC,0))</f>
        <v>38</v>
      </c>
      <c r="J161" s="622" t="s">
        <v>619</v>
      </c>
      <c r="K161" s="261" t="str">
        <f>INDEX(Odds!F:F,MATCH(J161,Odds!E:E,0))</f>
        <v>9/5</v>
      </c>
      <c r="L161" s="623">
        <f>INDEX(Odds!G:G,MATCH(J161,Odds!E:E,0))</f>
        <v>2.8</v>
      </c>
      <c r="M161" s="643">
        <f>INDEX(Odds!H:H,MATCH(J161,Odds!E:E,0))</f>
        <v>0</v>
      </c>
      <c r="N161" s="625">
        <f t="shared" si="22"/>
        <v>0</v>
      </c>
      <c r="O161" s="626"/>
      <c r="P161" s="66"/>
      <c r="AB161" s="100"/>
      <c r="AC161" s="67"/>
      <c r="AD161" s="67"/>
      <c r="AE161" s="610"/>
      <c r="AF161" s="67"/>
    </row>
    <row r="162" spans="1:32" x14ac:dyDescent="0.25">
      <c r="A162" s="627" t="str">
        <f>A161</f>
        <v>Phil Brown</v>
      </c>
      <c r="B162" s="628" t="str">
        <f t="shared" si="18"/>
        <v>West Ham</v>
      </c>
      <c r="C162" s="629" t="str">
        <f t="shared" si="19"/>
        <v>11/8</v>
      </c>
      <c r="D162" s="630">
        <f t="shared" si="20"/>
        <v>2.375</v>
      </c>
      <c r="E162" s="651" t="str">
        <f t="shared" si="21"/>
        <v>√</v>
      </c>
      <c r="F162" s="631"/>
      <c r="G162" s="644"/>
      <c r="H162" s="294"/>
      <c r="I162" s="506"/>
      <c r="J162" s="622" t="s">
        <v>622</v>
      </c>
      <c r="K162" s="265" t="str">
        <f>INDEX(Odds!F:F,MATCH(J162,Odds!E:E,0))</f>
        <v>11/8</v>
      </c>
      <c r="L162" s="633">
        <f>INDEX(Odds!G:G,MATCH(J162,Odds!E:E,0))</f>
        <v>2.375</v>
      </c>
      <c r="M162" s="624">
        <f>INDEX(Odds!H:H,MATCH(J162,Odds!E:E,0))</f>
        <v>1</v>
      </c>
      <c r="N162" s="625">
        <f t="shared" si="22"/>
        <v>2.375</v>
      </c>
      <c r="O162" s="626"/>
      <c r="P162" s="66"/>
      <c r="AB162" s="100"/>
      <c r="AC162" s="67"/>
      <c r="AD162" s="67"/>
      <c r="AE162" s="610"/>
      <c r="AF162" s="67"/>
    </row>
    <row r="163" spans="1:32" ht="13.8" thickBot="1" x14ac:dyDescent="0.3">
      <c r="A163" s="634" t="str">
        <f>A161</f>
        <v>Phil Brown</v>
      </c>
      <c r="B163" s="635" t="str">
        <f t="shared" si="18"/>
        <v>Swansea</v>
      </c>
      <c r="C163" s="636" t="str">
        <f t="shared" si="19"/>
        <v>7/4</v>
      </c>
      <c r="D163" s="637">
        <f t="shared" si="20"/>
        <v>2.75</v>
      </c>
      <c r="E163" s="651" t="str">
        <f t="shared" si="21"/>
        <v>x</v>
      </c>
      <c r="F163" s="631"/>
      <c r="G163" s="644"/>
      <c r="H163" s="294"/>
      <c r="I163" s="506"/>
      <c r="J163" s="638" t="s">
        <v>597</v>
      </c>
      <c r="K163" s="267" t="str">
        <f>INDEX(Odds!F:F,MATCH(J163,Odds!E:E,0))</f>
        <v>7/4</v>
      </c>
      <c r="L163" s="639">
        <f>INDEX(Odds!G:G,MATCH(J163,Odds!E:E,0))</f>
        <v>2.75</v>
      </c>
      <c r="M163" s="624">
        <f>INDEX(Odds!H:H,MATCH(J163,Odds!E:E,0))</f>
        <v>0</v>
      </c>
      <c r="N163" s="640">
        <f t="shared" si="22"/>
        <v>0</v>
      </c>
      <c r="O163" s="641"/>
      <c r="P163" s="66"/>
      <c r="AB163" s="100"/>
      <c r="AC163" s="67"/>
      <c r="AD163" s="67"/>
      <c r="AE163" s="610"/>
      <c r="AF163" s="67"/>
    </row>
    <row r="164" spans="1:32" ht="14.4" thickTop="1" thickBot="1" x14ac:dyDescent="0.3">
      <c r="A164" s="618" t="str">
        <f>Results!B164</f>
        <v>Phil Miller</v>
      </c>
      <c r="B164" s="642" t="str">
        <f t="shared" ref="B164:B184" si="23">IF(J164="","",J164)</f>
        <v>Chelsea</v>
      </c>
      <c r="C164" s="629" t="str">
        <f t="shared" ref="C164:C184" si="24">IF(J164="","",K164)</f>
        <v>4/9</v>
      </c>
      <c r="D164" s="621">
        <f t="shared" ref="D164:D184" si="25">IF(J164="","",L164)</f>
        <v>1.4444444444444444</v>
      </c>
      <c r="E164" s="652" t="str">
        <f t="shared" si="21"/>
        <v>√</v>
      </c>
      <c r="F164" s="509">
        <f>IF(J164="",-10,INDEX(Results!T:T,MATCH(A164,Results!V:V,0)))</f>
        <v>-1.8888888888888893</v>
      </c>
      <c r="G164" s="244">
        <f>IF(J164="","",INDEX(Results!AI:AI,MATCH(A164,Results!V:V,0)))</f>
        <v>8.4529914529914514</v>
      </c>
      <c r="H164" s="294">
        <f>IF(G164="",0,1)</f>
        <v>1</v>
      </c>
      <c r="I164" s="505">
        <f>INDEX(Picks!AF:AF,MATCH(A164,Picks!AC:AC,0))</f>
        <v>28</v>
      </c>
      <c r="J164" s="622" t="s">
        <v>625</v>
      </c>
      <c r="K164" s="261" t="str">
        <f>INDEX(Odds!F:F,MATCH(J164,Odds!E:E,0))</f>
        <v>4/9</v>
      </c>
      <c r="L164" s="623">
        <f>INDEX(Odds!G:G,MATCH(J164,Odds!E:E,0))</f>
        <v>1.4444444444444444</v>
      </c>
      <c r="M164" s="643">
        <f>INDEX(Odds!H:H,MATCH(J164,Odds!E:E,0))</f>
        <v>1</v>
      </c>
      <c r="N164" s="625">
        <f t="shared" si="22"/>
        <v>1.4444444444444444</v>
      </c>
      <c r="O164" s="626"/>
      <c r="P164" s="66"/>
      <c r="AB164" s="100"/>
      <c r="AC164" s="67"/>
      <c r="AD164" s="67"/>
      <c r="AE164" s="610"/>
      <c r="AF164" s="67"/>
    </row>
    <row r="165" spans="1:32" x14ac:dyDescent="0.25">
      <c r="A165" s="627" t="str">
        <f>A164</f>
        <v>Phil Miller</v>
      </c>
      <c r="B165" s="628" t="str">
        <f t="shared" si="23"/>
        <v>Leeds</v>
      </c>
      <c r="C165" s="629" t="str">
        <f t="shared" si="24"/>
        <v>9/13</v>
      </c>
      <c r="D165" s="630">
        <f t="shared" si="25"/>
        <v>1.6923076923076923</v>
      </c>
      <c r="E165" s="651" t="str">
        <f t="shared" si="21"/>
        <v>x</v>
      </c>
      <c r="F165" s="631"/>
      <c r="G165" s="644"/>
      <c r="H165" s="294"/>
      <c r="I165" s="506"/>
      <c r="J165" s="622" t="s">
        <v>441</v>
      </c>
      <c r="K165" s="265" t="str">
        <f>INDEX(Odds!F:F,MATCH(J165,Odds!E:E,0))</f>
        <v>9/13</v>
      </c>
      <c r="L165" s="633">
        <f>INDEX(Odds!G:G,MATCH(J165,Odds!E:E,0))</f>
        <v>1.6923076923076923</v>
      </c>
      <c r="M165" s="624">
        <f>INDEX(Odds!H:H,MATCH(J165,Odds!E:E,0))</f>
        <v>0</v>
      </c>
      <c r="N165" s="625">
        <f t="shared" si="22"/>
        <v>0</v>
      </c>
      <c r="O165" s="626"/>
      <c r="P165" s="66"/>
      <c r="AB165" s="100"/>
      <c r="AC165" s="67"/>
      <c r="AD165" s="67"/>
      <c r="AE165" s="610"/>
      <c r="AF165" s="67"/>
    </row>
    <row r="166" spans="1:32" ht="13.8" thickBot="1" x14ac:dyDescent="0.3">
      <c r="A166" s="634" t="str">
        <f>A164</f>
        <v>Phil Miller</v>
      </c>
      <c r="B166" s="635" t="str">
        <f t="shared" si="23"/>
        <v>Wolves</v>
      </c>
      <c r="C166" s="636" t="str">
        <f t="shared" si="24"/>
        <v>1/2</v>
      </c>
      <c r="D166" s="637">
        <f t="shared" si="25"/>
        <v>1.5</v>
      </c>
      <c r="E166" s="651" t="str">
        <f t="shared" si="21"/>
        <v>√</v>
      </c>
      <c r="F166" s="631"/>
      <c r="G166" s="644"/>
      <c r="H166" s="294"/>
      <c r="I166" s="506"/>
      <c r="J166" s="638" t="s">
        <v>590</v>
      </c>
      <c r="K166" s="267" t="str">
        <f>INDEX(Odds!F:F,MATCH(J166,Odds!E:E,0))</f>
        <v>1/2</v>
      </c>
      <c r="L166" s="639">
        <f>INDEX(Odds!G:G,MATCH(J166,Odds!E:E,0))</f>
        <v>1.5</v>
      </c>
      <c r="M166" s="624">
        <f>INDEX(Odds!H:H,MATCH(J166,Odds!E:E,0))</f>
        <v>1</v>
      </c>
      <c r="N166" s="640">
        <f t="shared" si="22"/>
        <v>1.5</v>
      </c>
      <c r="O166" s="641"/>
      <c r="P166" s="66"/>
      <c r="AB166" s="100"/>
      <c r="AC166" s="67"/>
      <c r="AD166" s="67"/>
      <c r="AE166" s="610"/>
      <c r="AF166" s="67"/>
    </row>
    <row r="167" spans="1:32" ht="13.5" customHeight="1" thickTop="1" thickBot="1" x14ac:dyDescent="0.3">
      <c r="A167" s="618" t="str">
        <f>Results!B167</f>
        <v>Rob England</v>
      </c>
      <c r="B167" s="642" t="str">
        <f t="shared" si="23"/>
        <v>Bury</v>
      </c>
      <c r="C167" s="629" t="str">
        <f t="shared" si="24"/>
        <v>1/2</v>
      </c>
      <c r="D167" s="621">
        <f t="shared" si="25"/>
        <v>1.5</v>
      </c>
      <c r="E167" s="652" t="str">
        <f t="shared" si="21"/>
        <v>x</v>
      </c>
      <c r="F167" s="509">
        <f>IF(J167="",-10,INDEX(Results!T:T,MATCH(A167,Results!V:V,0)))</f>
        <v>-5.1538461538461533</v>
      </c>
      <c r="G167" s="244">
        <f>IF(J167="","",INDEX(Results!AI:AI,MATCH(A167,Results!V:V,0)))</f>
        <v>14.440828402366861</v>
      </c>
      <c r="H167" s="294">
        <f>IF(G167="",0,1)</f>
        <v>1</v>
      </c>
      <c r="I167" s="505">
        <f>INDEX(Picks!AF:AF,MATCH(A167,Picks!AC:AC,0))</f>
        <v>44</v>
      </c>
      <c r="J167" s="622" t="s">
        <v>449</v>
      </c>
      <c r="K167" s="261" t="str">
        <f>INDEX(Odds!F:F,MATCH(J167,Odds!E:E,0))</f>
        <v>1/2</v>
      </c>
      <c r="L167" s="623">
        <f>INDEX(Odds!G:G,MATCH(J167,Odds!E:E,0))</f>
        <v>1.5</v>
      </c>
      <c r="M167" s="643">
        <f>INDEX(Odds!H:H,MATCH(J167,Odds!E:E,0))</f>
        <v>0</v>
      </c>
      <c r="N167" s="625">
        <f t="shared" si="22"/>
        <v>0</v>
      </c>
      <c r="O167" s="626"/>
      <c r="P167" s="66"/>
      <c r="AB167" s="100"/>
      <c r="AC167" s="67"/>
      <c r="AD167" s="67"/>
      <c r="AE167" s="610"/>
      <c r="AF167" s="67"/>
    </row>
    <row r="168" spans="1:32" x14ac:dyDescent="0.25">
      <c r="A168" s="627" t="str">
        <f>A167</f>
        <v>Rob England</v>
      </c>
      <c r="B168" s="628" t="str">
        <f t="shared" si="23"/>
        <v>Newport</v>
      </c>
      <c r="C168" s="629" t="str">
        <f t="shared" si="24"/>
        <v>15/13</v>
      </c>
      <c r="D168" s="630">
        <f t="shared" si="25"/>
        <v>2.1538461538461537</v>
      </c>
      <c r="E168" s="651" t="str">
        <f t="shared" si="21"/>
        <v>x</v>
      </c>
      <c r="F168" s="631"/>
      <c r="G168" s="644"/>
      <c r="H168" s="294"/>
      <c r="I168" s="506"/>
      <c r="J168" s="622" t="s">
        <v>616</v>
      </c>
      <c r="K168" s="265" t="str">
        <f>INDEX(Odds!F:F,MATCH(J168,Odds!E:E,0))</f>
        <v>15/13</v>
      </c>
      <c r="L168" s="633">
        <f>INDEX(Odds!G:G,MATCH(J168,Odds!E:E,0))</f>
        <v>2.1538461538461537</v>
      </c>
      <c r="M168" s="624">
        <f>INDEX(Odds!H:H,MATCH(J168,Odds!E:E,0))</f>
        <v>0</v>
      </c>
      <c r="N168" s="625">
        <f t="shared" si="22"/>
        <v>0</v>
      </c>
      <c r="O168" s="626"/>
      <c r="P168" s="66"/>
      <c r="AB168" s="100"/>
      <c r="AC168" s="67"/>
      <c r="AD168" s="67"/>
      <c r="AE168" s="610"/>
      <c r="AF168" s="67"/>
    </row>
    <row r="169" spans="1:32" ht="13.8" thickBot="1" x14ac:dyDescent="0.3">
      <c r="A169" s="634" t="str">
        <f>A167</f>
        <v>Rob England</v>
      </c>
      <c r="B169" s="635" t="str">
        <f t="shared" si="23"/>
        <v>Middlesbro</v>
      </c>
      <c r="C169" s="636" t="str">
        <f t="shared" si="24"/>
        <v>11/13</v>
      </c>
      <c r="D169" s="637">
        <f t="shared" si="25"/>
        <v>1.8461538461538463</v>
      </c>
      <c r="E169" s="651" t="str">
        <f t="shared" si="21"/>
        <v>√</v>
      </c>
      <c r="F169" s="631"/>
      <c r="G169" s="644"/>
      <c r="H169" s="294"/>
      <c r="I169" s="506"/>
      <c r="J169" s="638" t="s">
        <v>34</v>
      </c>
      <c r="K169" s="267" t="str">
        <f>INDEX(Odds!F:F,MATCH(J169,Odds!E:E,0))</f>
        <v>11/13</v>
      </c>
      <c r="L169" s="639">
        <f>INDEX(Odds!G:G,MATCH(J169,Odds!E:E,0))</f>
        <v>1.8461538461538463</v>
      </c>
      <c r="M169" s="624">
        <f>INDEX(Odds!H:H,MATCH(J169,Odds!E:E,0))</f>
        <v>1</v>
      </c>
      <c r="N169" s="640">
        <f t="shared" si="22"/>
        <v>1.8461538461538463</v>
      </c>
      <c r="O169" s="641"/>
      <c r="P169" s="66"/>
      <c r="AB169" s="100"/>
      <c r="AC169" s="67"/>
      <c r="AD169" s="67"/>
      <c r="AE169" s="610"/>
      <c r="AF169" s="67"/>
    </row>
    <row r="170" spans="1:32" ht="14.4" thickTop="1" thickBot="1" x14ac:dyDescent="0.3">
      <c r="A170" s="618" t="str">
        <f>Results!B170</f>
        <v>Sally Williams</v>
      </c>
      <c r="B170" s="628" t="str">
        <f t="shared" si="23"/>
        <v>Southend</v>
      </c>
      <c r="C170" s="629" t="str">
        <f t="shared" si="24"/>
        <v>11/5</v>
      </c>
      <c r="D170" s="621">
        <f t="shared" si="25"/>
        <v>3.2</v>
      </c>
      <c r="E170" s="652" t="str">
        <f t="shared" si="21"/>
        <v>√</v>
      </c>
      <c r="F170" s="509">
        <f>IF(J170="",-10,INDEX(Results!T:T,MATCH(A170,Results!V:V,0)))</f>
        <v>-3.8</v>
      </c>
      <c r="G170" s="244">
        <f>IF(J170="","",INDEX(Results!AI:AI,MATCH(A170,Results!V:V,0)))</f>
        <v>63.820000000000007</v>
      </c>
      <c r="H170" s="294">
        <f>IF(G170="",0,1)</f>
        <v>1</v>
      </c>
      <c r="I170" s="505">
        <f>INDEX(Picks!AF:AF,MATCH(A170,Picks!AC:AC,0))</f>
        <v>34</v>
      </c>
      <c r="J170" s="622" t="s">
        <v>557</v>
      </c>
      <c r="K170" s="261" t="str">
        <f>INDEX(Odds!F:F,MATCH(J170,Odds!E:E,0))</f>
        <v>11/5</v>
      </c>
      <c r="L170" s="623">
        <f>INDEX(Odds!G:G,MATCH(J170,Odds!E:E,0))</f>
        <v>3.2</v>
      </c>
      <c r="M170" s="643">
        <f>INDEX(Odds!H:H,MATCH(J170,Odds!E:E,0))</f>
        <v>1</v>
      </c>
      <c r="N170" s="625">
        <f t="shared" si="22"/>
        <v>3.2</v>
      </c>
      <c r="O170" s="626"/>
      <c r="P170" s="66"/>
      <c r="AB170" s="100"/>
      <c r="AC170" s="67"/>
      <c r="AD170" s="67"/>
      <c r="AE170" s="610"/>
      <c r="AF170" s="67"/>
    </row>
    <row r="171" spans="1:32" x14ac:dyDescent="0.25">
      <c r="A171" s="627" t="str">
        <f>A170</f>
        <v>Sally Williams</v>
      </c>
      <c r="B171" s="628" t="str">
        <f t="shared" si="23"/>
        <v>Notts co</v>
      </c>
      <c r="C171" s="629" t="str">
        <f t="shared" si="24"/>
        <v>9/5</v>
      </c>
      <c r="D171" s="630">
        <f t="shared" si="25"/>
        <v>2.8</v>
      </c>
      <c r="E171" s="651" t="str">
        <f t="shared" si="21"/>
        <v>x</v>
      </c>
      <c r="F171" s="631"/>
      <c r="G171" s="644"/>
      <c r="H171" s="294"/>
      <c r="I171" s="506"/>
      <c r="J171" s="622" t="s">
        <v>626</v>
      </c>
      <c r="K171" s="265" t="str">
        <f>INDEX(Odds!F:F,MATCH(J171,Odds!E:E,0))</f>
        <v>9/5</v>
      </c>
      <c r="L171" s="633">
        <f>INDEX(Odds!G:G,MATCH(J171,Odds!E:E,0))</f>
        <v>2.8</v>
      </c>
      <c r="M171" s="624">
        <f>INDEX(Odds!H:H,MATCH(J171,Odds!E:E,0))</f>
        <v>0</v>
      </c>
      <c r="N171" s="625">
        <f t="shared" si="22"/>
        <v>0</v>
      </c>
      <c r="O171" s="626"/>
      <c r="P171" s="66"/>
      <c r="AB171" s="100"/>
      <c r="AC171" s="67"/>
      <c r="AD171" s="67"/>
      <c r="AE171" s="610"/>
      <c r="AF171" s="67"/>
    </row>
    <row r="172" spans="1:32" ht="13.8" thickBot="1" x14ac:dyDescent="0.3">
      <c r="A172" s="634" t="str">
        <f>A170</f>
        <v>Sally Williams</v>
      </c>
      <c r="B172" s="635" t="str">
        <f t="shared" si="23"/>
        <v>Brentford draw</v>
      </c>
      <c r="C172" s="636" t="str">
        <f t="shared" si="24"/>
        <v>5/2</v>
      </c>
      <c r="D172" s="637">
        <f t="shared" si="25"/>
        <v>3.5</v>
      </c>
      <c r="E172" s="651" t="str">
        <f t="shared" si="21"/>
        <v>x</v>
      </c>
      <c r="F172" s="631"/>
      <c r="G172" s="644"/>
      <c r="H172" s="294"/>
      <c r="I172" s="506"/>
      <c r="J172" s="638" t="s">
        <v>633</v>
      </c>
      <c r="K172" s="267" t="str">
        <f>INDEX(Odds!F:F,MATCH(J172,Odds!E:E,0))</f>
        <v>5/2</v>
      </c>
      <c r="L172" s="639">
        <f>INDEX(Odds!G:G,MATCH(J172,Odds!E:E,0))</f>
        <v>3.5</v>
      </c>
      <c r="M172" s="624">
        <f>INDEX(Odds!H:H,MATCH(J172,Odds!E:E,0))</f>
        <v>0</v>
      </c>
      <c r="N172" s="640">
        <f t="shared" si="22"/>
        <v>0</v>
      </c>
      <c r="O172" s="641"/>
      <c r="P172" s="66"/>
      <c r="AB172" s="100"/>
      <c r="AC172" s="67"/>
      <c r="AD172" s="67"/>
      <c r="AE172" s="610"/>
      <c r="AF172" s="67"/>
    </row>
    <row r="173" spans="1:32" ht="14.4" thickTop="1" thickBot="1" x14ac:dyDescent="0.3">
      <c r="A173" s="618" t="str">
        <f>Results!B173</f>
        <v>Simon Greenhalgh</v>
      </c>
      <c r="B173" s="628" t="str">
        <f t="shared" si="23"/>
        <v>Everton Draw</v>
      </c>
      <c r="C173" s="629" t="str">
        <f t="shared" si="24"/>
        <v>3/1</v>
      </c>
      <c r="D173" s="621">
        <f t="shared" si="25"/>
        <v>4</v>
      </c>
      <c r="E173" s="652" t="str">
        <f t="shared" si="21"/>
        <v>x</v>
      </c>
      <c r="F173" s="509">
        <f>IF(J173="",-10,INDEX(Results!T:T,MATCH(A173,Results!V:V,0)))</f>
        <v>-7</v>
      </c>
      <c r="G173" s="244">
        <f>IF(J173="","",INDEX(Results!AI:AI,MATCH(A173,Results!V:V,0)))</f>
        <v>102.50000000000001</v>
      </c>
      <c r="H173" s="294">
        <f>IF(G173="",0,1)</f>
        <v>1</v>
      </c>
      <c r="I173" s="505">
        <f>INDEX(Picks!AF:AF,MATCH(A173,Picks!AC:AC,0))</f>
        <v>47</v>
      </c>
      <c r="J173" s="622" t="s">
        <v>634</v>
      </c>
      <c r="K173" s="261" t="str">
        <f>INDEX(Odds!F:F,MATCH(J173,Odds!E:E,0))</f>
        <v>3/1</v>
      </c>
      <c r="L173" s="623">
        <f>INDEX(Odds!G:G,MATCH(J173,Odds!E:E,0))</f>
        <v>4</v>
      </c>
      <c r="M173" s="643">
        <f>INDEX(Odds!H:H,MATCH(J173,Odds!E:E,0))</f>
        <v>0</v>
      </c>
      <c r="N173" s="625">
        <f t="shared" si="22"/>
        <v>0</v>
      </c>
      <c r="O173" s="626"/>
      <c r="P173" s="66"/>
      <c r="AB173" s="100"/>
      <c r="AC173" s="67"/>
      <c r="AD173" s="67"/>
      <c r="AE173" s="610"/>
      <c r="AF173" s="67"/>
    </row>
    <row r="174" spans="1:32" x14ac:dyDescent="0.25">
      <c r="A174" s="627" t="str">
        <f>A173</f>
        <v>Simon Greenhalgh</v>
      </c>
      <c r="B174" s="628" t="str">
        <f t="shared" si="23"/>
        <v>Wolves Draw</v>
      </c>
      <c r="C174" s="629" t="str">
        <f t="shared" si="24"/>
        <v>16/5</v>
      </c>
      <c r="D174" s="630">
        <f t="shared" si="25"/>
        <v>4.2</v>
      </c>
      <c r="E174" s="651" t="str">
        <f t="shared" si="21"/>
        <v>x</v>
      </c>
      <c r="F174" s="631"/>
      <c r="G174" s="644"/>
      <c r="H174" s="294"/>
      <c r="I174" s="506"/>
      <c r="J174" s="622" t="s">
        <v>635</v>
      </c>
      <c r="K174" s="265" t="str">
        <f>INDEX(Odds!F:F,MATCH(J174,Odds!E:E,0))</f>
        <v>16/5</v>
      </c>
      <c r="L174" s="633">
        <f>INDEX(Odds!G:G,MATCH(J174,Odds!E:E,0))</f>
        <v>4.2</v>
      </c>
      <c r="M174" s="624">
        <f>INDEX(Odds!H:H,MATCH(J174,Odds!E:E,0))</f>
        <v>0</v>
      </c>
      <c r="N174" s="625">
        <f t="shared" si="22"/>
        <v>0</v>
      </c>
      <c r="O174" s="626"/>
      <c r="P174" s="66"/>
      <c r="AB174" s="100"/>
      <c r="AC174" s="67"/>
      <c r="AD174" s="67"/>
      <c r="AE174" s="610"/>
      <c r="AF174" s="67"/>
    </row>
    <row r="175" spans="1:32" ht="13.8" thickBot="1" x14ac:dyDescent="0.3">
      <c r="A175" s="634" t="str">
        <f>A173</f>
        <v>Simon Greenhalgh</v>
      </c>
      <c r="B175" s="635" t="str">
        <f t="shared" si="23"/>
        <v>Cardiff Draw</v>
      </c>
      <c r="C175" s="636" t="str">
        <f t="shared" si="24"/>
        <v>9/4</v>
      </c>
      <c r="D175" s="637">
        <f t="shared" si="25"/>
        <v>3.25</v>
      </c>
      <c r="E175" s="683" t="str">
        <f t="shared" si="21"/>
        <v>x</v>
      </c>
      <c r="F175" s="684"/>
      <c r="G175" s="685"/>
      <c r="H175" s="294"/>
      <c r="I175" s="506"/>
      <c r="J175" s="638" t="s">
        <v>636</v>
      </c>
      <c r="K175" s="267" t="str">
        <f>INDEX(Odds!F:F,MATCH(J175,Odds!E:E,0))</f>
        <v>9/4</v>
      </c>
      <c r="L175" s="639">
        <f>INDEX(Odds!G:G,MATCH(J175,Odds!E:E,0))</f>
        <v>3.25</v>
      </c>
      <c r="M175" s="624">
        <f>INDEX(Odds!H:H,MATCH(J175,Odds!E:E,0))</f>
        <v>0</v>
      </c>
      <c r="N175" s="640">
        <f t="shared" si="22"/>
        <v>0</v>
      </c>
      <c r="O175" s="641"/>
      <c r="P175" s="66"/>
      <c r="AB175" s="100"/>
      <c r="AC175" s="67"/>
      <c r="AD175" s="67"/>
      <c r="AE175" s="610"/>
      <c r="AF175" s="67"/>
    </row>
    <row r="176" spans="1:32" ht="14.4" thickTop="1" thickBot="1" x14ac:dyDescent="0.3">
      <c r="A176" s="618" t="str">
        <f>Results!B176</f>
        <v>Ste Bentley</v>
      </c>
      <c r="B176" s="628" t="str">
        <f t="shared" si="23"/>
        <v>West Ham</v>
      </c>
      <c r="C176" s="629" t="str">
        <f t="shared" si="24"/>
        <v>11/8</v>
      </c>
      <c r="D176" s="621">
        <f t="shared" si="25"/>
        <v>2.375</v>
      </c>
      <c r="E176" s="651" t="str">
        <f t="shared" si="21"/>
        <v>√</v>
      </c>
      <c r="F176" s="681">
        <f>IF(J176="",-10,INDEX(Results!T:T,MATCH(A176,Results!V:V,0)))</f>
        <v>19</v>
      </c>
      <c r="G176" s="682">
        <f>IF(J176="","",INDEX(Results!AI:AI,MATCH(A176,Results!V:V,0)))</f>
        <v>19</v>
      </c>
      <c r="H176" s="294">
        <f>IF(G176="",0,1)</f>
        <v>1</v>
      </c>
      <c r="I176" s="505">
        <f>INDEX(Picks!AF:AF,MATCH(A176,Picks!AC:AC,0))</f>
        <v>7</v>
      </c>
      <c r="J176" s="622" t="s">
        <v>622</v>
      </c>
      <c r="K176" s="261" t="str">
        <f>INDEX(Odds!F:F,MATCH(J176,Odds!E:E,0))</f>
        <v>11/8</v>
      </c>
      <c r="L176" s="623">
        <f>INDEX(Odds!G:G,MATCH(J176,Odds!E:E,0))</f>
        <v>2.375</v>
      </c>
      <c r="M176" s="643">
        <f>INDEX(Odds!H:H,MATCH(J176,Odds!E:E,0))</f>
        <v>1</v>
      </c>
      <c r="N176" s="625">
        <f t="shared" si="22"/>
        <v>2.375</v>
      </c>
      <c r="O176" s="626"/>
      <c r="P176" s="66"/>
      <c r="AB176" s="100"/>
      <c r="AC176" s="67"/>
      <c r="AD176" s="67"/>
      <c r="AE176" s="610"/>
      <c r="AF176" s="67"/>
    </row>
    <row r="177" spans="1:32" x14ac:dyDescent="0.25">
      <c r="A177" s="627" t="str">
        <f>A176</f>
        <v>Ste Bentley</v>
      </c>
      <c r="B177" s="628" t="str">
        <f t="shared" si="23"/>
        <v>Wolves</v>
      </c>
      <c r="C177" s="629" t="str">
        <f t="shared" si="24"/>
        <v>1/2</v>
      </c>
      <c r="D177" s="630">
        <f t="shared" si="25"/>
        <v>1.5</v>
      </c>
      <c r="E177" s="651" t="str">
        <f t="shared" si="21"/>
        <v>√</v>
      </c>
      <c r="F177" s="631"/>
      <c r="G177" s="644"/>
      <c r="H177" s="294"/>
      <c r="I177" s="506"/>
      <c r="J177" s="622" t="s">
        <v>590</v>
      </c>
      <c r="K177" s="265" t="str">
        <f>INDEX(Odds!F:F,MATCH(J177,Odds!E:E,0))</f>
        <v>1/2</v>
      </c>
      <c r="L177" s="633">
        <f>INDEX(Odds!G:G,MATCH(J177,Odds!E:E,0))</f>
        <v>1.5</v>
      </c>
      <c r="M177" s="624">
        <f>INDEX(Odds!H:H,MATCH(J177,Odds!E:E,0))</f>
        <v>1</v>
      </c>
      <c r="N177" s="625">
        <f t="shared" si="22"/>
        <v>1.5</v>
      </c>
      <c r="O177" s="626"/>
      <c r="P177" s="66"/>
      <c r="AB177" s="100"/>
      <c r="AC177" s="67"/>
      <c r="AD177" s="67"/>
      <c r="AE177" s="610"/>
      <c r="AF177" s="67"/>
    </row>
    <row r="178" spans="1:32" ht="13.8" thickBot="1" x14ac:dyDescent="0.3">
      <c r="A178" s="634" t="str">
        <f>A176</f>
        <v>Ste Bentley</v>
      </c>
      <c r="B178" s="635" t="str">
        <f t="shared" si="23"/>
        <v>MK Dons</v>
      </c>
      <c r="C178" s="636" t="str">
        <f t="shared" si="24"/>
        <v>6/5</v>
      </c>
      <c r="D178" s="637">
        <f t="shared" si="25"/>
        <v>2.2000000000000002</v>
      </c>
      <c r="E178" s="651" t="str">
        <f t="shared" si="21"/>
        <v>√</v>
      </c>
      <c r="F178" s="631"/>
      <c r="G178" s="644"/>
      <c r="H178" s="294"/>
      <c r="I178" s="506"/>
      <c r="J178" s="638" t="s">
        <v>559</v>
      </c>
      <c r="K178" s="267" t="str">
        <f>INDEX(Odds!F:F,MATCH(J178,Odds!E:E,0))</f>
        <v>6/5</v>
      </c>
      <c r="L178" s="639">
        <f>INDEX(Odds!G:G,MATCH(J178,Odds!E:E,0))</f>
        <v>2.2000000000000002</v>
      </c>
      <c r="M178" s="624">
        <f>INDEX(Odds!H:H,MATCH(J178,Odds!E:E,0))</f>
        <v>1</v>
      </c>
      <c r="N178" s="640">
        <f t="shared" si="22"/>
        <v>2.2000000000000002</v>
      </c>
      <c r="O178" s="641"/>
      <c r="P178" s="66"/>
      <c r="AB178" s="100"/>
      <c r="AC178" s="67"/>
      <c r="AD178" s="67"/>
      <c r="AE178" s="610"/>
      <c r="AF178" s="67"/>
    </row>
    <row r="179" spans="1:32" ht="14.4" thickTop="1" thickBot="1" x14ac:dyDescent="0.3">
      <c r="A179" s="618" t="str">
        <f>Results!B179</f>
        <v>Stephen Barr</v>
      </c>
      <c r="B179" s="628" t="str">
        <f t="shared" si="23"/>
        <v>Spurs</v>
      </c>
      <c r="C179" s="629" t="str">
        <f t="shared" si="24"/>
        <v>3/4</v>
      </c>
      <c r="D179" s="621">
        <f t="shared" si="25"/>
        <v>1.75</v>
      </c>
      <c r="E179" s="652" t="str">
        <f t="shared" si="21"/>
        <v>x</v>
      </c>
      <c r="F179" s="509">
        <f>IF(J179="",-10,INDEX(Results!T:T,MATCH(A179,Results!V:V,0)))</f>
        <v>-7</v>
      </c>
      <c r="G179" s="244">
        <f>IF(J179="","",INDEX(Results!AI:AI,MATCH(A179,Results!V:V,0)))</f>
        <v>218.875</v>
      </c>
      <c r="H179" s="294">
        <f>IF(G179="",0,1)</f>
        <v>1</v>
      </c>
      <c r="I179" s="505">
        <f>INDEX(Picks!AF:AF,MATCH(A179,Picks!AC:AC,0))</f>
        <v>47</v>
      </c>
      <c r="J179" s="622" t="s">
        <v>623</v>
      </c>
      <c r="K179" s="261" t="str">
        <f>INDEX(Odds!F:F,MATCH(J179,Odds!E:E,0))</f>
        <v>3/4</v>
      </c>
      <c r="L179" s="623">
        <f>INDEX(Odds!G:G,MATCH(J179,Odds!E:E,0))</f>
        <v>1.75</v>
      </c>
      <c r="M179" s="643">
        <f>INDEX(Odds!H:H,MATCH(J179,Odds!E:E,0))</f>
        <v>0</v>
      </c>
      <c r="N179" s="625">
        <f t="shared" si="22"/>
        <v>0</v>
      </c>
      <c r="O179" s="626"/>
      <c r="P179" s="66"/>
      <c r="AB179" s="100"/>
      <c r="AC179" s="67"/>
      <c r="AD179" s="67"/>
      <c r="AE179" s="610"/>
      <c r="AF179" s="67"/>
    </row>
    <row r="180" spans="1:32" x14ac:dyDescent="0.25">
      <c r="A180" s="627" t="str">
        <f>A179</f>
        <v>Stephen Barr</v>
      </c>
      <c r="B180" s="628" t="str">
        <f t="shared" si="23"/>
        <v>Fulham</v>
      </c>
      <c r="C180" s="629" t="str">
        <f t="shared" si="24"/>
        <v>11/2</v>
      </c>
      <c r="D180" s="630">
        <f t="shared" si="25"/>
        <v>6.5</v>
      </c>
      <c r="E180" s="651" t="str">
        <f t="shared" si="21"/>
        <v>x</v>
      </c>
      <c r="F180" s="631"/>
      <c r="G180" s="644"/>
      <c r="H180" s="294"/>
      <c r="I180" s="506"/>
      <c r="J180" s="622" t="s">
        <v>620</v>
      </c>
      <c r="K180" s="265" t="str">
        <f>INDEX(Odds!F:F,MATCH(J180,Odds!E:E,0))</f>
        <v>11/2</v>
      </c>
      <c r="L180" s="633">
        <f>INDEX(Odds!G:G,MATCH(J180,Odds!E:E,0))</f>
        <v>6.5</v>
      </c>
      <c r="M180" s="624">
        <f>INDEX(Odds!H:H,MATCH(J180,Odds!E:E,0))</f>
        <v>0</v>
      </c>
      <c r="N180" s="625">
        <f t="shared" si="22"/>
        <v>0</v>
      </c>
      <c r="O180" s="626"/>
      <c r="P180" s="66"/>
      <c r="AB180" s="100"/>
      <c r="AC180" s="67"/>
      <c r="AD180" s="67"/>
      <c r="AE180" s="610"/>
      <c r="AF180" s="67"/>
    </row>
    <row r="181" spans="1:32" ht="13.8" thickBot="1" x14ac:dyDescent="0.3">
      <c r="A181" s="634" t="str">
        <f>A179</f>
        <v>Stephen Barr</v>
      </c>
      <c r="B181" s="635" t="str">
        <f t="shared" si="23"/>
        <v>Huddersfield</v>
      </c>
      <c r="C181" s="636" t="str">
        <f t="shared" si="24"/>
        <v>9/1</v>
      </c>
      <c r="D181" s="637">
        <f t="shared" si="25"/>
        <v>10</v>
      </c>
      <c r="E181" s="651" t="str">
        <f t="shared" si="21"/>
        <v>x</v>
      </c>
      <c r="F181" s="631"/>
      <c r="G181" s="644"/>
      <c r="H181" s="294"/>
      <c r="I181" s="506"/>
      <c r="J181" s="638" t="s">
        <v>593</v>
      </c>
      <c r="K181" s="267" t="str">
        <f>INDEX(Odds!F:F,MATCH(J181,Odds!E:E,0))</f>
        <v>9/1</v>
      </c>
      <c r="L181" s="639">
        <f>INDEX(Odds!G:G,MATCH(J181,Odds!E:E,0))</f>
        <v>10</v>
      </c>
      <c r="M181" s="624">
        <f>INDEX(Odds!H:H,MATCH(J181,Odds!E:E,0))</f>
        <v>0</v>
      </c>
      <c r="N181" s="640">
        <f t="shared" si="22"/>
        <v>0</v>
      </c>
      <c r="O181" s="641"/>
      <c r="P181" s="66"/>
      <c r="AB181" s="100"/>
      <c r="AC181" s="67"/>
      <c r="AD181" s="67"/>
      <c r="AE181" s="610"/>
      <c r="AF181" s="67"/>
    </row>
    <row r="182" spans="1:32" ht="14.4" thickTop="1" thickBot="1" x14ac:dyDescent="0.3">
      <c r="A182" s="618" t="str">
        <f>Results!B182</f>
        <v>Stephen Troop</v>
      </c>
      <c r="B182" s="628" t="str">
        <f t="shared" si="23"/>
        <v>Bournemouth</v>
      </c>
      <c r="C182" s="629" t="str">
        <f t="shared" si="24"/>
        <v>17/5</v>
      </c>
      <c r="D182" s="621">
        <f t="shared" si="25"/>
        <v>4.4000000000000004</v>
      </c>
      <c r="E182" s="652" t="str">
        <f t="shared" si="21"/>
        <v>√</v>
      </c>
      <c r="F182" s="509">
        <f>IF(J182="",-10,INDEX(Results!T:T,MATCH(A182,Results!V:V,0)))</f>
        <v>26.65</v>
      </c>
      <c r="G182" s="244">
        <f>IF(J182="","",INDEX(Results!AI:AI,MATCH(A182,Results!V:V,0)))</f>
        <v>26.65</v>
      </c>
      <c r="H182" s="294">
        <f>IF(G182="",0,1)</f>
        <v>1</v>
      </c>
      <c r="I182" s="505">
        <f>INDEX(Picks!AF:AF,MATCH(A182,Picks!AC:AC,0))</f>
        <v>3</v>
      </c>
      <c r="J182" s="622" t="s">
        <v>591</v>
      </c>
      <c r="K182" s="261" t="str">
        <f>INDEX(Odds!F:F,MATCH(J182,Odds!E:E,0))</f>
        <v>17/5</v>
      </c>
      <c r="L182" s="623">
        <f>INDEX(Odds!G:G,MATCH(J182,Odds!E:E,0))</f>
        <v>4.4000000000000004</v>
      </c>
      <c r="M182" s="643">
        <f>INDEX(Odds!H:H,MATCH(J182,Odds!E:E,0))</f>
        <v>1</v>
      </c>
      <c r="N182" s="625">
        <f t="shared" si="22"/>
        <v>4.4000000000000004</v>
      </c>
      <c r="O182" s="626"/>
      <c r="P182" s="66"/>
      <c r="AB182" s="100"/>
    </row>
    <row r="183" spans="1:32" x14ac:dyDescent="0.25">
      <c r="A183" s="627" t="str">
        <f>A182</f>
        <v>Stephen Troop</v>
      </c>
      <c r="B183" s="628" t="str">
        <f t="shared" si="23"/>
        <v>Liverpool</v>
      </c>
      <c r="C183" s="629" t="str">
        <f t="shared" si="24"/>
        <v>1/3</v>
      </c>
      <c r="D183" s="630">
        <f t="shared" si="25"/>
        <v>1.3333333333333333</v>
      </c>
      <c r="E183" s="651" t="str">
        <f t="shared" si="21"/>
        <v>√</v>
      </c>
      <c r="F183" s="631"/>
      <c r="G183" s="644"/>
      <c r="H183" s="294"/>
      <c r="I183" s="506"/>
      <c r="J183" s="622" t="s">
        <v>443</v>
      </c>
      <c r="K183" s="265" t="str">
        <f>INDEX(Odds!F:F,MATCH(J183,Odds!E:E,0))</f>
        <v>1/3</v>
      </c>
      <c r="L183" s="633">
        <f>INDEX(Odds!G:G,MATCH(J183,Odds!E:E,0))</f>
        <v>1.3333333333333333</v>
      </c>
      <c r="M183" s="624">
        <f>INDEX(Odds!H:H,MATCH(J183,Odds!E:E,0))</f>
        <v>1</v>
      </c>
      <c r="N183" s="625">
        <f t="shared" si="22"/>
        <v>1.3333333333333333</v>
      </c>
      <c r="O183" s="626"/>
      <c r="P183" s="66"/>
      <c r="AB183" s="100"/>
    </row>
    <row r="184" spans="1:32" ht="13.8" thickBot="1" x14ac:dyDescent="0.3">
      <c r="A184" s="634" t="str">
        <f>A182</f>
        <v>Stephen Troop</v>
      </c>
      <c r="B184" s="635" t="str">
        <f t="shared" si="23"/>
        <v>Charlton</v>
      </c>
      <c r="C184" s="636" t="str">
        <f t="shared" si="24"/>
        <v>3/4</v>
      </c>
      <c r="D184" s="637">
        <f t="shared" si="25"/>
        <v>1.75</v>
      </c>
      <c r="E184" s="653" t="str">
        <f t="shared" si="21"/>
        <v>√</v>
      </c>
      <c r="F184" s="645"/>
      <c r="G184" s="646"/>
      <c r="H184" s="294"/>
      <c r="I184" s="506"/>
      <c r="J184" s="638" t="s">
        <v>613</v>
      </c>
      <c r="K184" s="267" t="str">
        <f>INDEX(Odds!F:F,MATCH(J184,Odds!E:E,0))</f>
        <v>3/4</v>
      </c>
      <c r="L184" s="639">
        <f>INDEX(Odds!G:G,MATCH(J184,Odds!E:E,0))</f>
        <v>1.75</v>
      </c>
      <c r="M184" s="647">
        <f>INDEX(Odds!H:H,MATCH(J184,Odds!E:E,0))</f>
        <v>1</v>
      </c>
      <c r="N184" s="640">
        <f t="shared" si="22"/>
        <v>1.75</v>
      </c>
      <c r="O184" s="641"/>
      <c r="P184" s="66"/>
      <c r="AB184" s="100"/>
    </row>
    <row r="185" spans="1:32" ht="14.4" thickTop="1" thickBot="1" x14ac:dyDescent="0.3">
      <c r="A185" s="618" t="str">
        <f>Results!B185</f>
        <v>Steve Baxter</v>
      </c>
      <c r="B185" s="628" t="str">
        <f>IF(J185="","",J185)</f>
        <v>Liverpool</v>
      </c>
      <c r="C185" s="629" t="str">
        <f>IF(J185="","",K185)</f>
        <v>1/3</v>
      </c>
      <c r="D185" s="621">
        <f>IF(J185="","",L185)</f>
        <v>1.3333333333333333</v>
      </c>
      <c r="E185" s="652" t="str">
        <f t="shared" si="21"/>
        <v>√</v>
      </c>
      <c r="F185" s="509">
        <f>IF(J185="",-10,INDEX(Results!T:T,MATCH(A185,Results!V:V,0)))</f>
        <v>-5.666666666666667</v>
      </c>
      <c r="G185" s="244">
        <f>IF(J185="","",INDEX(Results!AI:AI,MATCH(A185,Results!V:V,0)))</f>
        <v>4.6116666666666664</v>
      </c>
      <c r="H185" s="294">
        <f>IF(G185="",0,1)</f>
        <v>1</v>
      </c>
      <c r="I185" s="505">
        <f>INDEX(Picks!AF:AF,MATCH(A185,Picks!AC:AC,0))</f>
        <v>46</v>
      </c>
      <c r="J185" s="622" t="s">
        <v>443</v>
      </c>
      <c r="K185" s="261" t="str">
        <f>INDEX(Odds!F:F,MATCH(J185,Odds!E:E,0))</f>
        <v>1/3</v>
      </c>
      <c r="L185" s="623">
        <f>INDEX(Odds!G:G,MATCH(J185,Odds!E:E,0))</f>
        <v>1.3333333333333333</v>
      </c>
      <c r="M185" s="643">
        <f>INDEX(Odds!H:H,MATCH(J185,Odds!E:E,0))</f>
        <v>1</v>
      </c>
      <c r="N185" s="625">
        <f t="shared" ref="N185:N196" si="26">L185*M185</f>
        <v>1.3333333333333333</v>
      </c>
      <c r="O185" s="626"/>
      <c r="P185" s="66"/>
    </row>
    <row r="186" spans="1:32" x14ac:dyDescent="0.25">
      <c r="A186" s="627" t="str">
        <f>A185</f>
        <v>Steve Baxter</v>
      </c>
      <c r="B186" s="628" t="str">
        <f>IF(J186="","",J186)</f>
        <v>Man U</v>
      </c>
      <c r="C186" s="629" t="str">
        <f>IF(J186="","",K186)</f>
        <v>3/10</v>
      </c>
      <c r="D186" s="630">
        <f>IF(J186="","",L186)</f>
        <v>1.3</v>
      </c>
      <c r="E186" s="651" t="str">
        <f t="shared" si="21"/>
        <v>x</v>
      </c>
      <c r="F186" s="631"/>
      <c r="G186" s="644"/>
      <c r="I186" s="649"/>
      <c r="J186" s="622" t="s">
        <v>621</v>
      </c>
      <c r="K186" s="265" t="str">
        <f>INDEX(Odds!F:F,MATCH(J186,Odds!E:E,0))</f>
        <v>3/10</v>
      </c>
      <c r="L186" s="633">
        <f>INDEX(Odds!G:G,MATCH(J186,Odds!E:E,0))</f>
        <v>1.3</v>
      </c>
      <c r="M186" s="624">
        <f>INDEX(Odds!H:H,MATCH(J186,Odds!E:E,0))</f>
        <v>0</v>
      </c>
      <c r="N186" s="625">
        <f t="shared" si="26"/>
        <v>0</v>
      </c>
      <c r="O186" s="626"/>
      <c r="P186" s="66"/>
    </row>
    <row r="187" spans="1:32" ht="13.8" thickBot="1" x14ac:dyDescent="0.3">
      <c r="A187" s="634" t="str">
        <f>A185</f>
        <v>Steve Baxter</v>
      </c>
      <c r="B187" s="635" t="str">
        <f>IF(J187="","",J187)</f>
        <v>Arsenal</v>
      </c>
      <c r="C187" s="636" t="str">
        <f>IF(J187="","",K187)</f>
        <v>7/20</v>
      </c>
      <c r="D187" s="637">
        <f>IF(J187="","",L187)</f>
        <v>1.35</v>
      </c>
      <c r="E187" s="653" t="str">
        <f t="shared" si="21"/>
        <v>x</v>
      </c>
      <c r="F187" s="645"/>
      <c r="G187" s="646"/>
      <c r="I187" s="649"/>
      <c r="J187" s="638" t="s">
        <v>618</v>
      </c>
      <c r="K187" s="267" t="str">
        <f>INDEX(Odds!F:F,MATCH(J187,Odds!E:E,0))</f>
        <v>7/20</v>
      </c>
      <c r="L187" s="639">
        <f>INDEX(Odds!G:G,MATCH(J187,Odds!E:E,0))</f>
        <v>1.35</v>
      </c>
      <c r="M187" s="647">
        <f>INDEX(Odds!H:H,MATCH(J187,Odds!E:E,0))</f>
        <v>0</v>
      </c>
      <c r="N187" s="640">
        <f t="shared" si="26"/>
        <v>0</v>
      </c>
      <c r="O187" s="641"/>
      <c r="P187" s="66"/>
    </row>
    <row r="188" spans="1:32" ht="14.4" thickTop="1" thickBot="1" x14ac:dyDescent="0.3">
      <c r="A188" s="618" t="str">
        <f>Results!B188</f>
        <v>Steve Carter</v>
      </c>
      <c r="B188" s="628" t="str">
        <f t="shared" ref="B188:B196" si="27">IF(J188="","",J188)</f>
        <v>Everton</v>
      </c>
      <c r="C188" s="629" t="str">
        <f t="shared" ref="C188:C196" si="28">IF(J188="","",K188)</f>
        <v>6/10</v>
      </c>
      <c r="D188" s="621">
        <f t="shared" ref="D188:D196" si="29">IF(J188="","",L188)</f>
        <v>1.6</v>
      </c>
      <c r="E188" s="652" t="str">
        <f t="shared" si="21"/>
        <v>√</v>
      </c>
      <c r="F188" s="509">
        <f>IF(J188="",-10,INDEX(Results!T:T,MATCH(A188,Results!V:V,0)))</f>
        <v>1.3599999999999994</v>
      </c>
      <c r="G188" s="244">
        <f>IF(J188="","",INDEX(Results!AI:AI,MATCH(A188,Results!V:V,0)))</f>
        <v>17.740000000000002</v>
      </c>
      <c r="H188" s="294">
        <f>IF(G188="",0,1)</f>
        <v>1</v>
      </c>
      <c r="I188" s="505">
        <f>INDEX(Picks!AF:AF,MATCH(A188,Picks!AC:AC,0))</f>
        <v>19</v>
      </c>
      <c r="J188" s="622" t="s">
        <v>594</v>
      </c>
      <c r="K188" s="261" t="str">
        <f>INDEX(Odds!F:F,MATCH(J188,Odds!E:E,0))</f>
        <v>6/10</v>
      </c>
      <c r="L188" s="623">
        <f>INDEX(Odds!G:G,MATCH(J188,Odds!E:E,0))</f>
        <v>1.6</v>
      </c>
      <c r="M188" s="643">
        <f>INDEX(Odds!H:H,MATCH(J188,Odds!E:E,0))</f>
        <v>1</v>
      </c>
      <c r="N188" s="625">
        <f t="shared" si="26"/>
        <v>1.6</v>
      </c>
      <c r="O188" s="626"/>
      <c r="P188" s="66"/>
    </row>
    <row r="189" spans="1:32" x14ac:dyDescent="0.25">
      <c r="A189" s="627" t="str">
        <f>A188</f>
        <v>Steve Carter</v>
      </c>
      <c r="B189" s="628" t="str">
        <f t="shared" si="27"/>
        <v>Spurs</v>
      </c>
      <c r="C189" s="629" t="str">
        <f t="shared" si="28"/>
        <v>3/4</v>
      </c>
      <c r="D189" s="630">
        <f t="shared" si="29"/>
        <v>1.75</v>
      </c>
      <c r="E189" s="651" t="str">
        <f t="shared" si="21"/>
        <v>x</v>
      </c>
      <c r="F189" s="631"/>
      <c r="G189" s="644"/>
      <c r="I189" s="649"/>
      <c r="J189" s="622" t="s">
        <v>623</v>
      </c>
      <c r="K189" s="265" t="str">
        <f>INDEX(Odds!F:F,MATCH(J189,Odds!E:E,0))</f>
        <v>3/4</v>
      </c>
      <c r="L189" s="633">
        <f>INDEX(Odds!G:G,MATCH(J189,Odds!E:E,0))</f>
        <v>1.75</v>
      </c>
      <c r="M189" s="624">
        <f>INDEX(Odds!H:H,MATCH(J189,Odds!E:E,0))</f>
        <v>0</v>
      </c>
      <c r="N189" s="625">
        <f t="shared" si="26"/>
        <v>0</v>
      </c>
      <c r="O189" s="626"/>
      <c r="P189" s="66"/>
    </row>
    <row r="190" spans="1:32" ht="13.8" thickBot="1" x14ac:dyDescent="0.3">
      <c r="A190" s="634" t="str">
        <f>A188</f>
        <v>Steve Carter</v>
      </c>
      <c r="B190" s="635" t="str">
        <f t="shared" si="27"/>
        <v>Palace</v>
      </c>
      <c r="C190" s="636" t="str">
        <f t="shared" si="28"/>
        <v>8/5</v>
      </c>
      <c r="D190" s="637">
        <f t="shared" si="29"/>
        <v>2.6</v>
      </c>
      <c r="E190" s="653" t="str">
        <f t="shared" si="21"/>
        <v>√</v>
      </c>
      <c r="F190" s="645"/>
      <c r="G190" s="646"/>
      <c r="I190" s="649"/>
      <c r="J190" s="638" t="s">
        <v>592</v>
      </c>
      <c r="K190" s="267" t="str">
        <f>INDEX(Odds!F:F,MATCH(J190,Odds!E:E,0))</f>
        <v>8/5</v>
      </c>
      <c r="L190" s="639">
        <f>INDEX(Odds!G:G,MATCH(J190,Odds!E:E,0))</f>
        <v>2.6</v>
      </c>
      <c r="M190" s="647">
        <f>INDEX(Odds!H:H,MATCH(J190,Odds!E:E,0))</f>
        <v>1</v>
      </c>
      <c r="N190" s="640">
        <f t="shared" si="26"/>
        <v>2.6</v>
      </c>
      <c r="O190" s="641"/>
      <c r="P190" s="66"/>
    </row>
    <row r="191" spans="1:32" ht="14.4" thickTop="1" thickBot="1" x14ac:dyDescent="0.3">
      <c r="A191" s="618" t="str">
        <f>Results!B191</f>
        <v>Tom Robinson</v>
      </c>
      <c r="B191" s="628" t="str">
        <f t="shared" si="27"/>
        <v>Luton</v>
      </c>
      <c r="C191" s="629" t="str">
        <f t="shared" si="28"/>
        <v>3/10</v>
      </c>
      <c r="D191" s="621">
        <f t="shared" si="29"/>
        <v>1.3</v>
      </c>
      <c r="E191" s="652" t="str">
        <f t="shared" si="21"/>
        <v>√</v>
      </c>
      <c r="F191" s="509">
        <f>IF(J191="",-10,INDEX(Results!T:T,MATCH(A191,Results!V:V,0)))</f>
        <v>1.7749999999999986</v>
      </c>
      <c r="G191" s="244">
        <f>IF(J191="","",INDEX(Results!AI:AI,MATCH(A191,Results!V:V,0)))</f>
        <v>37.942500000000003</v>
      </c>
      <c r="H191" s="294">
        <f>IF(G191="",0,1)</f>
        <v>1</v>
      </c>
      <c r="I191" s="505">
        <f>INDEX(Picks!AF:AF,MATCH(A191,Picks!AC:AC,0))</f>
        <v>18</v>
      </c>
      <c r="J191" s="622" t="s">
        <v>516</v>
      </c>
      <c r="K191" s="261" t="str">
        <f>INDEX(Odds!F:F,MATCH(J191,Odds!E:E,0))</f>
        <v>3/10</v>
      </c>
      <c r="L191" s="623">
        <f>INDEX(Odds!G:G,MATCH(J191,Odds!E:E,0))</f>
        <v>1.3</v>
      </c>
      <c r="M191" s="643">
        <f>INDEX(Odds!H:H,MATCH(J191,Odds!E:E,0))</f>
        <v>1</v>
      </c>
      <c r="N191" s="625">
        <f t="shared" si="26"/>
        <v>1.3</v>
      </c>
      <c r="O191" s="626"/>
      <c r="P191" s="66"/>
    </row>
    <row r="192" spans="1:32" x14ac:dyDescent="0.25">
      <c r="A192" s="627" t="str">
        <f>A191</f>
        <v>Tom Robinson</v>
      </c>
      <c r="B192" s="628" t="str">
        <f t="shared" si="27"/>
        <v>Fleetwood</v>
      </c>
      <c r="C192" s="629" t="str">
        <f t="shared" si="28"/>
        <v>27/10</v>
      </c>
      <c r="D192" s="630">
        <f t="shared" si="29"/>
        <v>3.7</v>
      </c>
      <c r="E192" s="651" t="str">
        <f t="shared" si="21"/>
        <v>x</v>
      </c>
      <c r="F192" s="631"/>
      <c r="G192" s="644"/>
      <c r="I192" s="649"/>
      <c r="J192" s="622" t="s">
        <v>612</v>
      </c>
      <c r="K192" s="265" t="str">
        <f>INDEX(Odds!F:F,MATCH(J192,Odds!E:E,0))</f>
        <v>27/10</v>
      </c>
      <c r="L192" s="633">
        <f>INDEX(Odds!G:G,MATCH(J192,Odds!E:E,0))</f>
        <v>3.7</v>
      </c>
      <c r="M192" s="624">
        <f>INDEX(Odds!H:H,MATCH(J192,Odds!E:E,0))</f>
        <v>0</v>
      </c>
      <c r="N192" s="625">
        <f t="shared" si="26"/>
        <v>0</v>
      </c>
      <c r="O192" s="626"/>
      <c r="P192" s="66"/>
    </row>
    <row r="193" spans="1:16" ht="13.8" thickBot="1" x14ac:dyDescent="0.3">
      <c r="A193" s="634" t="str">
        <f>A191</f>
        <v>Tom Robinson</v>
      </c>
      <c r="B193" s="635" t="str">
        <f t="shared" si="27"/>
        <v>Macclesfield draw</v>
      </c>
      <c r="C193" s="636" t="str">
        <f t="shared" si="28"/>
        <v>9/4</v>
      </c>
      <c r="D193" s="637">
        <f t="shared" si="29"/>
        <v>3.25</v>
      </c>
      <c r="E193" s="653" t="str">
        <f t="shared" si="21"/>
        <v>√</v>
      </c>
      <c r="F193" s="645"/>
      <c r="G193" s="646"/>
      <c r="I193" s="649"/>
      <c r="J193" s="638" t="s">
        <v>652</v>
      </c>
      <c r="K193" s="267" t="str">
        <f>INDEX(Odds!F:F,MATCH(J193,Odds!E:E,0))</f>
        <v>9/4</v>
      </c>
      <c r="L193" s="639">
        <f>INDEX(Odds!G:G,MATCH(J193,Odds!E:E,0))</f>
        <v>3.25</v>
      </c>
      <c r="M193" s="647">
        <f>INDEX(Odds!H:H,MATCH(J193,Odds!E:E,0))</f>
        <v>1</v>
      </c>
      <c r="N193" s="640">
        <f t="shared" si="26"/>
        <v>3.25</v>
      </c>
      <c r="O193" s="641"/>
      <c r="P193" s="66"/>
    </row>
    <row r="194" spans="1:16" ht="14.4" thickTop="1" thickBot="1" x14ac:dyDescent="0.3">
      <c r="A194" s="618" t="str">
        <f>Results!B194</f>
        <v>Vinny Topping</v>
      </c>
      <c r="B194" s="628" t="str">
        <f t="shared" si="27"/>
        <v>Everton</v>
      </c>
      <c r="C194" s="629" t="str">
        <f t="shared" si="28"/>
        <v>6/10</v>
      </c>
      <c r="D194" s="621">
        <f t="shared" si="29"/>
        <v>1.6</v>
      </c>
      <c r="E194" s="652" t="str">
        <f t="shared" si="21"/>
        <v>√</v>
      </c>
      <c r="F194" s="509">
        <f>IF(J194="",-10,INDEX(Results!T:T,MATCH(A194,Results!V:V,0)))</f>
        <v>0.58000000000000007</v>
      </c>
      <c r="G194" s="244">
        <f>IF(J194="","",INDEX(Results!AI:AI,MATCH(A194,Results!V:V,0)))</f>
        <v>28.464999999999996</v>
      </c>
      <c r="H194" s="294">
        <f>IF(G194="",0,1)</f>
        <v>1</v>
      </c>
      <c r="I194" s="505">
        <f>INDEX(Picks!AF:AF,MATCH(A194,Picks!AC:AC,0))</f>
        <v>22</v>
      </c>
      <c r="J194" s="622" t="s">
        <v>594</v>
      </c>
      <c r="K194" s="261" t="str">
        <f>INDEX(Odds!F:F,MATCH(J194,Odds!E:E,0))</f>
        <v>6/10</v>
      </c>
      <c r="L194" s="623">
        <f>INDEX(Odds!G:G,MATCH(J194,Odds!E:E,0))</f>
        <v>1.6</v>
      </c>
      <c r="M194" s="643">
        <f>INDEX(Odds!H:H,MATCH(J194,Odds!E:E,0))</f>
        <v>1</v>
      </c>
      <c r="N194" s="625">
        <f t="shared" si="26"/>
        <v>1.6</v>
      </c>
      <c r="O194" s="626"/>
      <c r="P194" s="66"/>
    </row>
    <row r="195" spans="1:16" x14ac:dyDescent="0.25">
      <c r="A195" s="627" t="str">
        <f>A194</f>
        <v>Vinny Topping</v>
      </c>
      <c r="B195" s="628" t="str">
        <f t="shared" si="27"/>
        <v>West Brom</v>
      </c>
      <c r="C195" s="629" t="str">
        <f t="shared" si="28"/>
        <v>9/4</v>
      </c>
      <c r="D195" s="630">
        <f t="shared" si="29"/>
        <v>3.25</v>
      </c>
      <c r="E195" s="651" t="str">
        <f>IF(J195="","",IF(M195=1,"√","x"))</f>
        <v>x</v>
      </c>
      <c r="F195" s="631"/>
      <c r="G195" s="644"/>
      <c r="I195" s="649"/>
      <c r="J195" s="622" t="s">
        <v>585</v>
      </c>
      <c r="K195" s="265" t="str">
        <f>INDEX(Odds!F:F,MATCH(J195,Odds!E:E,0))</f>
        <v>9/4</v>
      </c>
      <c r="L195" s="633">
        <f>INDEX(Odds!G:G,MATCH(J195,Odds!E:E,0))</f>
        <v>3.25</v>
      </c>
      <c r="M195" s="624">
        <f>INDEX(Odds!H:H,MATCH(J195,Odds!E:E,0))</f>
        <v>0</v>
      </c>
      <c r="N195" s="625">
        <f t="shared" si="26"/>
        <v>0</v>
      </c>
      <c r="O195" s="626"/>
      <c r="P195" s="66"/>
    </row>
    <row r="196" spans="1:16" ht="13.8" thickBot="1" x14ac:dyDescent="0.3">
      <c r="A196" s="634" t="str">
        <f>A194</f>
        <v>Vinny Topping</v>
      </c>
      <c r="B196" s="635" t="str">
        <f t="shared" si="27"/>
        <v>Wigan</v>
      </c>
      <c r="C196" s="636" t="str">
        <f t="shared" si="28"/>
        <v>13/10</v>
      </c>
      <c r="D196" s="637">
        <f t="shared" si="29"/>
        <v>2.2999999999999998</v>
      </c>
      <c r="E196" s="653" t="str">
        <f>IF(J196="","",IF(M196=1,"√","x"))</f>
        <v>√</v>
      </c>
      <c r="F196" s="645"/>
      <c r="G196" s="646"/>
      <c r="I196" s="649"/>
      <c r="J196" s="638" t="s">
        <v>430</v>
      </c>
      <c r="K196" s="267" t="str">
        <f>INDEX(Odds!F:F,MATCH(J196,Odds!E:E,0))</f>
        <v>13/10</v>
      </c>
      <c r="L196" s="639">
        <f>INDEX(Odds!G:G,MATCH(J196,Odds!E:E,0))</f>
        <v>2.2999999999999998</v>
      </c>
      <c r="M196" s="647">
        <f>INDEX(Odds!H:H,MATCH(J196,Odds!E:E,0))</f>
        <v>1</v>
      </c>
      <c r="N196" s="640">
        <f t="shared" si="26"/>
        <v>2.2999999999999998</v>
      </c>
      <c r="O196" s="641"/>
      <c r="P196" s="66"/>
    </row>
    <row r="197" spans="1:16" ht="13.8" thickTop="1" x14ac:dyDescent="0.25">
      <c r="E197" s="686"/>
      <c r="F197" s="687"/>
      <c r="G197" s="686"/>
    </row>
  </sheetData>
  <sheetCalcPr fullCalcOnLoad="1"/>
  <autoFilter ref="A1:N196"/>
  <phoneticPr fontId="0" type="noConversion"/>
  <dataValidations count="1">
    <dataValidation type="list" allowBlank="1" showInputMessage="1" showErrorMessage="1" sqref="J2:J196">
      <formula1>choices</formula1>
    </dataValidation>
  </dataValidations>
  <hyperlinks>
    <hyperlink ref="A1" location="Menu!A1" display="Player"/>
  </hyperlinks>
  <printOptions horizontalCentered="1" verticalCentered="1" gridLines="1"/>
  <pageMargins left="0" right="0" top="0" bottom="0" header="0" footer="0"/>
  <pageSetup paperSize="9" scale="76" fitToHeight="5" orientation="portrait" r:id="rId1"/>
  <headerFooter alignWithMargins="0"/>
  <rowBreaks count="4" manualBreakCount="4">
    <brk id="1" max="16383" man="1"/>
    <brk id="49" max="16383" man="1"/>
    <brk id="97" max="16383" man="1"/>
    <brk id="14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B300"/>
  <sheetViews>
    <sheetView zoomScale="80" zoomScaleNormal="80" workbookViewId="0">
      <pane ySplit="1" topLeftCell="A2" activePane="bottomLeft" state="frozen"/>
      <selection activeCell="J2" sqref="J2"/>
      <selection pane="bottomLeft" activeCell="J2" sqref="J2"/>
    </sheetView>
  </sheetViews>
  <sheetFormatPr defaultColWidth="9.109375" defaultRowHeight="13.2" x14ac:dyDescent="0.25"/>
  <cols>
    <col min="1" max="1" width="22.109375" style="11" bestFit="1" customWidth="1"/>
    <col min="2" max="2" width="23.6640625" style="15" customWidth="1"/>
    <col min="3" max="3" width="10.33203125" style="19" customWidth="1"/>
    <col min="4" max="4" width="9.109375" style="20" customWidth="1"/>
    <col min="5" max="6" width="8.5546875" style="11" customWidth="1"/>
    <col min="7" max="7" width="8.88671875" style="11" customWidth="1"/>
    <col min="8" max="8" width="10.6640625" style="90" customWidth="1"/>
    <col min="9" max="9" width="28.109375" style="15" customWidth="1"/>
    <col min="10" max="10" width="9.44140625" style="11" customWidth="1"/>
    <col min="11" max="11" width="9.33203125" style="215" customWidth="1"/>
    <col min="12" max="12" width="10.88671875" style="11" customWidth="1"/>
    <col min="13" max="13" width="12.33203125" style="21" customWidth="1"/>
    <col min="14" max="14" width="3.6640625" style="52" customWidth="1"/>
    <col min="15" max="15" width="38.6640625" style="9" hidden="1" customWidth="1"/>
    <col min="16" max="16" width="3.5546875" style="66" hidden="1" customWidth="1"/>
    <col min="17" max="17" width="25.6640625" style="9" hidden="1" customWidth="1"/>
    <col min="18" max="18" width="11.109375" style="9" hidden="1" customWidth="1"/>
    <col min="19" max="19" width="7" style="11" hidden="1" customWidth="1"/>
    <col min="20" max="20" width="20.6640625" style="9" hidden="1" customWidth="1"/>
    <col min="21" max="21" width="9.33203125" style="9" hidden="1" customWidth="1"/>
    <col min="22" max="22" width="16.44140625" style="9" hidden="1" customWidth="1"/>
    <col min="23" max="23" width="8.88671875" style="9" hidden="1" customWidth="1"/>
    <col min="24" max="24" width="10.88671875" style="9" hidden="1" customWidth="1"/>
    <col min="25" max="25" width="20.109375" style="9" hidden="1" customWidth="1"/>
    <col min="26" max="26" width="6.33203125" style="11" customWidth="1"/>
    <col min="27" max="27" width="7.109375" style="11" customWidth="1"/>
    <col min="28" max="28" width="21.88671875" style="9" customWidth="1"/>
    <col min="29" max="29" width="25.6640625" style="9" customWidth="1"/>
    <col min="30" max="30" width="9.109375" style="9" customWidth="1"/>
    <col min="31" max="31" width="22.109375" style="9" customWidth="1"/>
    <col min="32" max="16384" width="9.109375" style="9"/>
  </cols>
  <sheetData>
    <row r="1" spans="1:27" s="22" customFormat="1" ht="30.75" customHeight="1" thickTop="1" thickBot="1" x14ac:dyDescent="0.3">
      <c r="A1" s="277" t="s">
        <v>16</v>
      </c>
      <c r="B1" s="277" t="s">
        <v>27</v>
      </c>
      <c r="C1" s="278" t="s">
        <v>176</v>
      </c>
      <c r="D1" s="279" t="s">
        <v>177</v>
      </c>
      <c r="E1" s="280" t="s">
        <v>59</v>
      </c>
      <c r="F1" s="138" t="s">
        <v>30</v>
      </c>
      <c r="G1" s="281" t="s">
        <v>182</v>
      </c>
      <c r="H1" s="293">
        <f>entrants-SUM(H2:H196)</f>
        <v>0</v>
      </c>
      <c r="I1" s="330" t="s">
        <v>27</v>
      </c>
      <c r="J1" s="283" t="s">
        <v>57</v>
      </c>
      <c r="K1" s="284" t="s">
        <v>58</v>
      </c>
      <c r="L1" s="285" t="s">
        <v>17</v>
      </c>
      <c r="M1" s="285" t="s">
        <v>56</v>
      </c>
      <c r="N1" s="286"/>
      <c r="O1" s="287" t="s">
        <v>19</v>
      </c>
      <c r="P1" s="288"/>
      <c r="Q1" s="289" t="s">
        <v>51</v>
      </c>
      <c r="R1" s="290" t="s">
        <v>33</v>
      </c>
      <c r="S1" s="291" t="s">
        <v>55</v>
      </c>
      <c r="T1" s="22" t="s">
        <v>20</v>
      </c>
      <c r="U1" s="22" t="s">
        <v>47</v>
      </c>
      <c r="V1" s="22" t="s">
        <v>23</v>
      </c>
      <c r="W1" s="22" t="s">
        <v>48</v>
      </c>
      <c r="Z1" s="292"/>
      <c r="AA1" s="292"/>
    </row>
    <row r="2" spans="1:27" ht="14.4" thickTop="1" thickBot="1" x14ac:dyDescent="0.3">
      <c r="A2" s="238" t="str">
        <f>Results!B2</f>
        <v>Aaron Sudell</v>
      </c>
      <c r="B2" s="239" t="str">
        <f>IF(I2="","",I2)</f>
        <v/>
      </c>
      <c r="C2" s="240" t="str">
        <f>IF(I2="","",J2)</f>
        <v/>
      </c>
      <c r="D2" s="241" t="str">
        <f>IF(I2="","",K2)</f>
        <v/>
      </c>
      <c r="E2" s="242" t="str">
        <f>IF(I2="","",IF(L2=1,"Correct",""))</f>
        <v/>
      </c>
      <c r="F2" s="243" t="str">
        <f>IF(I2="","",INDEX(Results!T:T,MATCH(A2,Results!V:V,0)))</f>
        <v/>
      </c>
      <c r="G2" s="244" t="str">
        <f>IF(J2="","",INDEX(Results!AI:AI,MATCH(A2,Results!V:V,0)))</f>
        <v/>
      </c>
      <c r="H2" s="294">
        <f>IF(ISERROR(G2),0,1)</f>
        <v>1</v>
      </c>
      <c r="I2" s="331"/>
      <c r="J2" s="261"/>
      <c r="K2" s="262" t="e">
        <f>INDEX(Odds!G:G,MATCH(I2,Odds!E:E,0))</f>
        <v>#N/A</v>
      </c>
      <c r="L2" s="263" t="e">
        <f>INDEX(Odds!H:H,MATCH(I2,Odds!E:E,0))</f>
        <v>#N/A</v>
      </c>
      <c r="M2" s="264" t="e">
        <f>K2*L2</f>
        <v>#N/A</v>
      </c>
      <c r="N2" s="51"/>
      <c r="O2" s="38" t="str">
        <f>IF(Match!A2="","",Match!T2)</f>
        <v xml:space="preserve">Everton 2-0 Burnley </v>
      </c>
      <c r="P2" s="101"/>
      <c r="Q2" s="44" t="str">
        <f>IF(Odds!E2="","",Odds!E2)</f>
        <v>Everton</v>
      </c>
      <c r="R2" s="45" t="str">
        <f>INDEX(Odds!F:F,MATCH(Q2,Odds!E:E,0))</f>
        <v>6/10</v>
      </c>
      <c r="S2" s="46">
        <f t="shared" ref="S2:S46" si="0">IF(U2&gt;W2,1,0)</f>
        <v>1</v>
      </c>
      <c r="T2" s="22" t="str">
        <f>INDEX(Match!O:O,MATCH(O2,Match!T:T,0))</f>
        <v>Everton</v>
      </c>
      <c r="U2" s="22">
        <f>INDEX(Match!F:F,MATCH(O2,Match!T:T,0))</f>
        <v>2</v>
      </c>
      <c r="V2" s="22" t="str">
        <f>INDEX(Match!P:P,MATCH(O2,Match!T:T,0))</f>
        <v>Burnley</v>
      </c>
      <c r="W2" s="22">
        <f>INDEX(Match!G:G,MATCH(O2,Match!T:T,0))</f>
        <v>0</v>
      </c>
    </row>
    <row r="3" spans="1:27" x14ac:dyDescent="0.25">
      <c r="A3" s="324" t="str">
        <f>A2</f>
        <v>Aaron Sudell</v>
      </c>
      <c r="B3" s="245" t="str">
        <f t="shared" ref="B3:B66" si="1">IF(I3="","",I3)</f>
        <v/>
      </c>
      <c r="C3" s="246" t="str">
        <f t="shared" ref="C3:C66" si="2">IF(I3="","",J3)</f>
        <v/>
      </c>
      <c r="D3" s="247" t="str">
        <f t="shared" ref="D3:D66" si="3">IF(I3="","",K3)</f>
        <v/>
      </c>
      <c r="E3" s="248" t="str">
        <f t="shared" ref="E3:E66" si="4">IF(I3="","",IF(L3=1,"Correct",""))</f>
        <v/>
      </c>
      <c r="F3" s="249"/>
      <c r="G3" s="250"/>
      <c r="H3" s="294"/>
      <c r="I3" s="331"/>
      <c r="J3" s="265"/>
      <c r="K3" s="266" t="e">
        <f>INDEX(Odds!G:G,MATCH(I3,Odds!E:E,0))</f>
        <v>#N/A</v>
      </c>
      <c r="L3" s="263" t="e">
        <f>INDEX(Odds!H:H,MATCH(I3,Odds!E:E,0))</f>
        <v>#N/A</v>
      </c>
      <c r="M3" s="264" t="e">
        <f>K3*L3</f>
        <v>#N/A</v>
      </c>
      <c r="N3" s="51"/>
      <c r="O3" s="39" t="str">
        <f>IF(Match!A3="","",Match!T3)</f>
        <v xml:space="preserve">Bournemouth 1-0 Spurs </v>
      </c>
      <c r="P3" s="101"/>
      <c r="Q3" s="42" t="str">
        <f>IF(Odds!E3="","",Odds!E3)</f>
        <v>Bournemouth</v>
      </c>
      <c r="R3" s="43" t="str">
        <f>INDEX(Odds!F:F,MATCH(Q3,Odds!E:E,0))</f>
        <v>17/5</v>
      </c>
      <c r="S3" s="47">
        <f t="shared" si="0"/>
        <v>1</v>
      </c>
      <c r="T3" s="22" t="str">
        <f>INDEX(Match!O:O,MATCH(O3,Match!T:T,0))</f>
        <v>Bournemouth</v>
      </c>
      <c r="U3" s="22">
        <f>INDEX(Match!F:F,MATCH(O3,Match!T:T,0))</f>
        <v>1</v>
      </c>
      <c r="V3" s="22" t="str">
        <f>INDEX(Match!P:P,MATCH(O3,Match!T:T,0))</f>
        <v>Spurs</v>
      </c>
      <c r="W3" s="22">
        <f>INDEX(Match!G:G,MATCH(O3,Match!T:T,0))</f>
        <v>0</v>
      </c>
    </row>
    <row r="4" spans="1:27" ht="13.8" thickBot="1" x14ac:dyDescent="0.3">
      <c r="A4" s="325" t="str">
        <f>A2</f>
        <v>Aaron Sudell</v>
      </c>
      <c r="B4" s="251" t="str">
        <f t="shared" si="1"/>
        <v/>
      </c>
      <c r="C4" s="252" t="str">
        <f t="shared" si="2"/>
        <v/>
      </c>
      <c r="D4" s="253" t="str">
        <f t="shared" si="3"/>
        <v/>
      </c>
      <c r="E4" s="248" t="str">
        <f t="shared" si="4"/>
        <v/>
      </c>
      <c r="F4" s="249"/>
      <c r="G4" s="250"/>
      <c r="H4" s="294"/>
      <c r="I4" s="332"/>
      <c r="J4" s="267"/>
      <c r="K4" s="268" t="e">
        <f>INDEX(Odds!G:G,MATCH(I4,Odds!E:E,0))</f>
        <v>#N/A</v>
      </c>
      <c r="L4" s="263" t="e">
        <f>INDEX(Odds!H:H,MATCH(I4,Odds!E:E,0))</f>
        <v>#N/A</v>
      </c>
      <c r="M4" s="269" t="e">
        <f>K4*L4</f>
        <v>#N/A</v>
      </c>
      <c r="N4" s="51"/>
      <c r="O4" s="39" t="str">
        <f>IF(Match!A4="","",Match!T4)</f>
        <v xml:space="preserve">Cardiff 2-3 Palace </v>
      </c>
      <c r="P4" s="101"/>
      <c r="Q4" s="42" t="str">
        <f>IF(Odds!E4="","",Odds!E4)</f>
        <v>Cardiff</v>
      </c>
      <c r="R4" s="43" t="str">
        <f>INDEX(Odds!F:F,MATCH(Q4,Odds!E:E,0))</f>
        <v>9/5</v>
      </c>
      <c r="S4" s="47">
        <f t="shared" si="0"/>
        <v>0</v>
      </c>
      <c r="T4" s="22" t="str">
        <f>INDEX(Match!O:O,MATCH(O4,Match!T:T,0))</f>
        <v>Cardiff</v>
      </c>
      <c r="U4" s="22">
        <f>INDEX(Match!F:F,MATCH(O4,Match!T:T,0))</f>
        <v>2</v>
      </c>
      <c r="V4" s="22" t="str">
        <f>INDEX(Match!P:P,MATCH(O4,Match!T:T,0))</f>
        <v>Palace</v>
      </c>
      <c r="W4" s="22">
        <f>INDEX(Match!G:G,MATCH(O4,Match!T:T,0))</f>
        <v>3</v>
      </c>
    </row>
    <row r="5" spans="1:27" ht="14.4" thickTop="1" thickBot="1" x14ac:dyDescent="0.3">
      <c r="A5" s="238" t="str">
        <f>Results!B5</f>
        <v>Alan Rogers</v>
      </c>
      <c r="B5" s="254" t="str">
        <f>IF(I5="","",I5)</f>
        <v/>
      </c>
      <c r="C5" s="246" t="str">
        <f t="shared" si="2"/>
        <v/>
      </c>
      <c r="D5" s="241" t="str">
        <f t="shared" si="3"/>
        <v/>
      </c>
      <c r="E5" s="255" t="str">
        <f t="shared" si="4"/>
        <v/>
      </c>
      <c r="F5" s="243" t="str">
        <f>IF(I5="","",INDEX(Results!T:T,MATCH(A5,Results!V:V,0)))</f>
        <v/>
      </c>
      <c r="G5" s="244" t="str">
        <f>IF(J5="","",INDEX(Results!AI:AI,MATCH(A5,Results!V:V,0)))</f>
        <v/>
      </c>
      <c r="H5" s="294">
        <f>IF(ISERROR(G5),0,1)</f>
        <v>1</v>
      </c>
      <c r="I5" s="331"/>
      <c r="J5" s="261"/>
      <c r="K5" s="262" t="e">
        <f>INDEX(Odds!G:G,MATCH(I5,Odds!E:E,0))</f>
        <v>#N/A</v>
      </c>
      <c r="L5" s="270" t="e">
        <f>INDEX(Odds!H:H,MATCH(I5,Odds!E:E,0))</f>
        <v>#N/A</v>
      </c>
      <c r="M5" s="264" t="e">
        <f t="shared" ref="M5:M68" si="5">K5*L5</f>
        <v>#N/A</v>
      </c>
      <c r="N5" s="51"/>
      <c r="O5" s="39" t="str">
        <f>IF(Match!A5="","",Match!T5)</f>
        <v xml:space="preserve">Newcastle 2-3 Liverpool </v>
      </c>
      <c r="P5" s="101"/>
      <c r="Q5" s="42" t="str">
        <f>IF(Odds!E5="","",Odds!E5)</f>
        <v>Newcastle</v>
      </c>
      <c r="R5" s="43" t="str">
        <f>INDEX(Odds!F:F,MATCH(Q5,Odds!E:E,0))</f>
        <v>9/1</v>
      </c>
      <c r="S5" s="47">
        <f t="shared" si="0"/>
        <v>0</v>
      </c>
      <c r="T5" s="22" t="str">
        <f>INDEX(Match!O:O,MATCH(O5,Match!T:T,0))</f>
        <v>Newcastle</v>
      </c>
      <c r="U5" s="22">
        <f>INDEX(Match!F:F,MATCH(O5,Match!T:T,0))</f>
        <v>2</v>
      </c>
      <c r="V5" s="22" t="str">
        <f>INDEX(Match!P:P,MATCH(O5,Match!T:T,0))</f>
        <v>Liverpool</v>
      </c>
      <c r="W5" s="22">
        <f>INDEX(Match!G:G,MATCH(O5,Match!T:T,0))</f>
        <v>3</v>
      </c>
    </row>
    <row r="6" spans="1:27" x14ac:dyDescent="0.25">
      <c r="A6" s="324" t="str">
        <f>A5</f>
        <v>Alan Rogers</v>
      </c>
      <c r="B6" s="245" t="str">
        <f t="shared" si="1"/>
        <v/>
      </c>
      <c r="C6" s="246" t="str">
        <f t="shared" si="2"/>
        <v/>
      </c>
      <c r="D6" s="247" t="str">
        <f t="shared" si="3"/>
        <v/>
      </c>
      <c r="E6" s="248" t="str">
        <f t="shared" si="4"/>
        <v/>
      </c>
      <c r="F6" s="256"/>
      <c r="G6" s="257"/>
      <c r="H6" s="294"/>
      <c r="I6" s="331"/>
      <c r="J6" s="265"/>
      <c r="K6" s="266" t="e">
        <f>INDEX(Odds!G:G,MATCH(I6,Odds!E:E,0))</f>
        <v>#N/A</v>
      </c>
      <c r="L6" s="263" t="e">
        <f>INDEX(Odds!H:H,MATCH(I6,Odds!E:E,0))</f>
        <v>#N/A</v>
      </c>
      <c r="M6" s="264" t="e">
        <f t="shared" si="5"/>
        <v>#N/A</v>
      </c>
      <c r="N6" s="51"/>
      <c r="O6" s="39" t="str">
        <f>IF(Match!A6="","",Match!T6)</f>
        <v xml:space="preserve">West Ham 3-0 Southampton </v>
      </c>
      <c r="P6" s="101"/>
      <c r="Q6" s="42" t="str">
        <f>IF(Odds!E6="","",Odds!E6)</f>
        <v>West Ham</v>
      </c>
      <c r="R6" s="43" t="str">
        <f>INDEX(Odds!F:F,MATCH(Q6,Odds!E:E,0))</f>
        <v>11/8</v>
      </c>
      <c r="S6" s="47">
        <f t="shared" si="0"/>
        <v>1</v>
      </c>
      <c r="T6" s="22" t="str">
        <f>INDEX(Match!O:O,MATCH(O6,Match!T:T,0))</f>
        <v>West Ham</v>
      </c>
      <c r="U6" s="22">
        <f>INDEX(Match!F:F,MATCH(O6,Match!T:T,0))</f>
        <v>3</v>
      </c>
      <c r="V6" s="22" t="str">
        <f>INDEX(Match!P:P,MATCH(O6,Match!T:T,0))</f>
        <v>Southampton</v>
      </c>
      <c r="W6" s="22">
        <f>INDEX(Match!G:G,MATCH(O6,Match!T:T,0))</f>
        <v>0</v>
      </c>
    </row>
    <row r="7" spans="1:27" ht="13.8" thickBot="1" x14ac:dyDescent="0.3">
      <c r="A7" s="325" t="str">
        <f>A5</f>
        <v>Alan Rogers</v>
      </c>
      <c r="B7" s="251" t="str">
        <f t="shared" si="1"/>
        <v/>
      </c>
      <c r="C7" s="252" t="str">
        <f t="shared" si="2"/>
        <v/>
      </c>
      <c r="D7" s="253" t="str">
        <f t="shared" si="3"/>
        <v/>
      </c>
      <c r="E7" s="248" t="str">
        <f t="shared" si="4"/>
        <v/>
      </c>
      <c r="F7" s="256"/>
      <c r="G7" s="257"/>
      <c r="H7" s="294"/>
      <c r="I7" s="332"/>
      <c r="J7" s="267"/>
      <c r="K7" s="268" t="e">
        <f>INDEX(Odds!G:G,MATCH(I7,Odds!E:E,0))</f>
        <v>#N/A</v>
      </c>
      <c r="L7" s="263" t="e">
        <f>INDEX(Odds!H:H,MATCH(I7,Odds!E:E,0))</f>
        <v>#N/A</v>
      </c>
      <c r="M7" s="269" t="e">
        <f t="shared" si="5"/>
        <v>#N/A</v>
      </c>
      <c r="N7" s="51"/>
      <c r="O7" s="39" t="str">
        <f>IF(Match!A7="","",Match!T7)</f>
        <v xml:space="preserve">Wolves 1-0 Fulham </v>
      </c>
      <c r="P7" s="101"/>
      <c r="Q7" s="42" t="str">
        <f>IF(Odds!E7="","",Odds!E7)</f>
        <v>Wolves</v>
      </c>
      <c r="R7" s="43" t="str">
        <f>INDEX(Odds!F:F,MATCH(Q7,Odds!E:E,0))</f>
        <v>1/2</v>
      </c>
      <c r="S7" s="47">
        <f t="shared" si="0"/>
        <v>1</v>
      </c>
      <c r="T7" s="22" t="str">
        <f>INDEX(Match!O:O,MATCH(O7,Match!T:T,0))</f>
        <v>Wolves</v>
      </c>
      <c r="U7" s="22">
        <f>INDEX(Match!F:F,MATCH(O7,Match!T:T,0))</f>
        <v>1</v>
      </c>
      <c r="V7" s="22" t="str">
        <f>INDEX(Match!P:P,MATCH(O7,Match!T:T,0))</f>
        <v>Fulham</v>
      </c>
      <c r="W7" s="22">
        <f>INDEX(Match!G:G,MATCH(O7,Match!T:T,0))</f>
        <v>0</v>
      </c>
    </row>
    <row r="8" spans="1:27" ht="14.4" thickTop="1" thickBot="1" x14ac:dyDescent="0.3">
      <c r="A8" s="238" t="str">
        <f>Results!B8</f>
        <v>Alfie Davies</v>
      </c>
      <c r="B8" s="254" t="str">
        <f t="shared" si="1"/>
        <v/>
      </c>
      <c r="C8" s="246" t="str">
        <f t="shared" si="2"/>
        <v/>
      </c>
      <c r="D8" s="241" t="str">
        <f t="shared" si="3"/>
        <v/>
      </c>
      <c r="E8" s="255" t="str">
        <f t="shared" si="4"/>
        <v/>
      </c>
      <c r="F8" s="243" t="str">
        <f>IF(I8="","",INDEX(Results!T:T,MATCH(A8,Results!V:V,0)))</f>
        <v/>
      </c>
      <c r="G8" s="244" t="str">
        <f>IF(J8="","",INDEX(Results!AI:AI,MATCH(A8,Results!V:V,0)))</f>
        <v/>
      </c>
      <c r="H8" s="294">
        <f>IF(ISERROR(G8),0,1)</f>
        <v>1</v>
      </c>
      <c r="I8" s="331"/>
      <c r="J8" s="261"/>
      <c r="K8" s="262" t="e">
        <f>INDEX(Odds!G:G,MATCH(I8,Odds!E:E,0))</f>
        <v>#N/A</v>
      </c>
      <c r="L8" s="270" t="e">
        <f>INDEX(Odds!H:H,MATCH(I8,Odds!E:E,0))</f>
        <v>#N/A</v>
      </c>
      <c r="M8" s="264" t="e">
        <f t="shared" si="5"/>
        <v>#N/A</v>
      </c>
      <c r="N8" s="51"/>
      <c r="O8" s="39" t="str">
        <f>IF(Match!A8="","",Match!T8)</f>
        <v xml:space="preserve">Blackpool 0-3 Gillingham </v>
      </c>
      <c r="P8" s="101"/>
      <c r="Q8" s="42" t="str">
        <f>IF(Odds!E8="","",Odds!E8)</f>
        <v>Blackpool</v>
      </c>
      <c r="R8" s="43" t="str">
        <f>INDEX(Odds!F:F,MATCH(Q8,Odds!E:E,0))</f>
        <v>5/4</v>
      </c>
      <c r="S8" s="47">
        <f t="shared" si="0"/>
        <v>0</v>
      </c>
      <c r="T8" s="22" t="str">
        <f>INDEX(Match!O:O,MATCH(O8,Match!T:T,0))</f>
        <v>Blackpool</v>
      </c>
      <c r="U8" s="22">
        <f>INDEX(Match!F:F,MATCH(O8,Match!T:T,0))</f>
        <v>0</v>
      </c>
      <c r="V8" s="22" t="str">
        <f>INDEX(Match!P:P,MATCH(O8,Match!T:T,0))</f>
        <v>Gillingham</v>
      </c>
      <c r="W8" s="22">
        <f>INDEX(Match!G:G,MATCH(O8,Match!T:T,0))</f>
        <v>3</v>
      </c>
    </row>
    <row r="9" spans="1:27" ht="13.5" customHeight="1" x14ac:dyDescent="0.25">
      <c r="A9" s="324" t="str">
        <f>A8</f>
        <v>Alfie Davies</v>
      </c>
      <c r="B9" s="245" t="str">
        <f t="shared" si="1"/>
        <v/>
      </c>
      <c r="C9" s="246" t="str">
        <f t="shared" si="2"/>
        <v/>
      </c>
      <c r="D9" s="247" t="str">
        <f t="shared" si="3"/>
        <v/>
      </c>
      <c r="E9" s="248" t="str">
        <f t="shared" si="4"/>
        <v/>
      </c>
      <c r="F9" s="256"/>
      <c r="G9" s="257"/>
      <c r="H9" s="294"/>
      <c r="I9" s="331"/>
      <c r="J9" s="265"/>
      <c r="K9" s="266" t="e">
        <f>INDEX(Odds!G:G,MATCH(I9,Odds!E:E,0))</f>
        <v>#N/A</v>
      </c>
      <c r="L9" s="263" t="e">
        <f>INDEX(Odds!H:H,MATCH(I9,Odds!E:E,0))</f>
        <v>#N/A</v>
      </c>
      <c r="M9" s="264" t="e">
        <f t="shared" si="5"/>
        <v>#N/A</v>
      </c>
      <c r="N9" s="51"/>
      <c r="O9" s="39" t="str">
        <f>IF(Match!A9="","",Match!T9)</f>
        <v xml:space="preserve">Bradford 0-0 Wimbledon </v>
      </c>
      <c r="P9" s="101"/>
      <c r="Q9" s="42" t="str">
        <f>IF(Odds!E9="","",Odds!E9)</f>
        <v>Bradford</v>
      </c>
      <c r="R9" s="43" t="str">
        <f>INDEX(Odds!F:F,MATCH(Q9,Odds!E:E,0))</f>
        <v>11/4</v>
      </c>
      <c r="S9" s="47">
        <f t="shared" si="0"/>
        <v>0</v>
      </c>
      <c r="T9" s="22" t="str">
        <f>INDEX(Match!O:O,MATCH(O9,Match!T:T,0))</f>
        <v>Bradford</v>
      </c>
      <c r="U9" s="22">
        <f>INDEX(Match!F:F,MATCH(O9,Match!T:T,0))</f>
        <v>0</v>
      </c>
      <c r="V9" s="22" t="str">
        <f>INDEX(Match!P:P,MATCH(O9,Match!T:T,0))</f>
        <v>Wimbledon</v>
      </c>
      <c r="W9" s="22">
        <f>INDEX(Match!G:G,MATCH(O9,Match!T:T,0))</f>
        <v>0</v>
      </c>
    </row>
    <row r="10" spans="1:27" ht="13.8" thickBot="1" x14ac:dyDescent="0.3">
      <c r="A10" s="325" t="str">
        <f>A8</f>
        <v>Alfie Davies</v>
      </c>
      <c r="B10" s="251" t="str">
        <f t="shared" si="1"/>
        <v/>
      </c>
      <c r="C10" s="252" t="str">
        <f>IF(I10="","",J10)</f>
        <v/>
      </c>
      <c r="D10" s="253" t="str">
        <f t="shared" si="3"/>
        <v/>
      </c>
      <c r="E10" s="248" t="str">
        <f t="shared" si="4"/>
        <v/>
      </c>
      <c r="F10" s="256"/>
      <c r="G10" s="257"/>
      <c r="H10" s="294"/>
      <c r="I10" s="332"/>
      <c r="J10" s="267"/>
      <c r="K10" s="268" t="e">
        <f>INDEX(Odds!G:G,MATCH(I10,Odds!E:E,0))</f>
        <v>#N/A</v>
      </c>
      <c r="L10" s="263" t="e">
        <f>INDEX(Odds!H:H,MATCH(I10,Odds!E:E,0))</f>
        <v>#N/A</v>
      </c>
      <c r="M10" s="269" t="e">
        <f t="shared" si="5"/>
        <v>#N/A</v>
      </c>
      <c r="N10" s="51"/>
      <c r="O10" s="39" t="str">
        <f>IF(Match!A10="","",Match!T10)</f>
        <v xml:space="preserve">Bristol R 2-1 Barnsley </v>
      </c>
      <c r="P10" s="101"/>
      <c r="Q10" s="42" t="str">
        <f>IF(Odds!E10="","",Odds!E10)</f>
        <v>Bristol R</v>
      </c>
      <c r="R10" s="43" t="str">
        <f>INDEX(Odds!F:F,MATCH(Q10,Odds!E:E,0))</f>
        <v>5/1</v>
      </c>
      <c r="S10" s="47">
        <f t="shared" si="0"/>
        <v>1</v>
      </c>
      <c r="T10" s="22" t="str">
        <f>INDEX(Match!O:O,MATCH(O10,Match!T:T,0))</f>
        <v>Bristol R</v>
      </c>
      <c r="U10" s="22">
        <f>INDEX(Match!F:F,MATCH(O10,Match!T:T,0))</f>
        <v>2</v>
      </c>
      <c r="V10" s="22" t="str">
        <f>INDEX(Match!P:P,MATCH(O10,Match!T:T,0))</f>
        <v>Barnsley</v>
      </c>
      <c r="W10" s="22">
        <f>INDEX(Match!G:G,MATCH(O10,Match!T:T,0))</f>
        <v>1</v>
      </c>
    </row>
    <row r="11" spans="1:27" ht="14.4" thickTop="1" thickBot="1" x14ac:dyDescent="0.3">
      <c r="A11" s="238" t="str">
        <f>Results!B11</f>
        <v>Alick Rocca</v>
      </c>
      <c r="B11" s="254" t="str">
        <f t="shared" si="1"/>
        <v/>
      </c>
      <c r="C11" s="246" t="str">
        <f t="shared" si="2"/>
        <v/>
      </c>
      <c r="D11" s="241" t="str">
        <f t="shared" si="3"/>
        <v/>
      </c>
      <c r="E11" s="255" t="str">
        <f t="shared" si="4"/>
        <v/>
      </c>
      <c r="F11" s="243" t="str">
        <f>IF(I11="","",INDEX(Results!T:T,MATCH(A11,Results!V:V,0)))</f>
        <v/>
      </c>
      <c r="G11" s="244" t="str">
        <f>IF(J11="","",INDEX(Results!AI:AI,MATCH(A11,Results!V:V,0)))</f>
        <v/>
      </c>
      <c r="H11" s="294">
        <f>IF(ISERROR(G11),0,1)</f>
        <v>1</v>
      </c>
      <c r="I11" s="331"/>
      <c r="J11" s="261"/>
      <c r="K11" s="262" t="e">
        <f>INDEX(Odds!G:G,MATCH(I11,Odds!E:E,0))</f>
        <v>#N/A</v>
      </c>
      <c r="L11" s="270" t="e">
        <f>INDEX(Odds!H:H,MATCH(I11,Odds!E:E,0))</f>
        <v>#N/A</v>
      </c>
      <c r="M11" s="264" t="e">
        <f t="shared" si="5"/>
        <v>#N/A</v>
      </c>
      <c r="N11" s="51"/>
      <c r="O11" s="39" t="str">
        <f>IF(Match!A11="","",Match!T11)</f>
        <v xml:space="preserve">Charlton 4-0 Rochdale </v>
      </c>
      <c r="P11" s="101"/>
      <c r="Q11" s="42" t="str">
        <f>IF(Odds!E11="","",Odds!E11)</f>
        <v>Charlton</v>
      </c>
      <c r="R11" s="43" t="str">
        <f>INDEX(Odds!F:F,MATCH(Q11,Odds!E:E,0))</f>
        <v>3/4</v>
      </c>
      <c r="S11" s="47">
        <f t="shared" si="0"/>
        <v>1</v>
      </c>
      <c r="T11" s="22" t="str">
        <f>INDEX(Match!O:O,MATCH(O11,Match!T:T,0))</f>
        <v>Charlton</v>
      </c>
      <c r="U11" s="22">
        <f>INDEX(Match!F:F,MATCH(O11,Match!T:T,0))</f>
        <v>4</v>
      </c>
      <c r="V11" s="22" t="str">
        <f>INDEX(Match!P:P,MATCH(O11,Match!T:T,0))</f>
        <v>Rochdale</v>
      </c>
      <c r="W11" s="22">
        <f>INDEX(Match!G:G,MATCH(O11,Match!T:T,0))</f>
        <v>0</v>
      </c>
    </row>
    <row r="12" spans="1:27" x14ac:dyDescent="0.25">
      <c r="A12" s="324" t="str">
        <f>A11</f>
        <v>Alick Rocca</v>
      </c>
      <c r="B12" s="245" t="str">
        <f t="shared" si="1"/>
        <v/>
      </c>
      <c r="C12" s="246" t="str">
        <f t="shared" si="2"/>
        <v/>
      </c>
      <c r="D12" s="247" t="str">
        <f t="shared" si="3"/>
        <v/>
      </c>
      <c r="E12" s="248" t="str">
        <f t="shared" si="4"/>
        <v/>
      </c>
      <c r="F12" s="256"/>
      <c r="G12" s="257"/>
      <c r="H12" s="294"/>
      <c r="I12" s="331"/>
      <c r="J12" s="265"/>
      <c r="K12" s="266" t="e">
        <f>INDEX(Odds!G:G,MATCH(I12,Odds!E:E,0))</f>
        <v>#N/A</v>
      </c>
      <c r="L12" s="263" t="e">
        <f>INDEX(Odds!H:H,MATCH(I12,Odds!E:E,0))</f>
        <v>#N/A</v>
      </c>
      <c r="M12" s="264" t="e">
        <f t="shared" si="5"/>
        <v>#N/A</v>
      </c>
      <c r="N12" s="51"/>
      <c r="O12" s="39" t="str">
        <f>IF(Match!A12="","",Match!T12)</f>
        <v xml:space="preserve">Doncaster 2-0 Coventry </v>
      </c>
      <c r="P12" s="101"/>
      <c r="Q12" s="42" t="str">
        <f>IF(Odds!E12="","",Odds!E12)</f>
        <v>Doncaster</v>
      </c>
      <c r="R12" s="43" t="str">
        <f>INDEX(Odds!F:F,MATCH(Q12,Odds!E:E,0))</f>
        <v>11/10</v>
      </c>
      <c r="S12" s="47">
        <f t="shared" si="0"/>
        <v>1</v>
      </c>
      <c r="T12" s="22" t="str">
        <f>INDEX(Match!O:O,MATCH(O12,Match!T:T,0))</f>
        <v>Doncaster</v>
      </c>
      <c r="U12" s="22">
        <f>INDEX(Match!F:F,MATCH(O12,Match!T:T,0))</f>
        <v>2</v>
      </c>
      <c r="V12" s="22" t="str">
        <f>INDEX(Match!P:P,MATCH(O12,Match!T:T,0))</f>
        <v>Coventry</v>
      </c>
      <c r="W12" s="22">
        <f>INDEX(Match!G:G,MATCH(O12,Match!T:T,0))</f>
        <v>0</v>
      </c>
    </row>
    <row r="13" spans="1:27" ht="13.8" thickBot="1" x14ac:dyDescent="0.3">
      <c r="A13" s="325" t="str">
        <f>A11</f>
        <v>Alick Rocca</v>
      </c>
      <c r="B13" s="251" t="str">
        <f>IF(I13="","",I13)</f>
        <v/>
      </c>
      <c r="C13" s="252" t="str">
        <f t="shared" si="2"/>
        <v/>
      </c>
      <c r="D13" s="253" t="str">
        <f t="shared" si="3"/>
        <v/>
      </c>
      <c r="E13" s="248" t="str">
        <f t="shared" si="4"/>
        <v/>
      </c>
      <c r="F13" s="256"/>
      <c r="G13" s="257"/>
      <c r="H13" s="294"/>
      <c r="I13" s="332"/>
      <c r="J13" s="267"/>
      <c r="K13" s="268" t="e">
        <f>INDEX(Odds!G:G,MATCH(I13,Odds!E:E,0))</f>
        <v>#N/A</v>
      </c>
      <c r="L13" s="263" t="e">
        <f>INDEX(Odds!H:H,MATCH(I13,Odds!E:E,0))</f>
        <v>#N/A</v>
      </c>
      <c r="M13" s="269" t="e">
        <f t="shared" si="5"/>
        <v>#N/A</v>
      </c>
      <c r="N13" s="51"/>
      <c r="O13" s="39" t="str">
        <f>IF(Match!A13="","",Match!T13)</f>
        <v xml:space="preserve">Luton 3-1 Oxford </v>
      </c>
      <c r="P13" s="101"/>
      <c r="Q13" s="42" t="str">
        <f>IF(Odds!E13="","",Odds!E13)</f>
        <v>Luton</v>
      </c>
      <c r="R13" s="43" t="str">
        <f>INDEX(Odds!F:F,MATCH(Q13,Odds!E:E,0))</f>
        <v>3/10</v>
      </c>
      <c r="S13" s="47">
        <f t="shared" si="0"/>
        <v>1</v>
      </c>
      <c r="T13" s="22" t="str">
        <f>INDEX(Match!O:O,MATCH(O13,Match!T:T,0))</f>
        <v>Luton</v>
      </c>
      <c r="U13" s="22">
        <f>INDEX(Match!F:F,MATCH(O13,Match!T:T,0))</f>
        <v>3</v>
      </c>
      <c r="V13" s="22" t="str">
        <f>INDEX(Match!P:P,MATCH(O13,Match!T:T,0))</f>
        <v>Oxford</v>
      </c>
      <c r="W13" s="22">
        <f>INDEX(Match!G:G,MATCH(O13,Match!T:T,0))</f>
        <v>1</v>
      </c>
    </row>
    <row r="14" spans="1:27" ht="14.4" thickTop="1" thickBot="1" x14ac:dyDescent="0.3">
      <c r="A14" s="238" t="str">
        <f>Results!B14</f>
        <v>Andy Charleston</v>
      </c>
      <c r="B14" s="254" t="str">
        <f t="shared" si="1"/>
        <v/>
      </c>
      <c r="C14" s="246" t="str">
        <f t="shared" si="2"/>
        <v/>
      </c>
      <c r="D14" s="241" t="str">
        <f t="shared" si="3"/>
        <v/>
      </c>
      <c r="E14" s="255" t="str">
        <f t="shared" si="4"/>
        <v/>
      </c>
      <c r="F14" s="243" t="str">
        <f>IF(I14="","",INDEX(Results!T:T,MATCH(A14,Results!V:V,0)))</f>
        <v/>
      </c>
      <c r="G14" s="244" t="str">
        <f>IF(J14="","",INDEX(Results!AI:AI,MATCH(A14,Results!V:V,0)))</f>
        <v/>
      </c>
      <c r="H14" s="294">
        <f>IF(ISERROR(G14),0,1)</f>
        <v>1</v>
      </c>
      <c r="I14" s="331"/>
      <c r="J14" s="261"/>
      <c r="K14" s="262" t="e">
        <f>INDEX(Odds!G:G,MATCH(I14,Odds!E:E,0))</f>
        <v>#N/A</v>
      </c>
      <c r="L14" s="270" t="e">
        <f>INDEX(Odds!H:H,MATCH(I14,Odds!E:E,0))</f>
        <v>#N/A</v>
      </c>
      <c r="M14" s="264" t="e">
        <f t="shared" si="5"/>
        <v>#N/A</v>
      </c>
      <c r="N14" s="51"/>
      <c r="O14" s="39" t="str">
        <f>IF(Match!A14="","",Match!T14)</f>
        <v xml:space="preserve">Peterborough 3-1 Burton </v>
      </c>
      <c r="P14" s="101"/>
      <c r="Q14" s="42" t="str">
        <f>IF(Odds!E14="","",Odds!E14)</f>
        <v>Peterborough</v>
      </c>
      <c r="R14" s="43" t="str">
        <f>INDEX(Odds!F:F,MATCH(Q14,Odds!E:E,0))</f>
        <v>23/20</v>
      </c>
      <c r="S14" s="47">
        <f t="shared" si="0"/>
        <v>1</v>
      </c>
      <c r="T14" s="22" t="str">
        <f>INDEX(Match!O:O,MATCH(O14,Match!T:T,0))</f>
        <v>Peterborough</v>
      </c>
      <c r="U14" s="22">
        <f>INDEX(Match!F:F,MATCH(O14,Match!T:T,0))</f>
        <v>3</v>
      </c>
      <c r="V14" s="22" t="str">
        <f>INDEX(Match!P:P,MATCH(O14,Match!T:T,0))</f>
        <v>Burton</v>
      </c>
      <c r="W14" s="22">
        <f>INDEX(Match!G:G,MATCH(O14,Match!T:T,0))</f>
        <v>1</v>
      </c>
    </row>
    <row r="15" spans="1:27" x14ac:dyDescent="0.25">
      <c r="A15" s="324" t="str">
        <f>A14</f>
        <v>Andy Charleston</v>
      </c>
      <c r="B15" s="245" t="str">
        <f t="shared" si="1"/>
        <v/>
      </c>
      <c r="C15" s="246" t="str">
        <f t="shared" si="2"/>
        <v/>
      </c>
      <c r="D15" s="247" t="str">
        <f t="shared" si="3"/>
        <v/>
      </c>
      <c r="E15" s="248" t="str">
        <f t="shared" si="4"/>
        <v/>
      </c>
      <c r="F15" s="256"/>
      <c r="G15" s="257"/>
      <c r="H15" s="294"/>
      <c r="I15" s="331"/>
      <c r="J15" s="265"/>
      <c r="K15" s="266" t="e">
        <f>INDEX(Odds!G:G,MATCH(I15,Odds!E:E,0))</f>
        <v>#N/A</v>
      </c>
      <c r="L15" s="263" t="e">
        <f>INDEX(Odds!H:H,MATCH(I15,Odds!E:E,0))</f>
        <v>#N/A</v>
      </c>
      <c r="M15" s="264" t="e">
        <f t="shared" si="5"/>
        <v>#N/A</v>
      </c>
      <c r="N15" s="51"/>
      <c r="O15" s="39" t="str">
        <f>IF(Match!A15="","",Match!T15)</f>
        <v xml:space="preserve">Plymouth 3-2 Scunthorpe </v>
      </c>
      <c r="P15" s="101"/>
      <c r="Q15" s="42" t="str">
        <f>IF(Odds!E15="","",Odds!E15)</f>
        <v>Plymouth</v>
      </c>
      <c r="R15" s="43" t="str">
        <f>INDEX(Odds!F:F,MATCH(Q15,Odds!E:E,0))</f>
        <v>5/4</v>
      </c>
      <c r="S15" s="47">
        <f t="shared" si="0"/>
        <v>1</v>
      </c>
      <c r="T15" s="22" t="str">
        <f>INDEX(Match!O:O,MATCH(O15,Match!T:T,0))</f>
        <v>Plymouth</v>
      </c>
      <c r="U15" s="22">
        <f>INDEX(Match!F:F,MATCH(O15,Match!T:T,0))</f>
        <v>3</v>
      </c>
      <c r="V15" s="22" t="str">
        <f>INDEX(Match!P:P,MATCH(O15,Match!T:T,0))</f>
        <v>Scunthorpe</v>
      </c>
      <c r="W15" s="22">
        <f>INDEX(Match!G:G,MATCH(O15,Match!T:T,0))</f>
        <v>2</v>
      </c>
    </row>
    <row r="16" spans="1:27" ht="13.8" thickBot="1" x14ac:dyDescent="0.3">
      <c r="A16" s="325" t="str">
        <f>A14</f>
        <v>Andy Charleston</v>
      </c>
      <c r="B16" s="251" t="str">
        <f t="shared" si="1"/>
        <v/>
      </c>
      <c r="C16" s="252" t="str">
        <f t="shared" si="2"/>
        <v/>
      </c>
      <c r="D16" s="253" t="str">
        <f t="shared" si="3"/>
        <v/>
      </c>
      <c r="E16" s="248" t="str">
        <f t="shared" si="4"/>
        <v/>
      </c>
      <c r="F16" s="256"/>
      <c r="G16" s="257"/>
      <c r="H16" s="294"/>
      <c r="I16" s="332"/>
      <c r="J16" s="267"/>
      <c r="K16" s="268" t="e">
        <f>INDEX(Odds!G:G,MATCH(I16,Odds!E:E,0))</f>
        <v>#N/A</v>
      </c>
      <c r="L16" s="263" t="e">
        <f>INDEX(Odds!H:H,MATCH(I16,Odds!E:E,0))</f>
        <v>#N/A</v>
      </c>
      <c r="M16" s="269" t="e">
        <f t="shared" si="5"/>
        <v>#N/A</v>
      </c>
      <c r="N16" s="51"/>
      <c r="O16" s="39" t="str">
        <f>IF(Match!A16="","",Match!T16)</f>
        <v xml:space="preserve">Portsmouth 1-1 Accrington </v>
      </c>
      <c r="P16" s="101"/>
      <c r="Q16" s="42" t="str">
        <f>IF(Odds!E16="","",Odds!E16)</f>
        <v>Portsmouth</v>
      </c>
      <c r="R16" s="43" t="str">
        <f>INDEX(Odds!F:F,MATCH(Q16,Odds!E:E,0))</f>
        <v>7/20</v>
      </c>
      <c r="S16" s="47">
        <f t="shared" si="0"/>
        <v>0</v>
      </c>
      <c r="T16" s="22" t="str">
        <f>INDEX(Match!O:O,MATCH(O16,Match!T:T,0))</f>
        <v>Portsmouth</v>
      </c>
      <c r="U16" s="22">
        <f>INDEX(Match!F:F,MATCH(O16,Match!T:T,0))</f>
        <v>1</v>
      </c>
      <c r="V16" s="22" t="str">
        <f>INDEX(Match!P:P,MATCH(O16,Match!T:T,0))</f>
        <v>Accrington</v>
      </c>
      <c r="W16" s="22">
        <f>INDEX(Match!G:G,MATCH(O16,Match!T:T,0))</f>
        <v>1</v>
      </c>
    </row>
    <row r="17" spans="1:23" ht="14.4" thickTop="1" thickBot="1" x14ac:dyDescent="0.3">
      <c r="A17" s="238" t="str">
        <f>Results!B17</f>
        <v>Andy White</v>
      </c>
      <c r="B17" s="254" t="str">
        <f t="shared" si="1"/>
        <v/>
      </c>
      <c r="C17" s="246" t="str">
        <f t="shared" si="2"/>
        <v/>
      </c>
      <c r="D17" s="241" t="str">
        <f t="shared" si="3"/>
        <v/>
      </c>
      <c r="E17" s="255" t="str">
        <f t="shared" si="4"/>
        <v/>
      </c>
      <c r="F17" s="243" t="str">
        <f>IF(I17="","",INDEX(Results!T:T,MATCH(A17,Results!V:V,0)))</f>
        <v/>
      </c>
      <c r="G17" s="244" t="str">
        <f>IF(J17="","",INDEX(Results!AI:AI,MATCH(A17,Results!V:V,0)))</f>
        <v/>
      </c>
      <c r="H17" s="294">
        <f>IF(ISERROR(G17),0,1)</f>
        <v>1</v>
      </c>
      <c r="I17" s="331"/>
      <c r="J17" s="261"/>
      <c r="K17" s="262" t="e">
        <f>INDEX(Odds!G:G,MATCH(I17,Odds!E:E,0))</f>
        <v>#N/A</v>
      </c>
      <c r="L17" s="270" t="e">
        <f>INDEX(Odds!H:H,MATCH(I17,Odds!E:E,0))</f>
        <v>#N/A</v>
      </c>
      <c r="M17" s="264" t="e">
        <f t="shared" si="5"/>
        <v>#N/A</v>
      </c>
      <c r="N17" s="51"/>
      <c r="O17" s="39" t="str">
        <f>IF(Match!A17="","",Match!T17)</f>
        <v xml:space="preserve">Shrewsbury 0-0 Walsall </v>
      </c>
      <c r="P17" s="101"/>
      <c r="Q17" s="42" t="str">
        <f>IF(Odds!E17="","",Odds!E17)</f>
        <v>Shrewsbury</v>
      </c>
      <c r="R17" s="43" t="str">
        <f>INDEX(Odds!F:F,MATCH(Q17,Odds!E:E,0))</f>
        <v>19/10</v>
      </c>
      <c r="S17" s="47">
        <f t="shared" si="0"/>
        <v>0</v>
      </c>
      <c r="T17" s="22" t="str">
        <f>INDEX(Match!O:O,MATCH(O17,Match!T:T,0))</f>
        <v>Shrewsbury</v>
      </c>
      <c r="U17" s="22">
        <f>INDEX(Match!F:F,MATCH(O17,Match!T:T,0))</f>
        <v>0</v>
      </c>
      <c r="V17" s="22" t="str">
        <f>INDEX(Match!P:P,MATCH(O17,Match!T:T,0))</f>
        <v>Walsall</v>
      </c>
      <c r="W17" s="22">
        <f>INDEX(Match!G:G,MATCH(O17,Match!T:T,0))</f>
        <v>0</v>
      </c>
    </row>
    <row r="18" spans="1:23" x14ac:dyDescent="0.25">
      <c r="A18" s="324" t="str">
        <f>A17</f>
        <v>Andy White</v>
      </c>
      <c r="B18" s="245" t="str">
        <f t="shared" si="1"/>
        <v/>
      </c>
      <c r="C18" s="246" t="str">
        <f t="shared" si="2"/>
        <v/>
      </c>
      <c r="D18" s="247" t="str">
        <f t="shared" si="3"/>
        <v/>
      </c>
      <c r="E18" s="248" t="str">
        <f t="shared" si="4"/>
        <v/>
      </c>
      <c r="F18" s="256"/>
      <c r="G18" s="257"/>
      <c r="H18" s="294"/>
      <c r="I18" s="331"/>
      <c r="J18" s="265"/>
      <c r="K18" s="266" t="e">
        <f>INDEX(Odds!G:G,MATCH(I18,Odds!E:E,0))</f>
        <v>#N/A</v>
      </c>
      <c r="L18" s="263" t="e">
        <f>INDEX(Odds!H:H,MATCH(I18,Odds!E:E,0))</f>
        <v>#N/A</v>
      </c>
      <c r="M18" s="264" t="e">
        <f t="shared" si="5"/>
        <v>#N/A</v>
      </c>
      <c r="N18" s="51"/>
      <c r="O18" s="39" t="str">
        <f>IF(Match!A18="","",Match!T18)</f>
        <v xml:space="preserve">Southend 2-1 Sunderland </v>
      </c>
      <c r="P18" s="101"/>
      <c r="Q18" s="42" t="str">
        <f>IF(Odds!E18="","",Odds!E18)</f>
        <v>Southend</v>
      </c>
      <c r="R18" s="43" t="str">
        <f>INDEX(Odds!F:F,MATCH(Q18,Odds!E:E,0))</f>
        <v>11/5</v>
      </c>
      <c r="S18" s="47">
        <f t="shared" si="0"/>
        <v>1</v>
      </c>
      <c r="T18" s="22" t="str">
        <f>INDEX(Match!O:O,MATCH(O18,Match!T:T,0))</f>
        <v>Southend</v>
      </c>
      <c r="U18" s="22">
        <f>INDEX(Match!F:F,MATCH(O18,Match!T:T,0))</f>
        <v>2</v>
      </c>
      <c r="V18" s="22" t="str">
        <f>INDEX(Match!P:P,MATCH(O18,Match!T:T,0))</f>
        <v>Sunderland</v>
      </c>
      <c r="W18" s="22">
        <f>INDEX(Match!G:G,MATCH(O18,Match!T:T,0))</f>
        <v>1</v>
      </c>
    </row>
    <row r="19" spans="1:23" ht="13.8" thickBot="1" x14ac:dyDescent="0.3">
      <c r="A19" s="325" t="str">
        <f>A17</f>
        <v>Andy White</v>
      </c>
      <c r="B19" s="245" t="str">
        <f t="shared" si="1"/>
        <v/>
      </c>
      <c r="C19" s="252" t="str">
        <f t="shared" si="2"/>
        <v/>
      </c>
      <c r="D19" s="253" t="str">
        <f t="shared" si="3"/>
        <v/>
      </c>
      <c r="E19" s="248" t="str">
        <f t="shared" si="4"/>
        <v/>
      </c>
      <c r="F19" s="256"/>
      <c r="G19" s="257"/>
      <c r="H19" s="294"/>
      <c r="I19" s="332"/>
      <c r="J19" s="267"/>
      <c r="K19" s="268" t="e">
        <f>INDEX(Odds!G:G,MATCH(I19,Odds!E:E,0))</f>
        <v>#N/A</v>
      </c>
      <c r="L19" s="263" t="e">
        <f>INDEX(Odds!H:H,MATCH(I19,Odds!E:E,0))</f>
        <v>#N/A</v>
      </c>
      <c r="M19" s="269" t="e">
        <f t="shared" si="5"/>
        <v>#N/A</v>
      </c>
      <c r="N19" s="51"/>
      <c r="O19" s="39" t="str">
        <f>IF(Match!A19="","",Match!T19)</f>
        <v xml:space="preserve">Wycombe 1-0 Fleetwood </v>
      </c>
      <c r="P19" s="101"/>
      <c r="Q19" s="42" t="str">
        <f>IF(Odds!E19="","",Odds!E19)</f>
        <v>Wycombe</v>
      </c>
      <c r="R19" s="43" t="str">
        <f>INDEX(Odds!F:F,MATCH(Q19,Odds!E:E,0))</f>
        <v>21/20</v>
      </c>
      <c r="S19" s="47">
        <f t="shared" si="0"/>
        <v>1</v>
      </c>
      <c r="T19" s="22" t="str">
        <f>INDEX(Match!O:O,MATCH(O19,Match!T:T,0))</f>
        <v>Wycombe</v>
      </c>
      <c r="U19" s="22">
        <f>INDEX(Match!F:F,MATCH(O19,Match!T:T,0))</f>
        <v>1</v>
      </c>
      <c r="V19" s="22" t="str">
        <f>INDEX(Match!P:P,MATCH(O19,Match!T:T,0))</f>
        <v>Fleetwood</v>
      </c>
      <c r="W19" s="22">
        <f>INDEX(Match!G:G,MATCH(O19,Match!T:T,0))</f>
        <v>0</v>
      </c>
    </row>
    <row r="20" spans="1:23" ht="14.4" thickTop="1" thickBot="1" x14ac:dyDescent="0.3">
      <c r="A20" s="238" t="str">
        <f>Results!B20</f>
        <v>Antony Robinson</v>
      </c>
      <c r="B20" s="254" t="str">
        <f t="shared" si="1"/>
        <v/>
      </c>
      <c r="C20" s="246" t="str">
        <f t="shared" si="2"/>
        <v/>
      </c>
      <c r="D20" s="241" t="str">
        <f t="shared" si="3"/>
        <v/>
      </c>
      <c r="E20" s="255" t="str">
        <f t="shared" si="4"/>
        <v/>
      </c>
      <c r="F20" s="243" t="str">
        <f>IF(I20="","",INDEX(Results!T:T,MATCH(A20,Results!V:V,0)))</f>
        <v/>
      </c>
      <c r="G20" s="244" t="str">
        <f>IF(J20="","",INDEX(Results!AI:AI,MATCH(A20,Results!V:V,0)))</f>
        <v/>
      </c>
      <c r="H20" s="294">
        <f>IF(ISERROR(G20),0,1)</f>
        <v>1</v>
      </c>
      <c r="I20" s="331"/>
      <c r="J20" s="261"/>
      <c r="K20" s="262" t="e">
        <f>INDEX(Odds!G:G,MATCH(I20,Odds!E:E,0))</f>
        <v>#N/A</v>
      </c>
      <c r="L20" s="270" t="e">
        <f>INDEX(Odds!H:H,MATCH(I20,Odds!E:E,0))</f>
        <v>#N/A</v>
      </c>
      <c r="M20" s="264" t="e">
        <f t="shared" si="5"/>
        <v>#N/A</v>
      </c>
      <c r="N20" s="51"/>
      <c r="O20" s="39" t="str">
        <f>IF(Match!A20="","",Match!T20)</f>
        <v xml:space="preserve">Bury 1-1 Port Vale </v>
      </c>
      <c r="P20" s="101"/>
      <c r="Q20" s="42" t="str">
        <f>IF(Odds!E20="","",Odds!E20)</f>
        <v>Bury</v>
      </c>
      <c r="R20" s="43" t="str">
        <f>INDEX(Odds!F:F,MATCH(Q20,Odds!E:E,0))</f>
        <v>1/2</v>
      </c>
      <c r="S20" s="47">
        <f t="shared" si="0"/>
        <v>0</v>
      </c>
      <c r="T20" s="22" t="str">
        <f>INDEX(Match!O:O,MATCH(O20,Match!T:T,0))</f>
        <v>Bury</v>
      </c>
      <c r="U20" s="22">
        <f>INDEX(Match!F:F,MATCH(O20,Match!T:T,0))</f>
        <v>1</v>
      </c>
      <c r="V20" s="22" t="str">
        <f>INDEX(Match!P:P,MATCH(O20,Match!T:T,0))</f>
        <v>Port Vale</v>
      </c>
      <c r="W20" s="22">
        <f>INDEX(Match!G:G,MATCH(O20,Match!T:T,0))</f>
        <v>1</v>
      </c>
    </row>
    <row r="21" spans="1:23" x14ac:dyDescent="0.25">
      <c r="A21" s="324" t="str">
        <f>A20</f>
        <v>Antony Robinson</v>
      </c>
      <c r="B21" s="245" t="str">
        <f t="shared" si="1"/>
        <v/>
      </c>
      <c r="C21" s="246" t="str">
        <f t="shared" si="2"/>
        <v/>
      </c>
      <c r="D21" s="247" t="str">
        <f t="shared" si="3"/>
        <v/>
      </c>
      <c r="E21" s="248" t="str">
        <f t="shared" si="4"/>
        <v/>
      </c>
      <c r="F21" s="256"/>
      <c r="G21" s="257"/>
      <c r="H21" s="294"/>
      <c r="I21" s="331"/>
      <c r="J21" s="265"/>
      <c r="K21" s="266" t="e">
        <f>INDEX(Odds!G:G,MATCH(I21,Odds!E:E,0))</f>
        <v>#N/A</v>
      </c>
      <c r="L21" s="263" t="e">
        <f>INDEX(Odds!H:H,MATCH(I21,Odds!E:E,0))</f>
        <v>#N/A</v>
      </c>
      <c r="M21" s="264" t="e">
        <f t="shared" si="5"/>
        <v>#N/A</v>
      </c>
      <c r="N21" s="51"/>
      <c r="O21" s="39" t="str">
        <f>IF(Match!A21="","",Match!T21)</f>
        <v xml:space="preserve">Crawley 3-1 Tranmere </v>
      </c>
      <c r="P21" s="101"/>
      <c r="Q21" s="42" t="str">
        <f>IF(Odds!E21="","",Odds!E21)</f>
        <v>Crawley</v>
      </c>
      <c r="R21" s="43" t="str">
        <f>INDEX(Odds!F:F,MATCH(Q21,Odds!E:E,0))</f>
        <v>3/1</v>
      </c>
      <c r="S21" s="47">
        <f t="shared" si="0"/>
        <v>1</v>
      </c>
      <c r="T21" s="22" t="str">
        <f>INDEX(Match!O:O,MATCH(O21,Match!T:T,0))</f>
        <v>Crawley</v>
      </c>
      <c r="U21" s="22">
        <f>INDEX(Match!F:F,MATCH(O21,Match!T:T,0))</f>
        <v>3</v>
      </c>
      <c r="V21" s="22" t="str">
        <f>INDEX(Match!P:P,MATCH(O21,Match!T:T,0))</f>
        <v>Tranmere</v>
      </c>
      <c r="W21" s="22">
        <f>INDEX(Match!G:G,MATCH(O21,Match!T:T,0))</f>
        <v>1</v>
      </c>
    </row>
    <row r="22" spans="1:23" ht="13.8" thickBot="1" x14ac:dyDescent="0.3">
      <c r="A22" s="325" t="str">
        <f>A20</f>
        <v>Antony Robinson</v>
      </c>
      <c r="B22" s="251" t="str">
        <f t="shared" si="1"/>
        <v/>
      </c>
      <c r="C22" s="252" t="str">
        <f t="shared" si="2"/>
        <v/>
      </c>
      <c r="D22" s="253" t="str">
        <f t="shared" si="3"/>
        <v/>
      </c>
      <c r="E22" s="248" t="str">
        <f t="shared" si="4"/>
        <v/>
      </c>
      <c r="F22" s="256"/>
      <c r="G22" s="257"/>
      <c r="H22" s="294"/>
      <c r="I22" s="332"/>
      <c r="J22" s="267"/>
      <c r="K22" s="268" t="e">
        <f>INDEX(Odds!G:G,MATCH(I22,Odds!E:E,0))</f>
        <v>#N/A</v>
      </c>
      <c r="L22" s="263" t="e">
        <f>INDEX(Odds!H:H,MATCH(I22,Odds!E:E,0))</f>
        <v>#N/A</v>
      </c>
      <c r="M22" s="269" t="e">
        <f t="shared" si="5"/>
        <v>#N/A</v>
      </c>
      <c r="N22" s="51"/>
      <c r="O22" s="39" t="str">
        <f>IF(Match!A22="","",Match!T22)</f>
        <v xml:space="preserve">Forest Green 0-0 Exeter </v>
      </c>
      <c r="P22" s="101"/>
      <c r="Q22" s="42" t="str">
        <f>IF(Odds!E22="","",Odds!E22)</f>
        <v>Forest Green</v>
      </c>
      <c r="R22" s="43" t="str">
        <f>INDEX(Odds!F:F,MATCH(Q22,Odds!E:E,0))</f>
        <v>6/4</v>
      </c>
      <c r="S22" s="47">
        <f t="shared" si="0"/>
        <v>0</v>
      </c>
      <c r="T22" s="22" t="str">
        <f>INDEX(Match!O:O,MATCH(O22,Match!T:T,0))</f>
        <v>Forest Green</v>
      </c>
      <c r="U22" s="22">
        <f>INDEX(Match!F:F,MATCH(O22,Match!T:T,0))</f>
        <v>0</v>
      </c>
      <c r="V22" s="22" t="str">
        <f>INDEX(Match!P:P,MATCH(O22,Match!T:T,0))</f>
        <v>Exeter</v>
      </c>
      <c r="W22" s="22">
        <f>INDEX(Match!G:G,MATCH(O22,Match!T:T,0))</f>
        <v>0</v>
      </c>
    </row>
    <row r="23" spans="1:23" ht="14.4" thickTop="1" thickBot="1" x14ac:dyDescent="0.3">
      <c r="A23" s="238" t="str">
        <f>Results!B23</f>
        <v>Ashley Houghton</v>
      </c>
      <c r="B23" s="254" t="str">
        <f t="shared" si="1"/>
        <v/>
      </c>
      <c r="C23" s="246" t="str">
        <f t="shared" si="2"/>
        <v/>
      </c>
      <c r="D23" s="241" t="str">
        <f t="shared" si="3"/>
        <v/>
      </c>
      <c r="E23" s="255" t="str">
        <f t="shared" si="4"/>
        <v/>
      </c>
      <c r="F23" s="243" t="str">
        <f>IF(I23="","",INDEX(Results!T:T,MATCH(A23,Results!V:V,0)))</f>
        <v/>
      </c>
      <c r="G23" s="244" t="str">
        <f>IF(J23="","",INDEX(Results!AI:AI,MATCH(A23,Results!V:V,0)))</f>
        <v/>
      </c>
      <c r="H23" s="294">
        <f>IF(ISERROR(G23),0,1)</f>
        <v>1</v>
      </c>
      <c r="I23" s="331"/>
      <c r="J23" s="261"/>
      <c r="K23" s="262" t="e">
        <f>INDEX(Odds!G:G,MATCH(I23,Odds!E:E,0))</f>
        <v>#N/A</v>
      </c>
      <c r="L23" s="270" t="e">
        <f>INDEX(Odds!H:H,MATCH(I23,Odds!E:E,0))</f>
        <v>#N/A</v>
      </c>
      <c r="M23" s="264" t="e">
        <f t="shared" si="5"/>
        <v>#N/A</v>
      </c>
      <c r="N23" s="51"/>
      <c r="O23" s="39" t="str">
        <f>IF(Match!A23="","",Match!T23)</f>
        <v xml:space="preserve">Grimsby 2-0 Crewe </v>
      </c>
      <c r="P23" s="101"/>
      <c r="Q23" s="42" t="str">
        <f>IF(Odds!E23="","",Odds!E23)</f>
        <v>Grimsby</v>
      </c>
      <c r="R23" s="43" t="str">
        <f>INDEX(Odds!F:F,MATCH(Q23,Odds!E:E,0))</f>
        <v>6/4</v>
      </c>
      <c r="S23" s="47">
        <f t="shared" si="0"/>
        <v>1</v>
      </c>
      <c r="T23" s="22" t="str">
        <f>INDEX(Match!O:O,MATCH(O23,Match!T:T,0))</f>
        <v>Grimsby</v>
      </c>
      <c r="U23" s="22">
        <f>INDEX(Match!F:F,MATCH(O23,Match!T:T,0))</f>
        <v>2</v>
      </c>
      <c r="V23" s="22" t="str">
        <f>INDEX(Match!P:P,MATCH(O23,Match!T:T,0))</f>
        <v>Crewe</v>
      </c>
      <c r="W23" s="22">
        <f>INDEX(Match!G:G,MATCH(O23,Match!T:T,0))</f>
        <v>0</v>
      </c>
    </row>
    <row r="24" spans="1:23" x14ac:dyDescent="0.25">
      <c r="A24" s="324" t="str">
        <f>A23</f>
        <v>Ashley Houghton</v>
      </c>
      <c r="B24" s="245" t="str">
        <f t="shared" si="1"/>
        <v/>
      </c>
      <c r="C24" s="246" t="str">
        <f t="shared" si="2"/>
        <v/>
      </c>
      <c r="D24" s="247" t="str">
        <f t="shared" si="3"/>
        <v/>
      </c>
      <c r="E24" s="248" t="str">
        <f t="shared" si="4"/>
        <v/>
      </c>
      <c r="F24" s="256"/>
      <c r="G24" s="257"/>
      <c r="H24" s="294"/>
      <c r="I24" s="331"/>
      <c r="J24" s="265"/>
      <c r="K24" s="266" t="e">
        <f>INDEX(Odds!G:G,MATCH(I24,Odds!E:E,0))</f>
        <v>#N/A</v>
      </c>
      <c r="L24" s="263" t="e">
        <f>INDEX(Odds!H:H,MATCH(I24,Odds!E:E,0))</f>
        <v>#N/A</v>
      </c>
      <c r="M24" s="264" t="e">
        <f t="shared" si="5"/>
        <v>#N/A</v>
      </c>
      <c r="N24" s="51"/>
      <c r="O24" s="39" t="str">
        <f>IF(Match!A24="","",Match!T24)</f>
        <v xml:space="preserve">Lincoln 0-3 Colchester </v>
      </c>
      <c r="P24" s="101"/>
      <c r="Q24" s="42" t="str">
        <f>IF(Odds!E24="","",Odds!E24)</f>
        <v>Lincoln</v>
      </c>
      <c r="R24" s="43" t="str">
        <f>INDEX(Odds!F:F,MATCH(Q24,Odds!E:E,0))</f>
        <v>5/4</v>
      </c>
      <c r="S24" s="47">
        <f t="shared" si="0"/>
        <v>0</v>
      </c>
      <c r="T24" s="22" t="str">
        <f>INDEX(Match!O:O,MATCH(O24,Match!T:T,0))</f>
        <v>Lincoln</v>
      </c>
      <c r="U24" s="22">
        <f>INDEX(Match!F:F,MATCH(O24,Match!T:T,0))</f>
        <v>0</v>
      </c>
      <c r="V24" s="22" t="str">
        <f>INDEX(Match!P:P,MATCH(O24,Match!T:T,0))</f>
        <v>Colchester</v>
      </c>
      <c r="W24" s="22">
        <f>INDEX(Match!G:G,MATCH(O24,Match!T:T,0))</f>
        <v>3</v>
      </c>
    </row>
    <row r="25" spans="1:23" ht="13.8" thickBot="1" x14ac:dyDescent="0.3">
      <c r="A25" s="325" t="str">
        <f>A23</f>
        <v>Ashley Houghton</v>
      </c>
      <c r="B25" s="251" t="str">
        <f t="shared" si="1"/>
        <v/>
      </c>
      <c r="C25" s="252" t="str">
        <f t="shared" si="2"/>
        <v/>
      </c>
      <c r="D25" s="253" t="str">
        <f t="shared" si="3"/>
        <v/>
      </c>
      <c r="E25" s="248" t="str">
        <f t="shared" si="4"/>
        <v/>
      </c>
      <c r="F25" s="256"/>
      <c r="G25" s="257"/>
      <c r="H25" s="294"/>
      <c r="I25" s="332"/>
      <c r="J25" s="267"/>
      <c r="K25" s="268" t="e">
        <f>INDEX(Odds!G:G,MATCH(I25,Odds!E:E,0))</f>
        <v>#N/A</v>
      </c>
      <c r="L25" s="263" t="e">
        <f>INDEX(Odds!H:H,MATCH(I25,Odds!E:E,0))</f>
        <v>#N/A</v>
      </c>
      <c r="M25" s="269" t="e">
        <f t="shared" si="5"/>
        <v>#N/A</v>
      </c>
      <c r="N25" s="51"/>
      <c r="O25" s="39" t="str">
        <f>IF(Match!A25="","",Match!T25)</f>
        <v xml:space="preserve">Macclesfield 1-1 Cambridge </v>
      </c>
      <c r="P25" s="101"/>
      <c r="Q25" s="42" t="str">
        <f>IF(Odds!E25="","",Odds!E25)</f>
        <v>Macclesfield</v>
      </c>
      <c r="R25" s="43" t="str">
        <f>INDEX(Odds!F:F,MATCH(Q25,Odds!E:E,0))</f>
        <v>16/11</v>
      </c>
      <c r="S25" s="47">
        <f t="shared" si="0"/>
        <v>0</v>
      </c>
      <c r="T25" s="22" t="str">
        <f>INDEX(Match!O:O,MATCH(O25,Match!T:T,0))</f>
        <v>Macclesfield</v>
      </c>
      <c r="U25" s="22">
        <f>INDEX(Match!F:F,MATCH(O25,Match!T:T,0))</f>
        <v>1</v>
      </c>
      <c r="V25" s="22" t="str">
        <f>INDEX(Match!P:P,MATCH(O25,Match!T:T,0))</f>
        <v>Cambridge</v>
      </c>
      <c r="W25" s="22">
        <f>INDEX(Match!G:G,MATCH(O25,Match!T:T,0))</f>
        <v>1</v>
      </c>
    </row>
    <row r="26" spans="1:23" ht="14.4" thickTop="1" thickBot="1" x14ac:dyDescent="0.3">
      <c r="A26" s="238" t="str">
        <f>Results!B26</f>
        <v>Barry Birchall</v>
      </c>
      <c r="B26" s="254" t="str">
        <f t="shared" si="1"/>
        <v/>
      </c>
      <c r="C26" s="246" t="str">
        <f t="shared" si="2"/>
        <v/>
      </c>
      <c r="D26" s="241" t="str">
        <f t="shared" si="3"/>
        <v/>
      </c>
      <c r="E26" s="255" t="str">
        <f t="shared" si="4"/>
        <v/>
      </c>
      <c r="F26" s="243" t="str">
        <f>IF(I26="","",INDEX(Results!T:T,MATCH(A26,Results!V:V,0)))</f>
        <v/>
      </c>
      <c r="G26" s="244" t="str">
        <f>IF(J26="","",INDEX(Results!AI:AI,MATCH(A26,Results!V:V,0)))</f>
        <v/>
      </c>
      <c r="H26" s="294">
        <f>IF(ISERROR(G26),0,1)</f>
        <v>1</v>
      </c>
      <c r="I26" s="331"/>
      <c r="J26" s="261"/>
      <c r="K26" s="262" t="e">
        <f>INDEX(Odds!G:G,MATCH(I26,Odds!E:E,0))</f>
        <v>#N/A</v>
      </c>
      <c r="L26" s="270" t="e">
        <f>INDEX(Odds!H:H,MATCH(I26,Odds!E:E,0))</f>
        <v>#N/A</v>
      </c>
      <c r="M26" s="264" t="e">
        <f t="shared" si="5"/>
        <v>#N/A</v>
      </c>
      <c r="N26" s="51"/>
      <c r="O26" s="39" t="str">
        <f>IF(Match!A26="","",Match!T26)</f>
        <v xml:space="preserve">MK Dons 1-0 Mansfield </v>
      </c>
      <c r="P26" s="101"/>
      <c r="Q26" s="42" t="str">
        <f>IF(Odds!E26="","",Odds!E26)</f>
        <v>MK Dons</v>
      </c>
      <c r="R26" s="43" t="str">
        <f>INDEX(Odds!F:F,MATCH(Q26,Odds!E:E,0))</f>
        <v>6/5</v>
      </c>
      <c r="S26" s="47">
        <f t="shared" si="0"/>
        <v>1</v>
      </c>
      <c r="T26" s="22" t="str">
        <f>INDEX(Match!O:O,MATCH(O26,Match!T:T,0))</f>
        <v>MK Dons</v>
      </c>
      <c r="U26" s="22">
        <f>INDEX(Match!F:F,MATCH(O26,Match!T:T,0))</f>
        <v>1</v>
      </c>
      <c r="V26" s="22" t="str">
        <f>INDEX(Match!P:P,MATCH(O26,Match!T:T,0))</f>
        <v>Mansfield</v>
      </c>
      <c r="W26" s="22">
        <f>INDEX(Match!G:G,MATCH(O26,Match!T:T,0))</f>
        <v>0</v>
      </c>
    </row>
    <row r="27" spans="1:23" x14ac:dyDescent="0.25">
      <c r="A27" s="324" t="str">
        <f>A26</f>
        <v>Barry Birchall</v>
      </c>
      <c r="B27" s="245" t="str">
        <f t="shared" si="1"/>
        <v/>
      </c>
      <c r="C27" s="246" t="str">
        <f t="shared" si="2"/>
        <v/>
      </c>
      <c r="D27" s="247" t="str">
        <f t="shared" si="3"/>
        <v/>
      </c>
      <c r="E27" s="248" t="str">
        <f t="shared" si="4"/>
        <v/>
      </c>
      <c r="F27" s="256"/>
      <c r="G27" s="257"/>
      <c r="H27" s="294"/>
      <c r="I27" s="331"/>
      <c r="J27" s="265"/>
      <c r="K27" s="266" t="e">
        <f>INDEX(Odds!G:G,MATCH(I27,Odds!E:E,0))</f>
        <v>#N/A</v>
      </c>
      <c r="L27" s="263" t="e">
        <f>INDEX(Odds!H:H,MATCH(I27,Odds!E:E,0))</f>
        <v>#N/A</v>
      </c>
      <c r="M27" s="264" t="e">
        <f t="shared" si="5"/>
        <v>#N/A</v>
      </c>
      <c r="N27" s="51"/>
      <c r="O27" s="39" t="str">
        <f>IF(Match!A27="","",Match!T27)</f>
        <v xml:space="preserve">Morecambe 1-1 Newport </v>
      </c>
      <c r="P27" s="101"/>
      <c r="Q27" s="42" t="str">
        <f>IF(Odds!E27="","",Odds!E27)</f>
        <v>Morecambe</v>
      </c>
      <c r="R27" s="43" t="str">
        <f>INDEX(Odds!F:F,MATCH(Q27,Odds!E:E,0))</f>
        <v>12/5</v>
      </c>
      <c r="S27" s="47">
        <f t="shared" si="0"/>
        <v>0</v>
      </c>
      <c r="T27" s="22" t="str">
        <f>INDEX(Match!O:O,MATCH(O27,Match!T:T,0))</f>
        <v>Morecambe</v>
      </c>
      <c r="U27" s="22">
        <f>INDEX(Match!F:F,MATCH(O27,Match!T:T,0))</f>
        <v>1</v>
      </c>
      <c r="V27" s="22" t="str">
        <f>INDEX(Match!P:P,MATCH(O27,Match!T:T,0))</f>
        <v>Newport</v>
      </c>
      <c r="W27" s="22">
        <f>INDEX(Match!G:G,MATCH(O27,Match!T:T,0))</f>
        <v>1</v>
      </c>
    </row>
    <row r="28" spans="1:23" ht="13.8" thickBot="1" x14ac:dyDescent="0.3">
      <c r="A28" s="325" t="str">
        <f>A26</f>
        <v>Barry Birchall</v>
      </c>
      <c r="B28" s="251" t="str">
        <f t="shared" si="1"/>
        <v/>
      </c>
      <c r="C28" s="252" t="str">
        <f t="shared" si="2"/>
        <v/>
      </c>
      <c r="D28" s="253" t="str">
        <f t="shared" si="3"/>
        <v/>
      </c>
      <c r="E28" s="248" t="str">
        <f t="shared" si="4"/>
        <v/>
      </c>
      <c r="F28" s="256"/>
      <c r="G28" s="257"/>
      <c r="H28" s="294"/>
      <c r="I28" s="332"/>
      <c r="J28" s="267"/>
      <c r="K28" s="268" t="e">
        <f>INDEX(Odds!G:G,MATCH(I28,Odds!E:E,0))</f>
        <v>#N/A</v>
      </c>
      <c r="L28" s="263" t="e">
        <f>INDEX(Odds!H:H,MATCH(I28,Odds!E:E,0))</f>
        <v>#N/A</v>
      </c>
      <c r="M28" s="269" t="e">
        <f t="shared" si="5"/>
        <v>#N/A</v>
      </c>
      <c r="N28" s="51"/>
      <c r="O28" s="39" t="str">
        <f>IF(Match!A28="","",Match!T28)</f>
        <v xml:space="preserve">Oldham 2-5 Northampton </v>
      </c>
      <c r="P28" s="101"/>
      <c r="Q28" s="42" t="str">
        <f>IF(Odds!E28="","",Odds!E28)</f>
        <v>Oldham</v>
      </c>
      <c r="R28" s="43" t="str">
        <f>INDEX(Odds!F:F,MATCH(Q28,Odds!E:E,0))</f>
        <v>11/10</v>
      </c>
      <c r="S28" s="47">
        <f t="shared" si="0"/>
        <v>0</v>
      </c>
      <c r="T28" s="22" t="str">
        <f>INDEX(Match!O:O,MATCH(O28,Match!T:T,0))</f>
        <v>Oldham</v>
      </c>
      <c r="U28" s="22">
        <f>INDEX(Match!F:F,MATCH(O28,Match!T:T,0))</f>
        <v>2</v>
      </c>
      <c r="V28" s="22" t="str">
        <f>INDEX(Match!P:P,MATCH(O28,Match!T:T,0))</f>
        <v>Northampton</v>
      </c>
      <c r="W28" s="22">
        <f>INDEX(Match!G:G,MATCH(O28,Match!T:T,0))</f>
        <v>5</v>
      </c>
    </row>
    <row r="29" spans="1:23" ht="14.4" thickTop="1" thickBot="1" x14ac:dyDescent="0.3">
      <c r="A29" s="238" t="str">
        <f>Results!B29</f>
        <v>Ben Rosser</v>
      </c>
      <c r="B29" s="254" t="str">
        <f t="shared" si="1"/>
        <v/>
      </c>
      <c r="C29" s="246" t="str">
        <f t="shared" si="2"/>
        <v/>
      </c>
      <c r="D29" s="241" t="str">
        <f t="shared" si="3"/>
        <v/>
      </c>
      <c r="E29" s="255" t="str">
        <f t="shared" si="4"/>
        <v/>
      </c>
      <c r="F29" s="243" t="str">
        <f>IF(I29="","",INDEX(Results!T:T,MATCH(A29,Results!V:V,0)))</f>
        <v/>
      </c>
      <c r="G29" s="244" t="str">
        <f>IF(J29="","",INDEX(Results!AI:AI,MATCH(A29,Results!V:V,0)))</f>
        <v/>
      </c>
      <c r="H29" s="294">
        <f>IF(ISERROR(G29),0,1)</f>
        <v>1</v>
      </c>
      <c r="I29" s="331"/>
      <c r="J29" s="261"/>
      <c r="K29" s="262" t="e">
        <f>INDEX(Odds!G:G,MATCH(I29,Odds!E:E,0))</f>
        <v>#N/A</v>
      </c>
      <c r="L29" s="270" t="e">
        <f>INDEX(Odds!H:H,MATCH(I29,Odds!E:E,0))</f>
        <v>#N/A</v>
      </c>
      <c r="M29" s="264" t="e">
        <f t="shared" si="5"/>
        <v>#N/A</v>
      </c>
      <c r="N29" s="51"/>
      <c r="O29" s="39" t="str">
        <f>IF(Match!A29="","",Match!T29)</f>
        <v xml:space="preserve">Stevenage 2-0 Cheltenham </v>
      </c>
      <c r="P29" s="101"/>
      <c r="Q29" s="42" t="str">
        <f>IF(Odds!E29="","",Odds!E29)</f>
        <v>Stevenage</v>
      </c>
      <c r="R29" s="43" t="str">
        <f>INDEX(Odds!F:F,MATCH(Q29,Odds!E:E,0))</f>
        <v>8/13</v>
      </c>
      <c r="S29" s="47">
        <f t="shared" si="0"/>
        <v>1</v>
      </c>
      <c r="T29" s="22" t="str">
        <f>INDEX(Match!O:O,MATCH(O29,Match!T:T,0))</f>
        <v>Stevenage</v>
      </c>
      <c r="U29" s="22">
        <f>INDEX(Match!F:F,MATCH(O29,Match!T:T,0))</f>
        <v>2</v>
      </c>
      <c r="V29" s="22" t="str">
        <f>INDEX(Match!P:P,MATCH(O29,Match!T:T,0))</f>
        <v>Cheltenham</v>
      </c>
      <c r="W29" s="22">
        <f>INDEX(Match!G:G,MATCH(O29,Match!T:T,0))</f>
        <v>0</v>
      </c>
    </row>
    <row r="30" spans="1:23" x14ac:dyDescent="0.25">
      <c r="A30" s="324" t="str">
        <f>A29</f>
        <v>Ben Rosser</v>
      </c>
      <c r="B30" s="245" t="str">
        <f t="shared" si="1"/>
        <v/>
      </c>
      <c r="C30" s="246" t="str">
        <f t="shared" si="2"/>
        <v/>
      </c>
      <c r="D30" s="247" t="str">
        <f t="shared" si="3"/>
        <v/>
      </c>
      <c r="E30" s="248" t="str">
        <f t="shared" si="4"/>
        <v/>
      </c>
      <c r="F30" s="256"/>
      <c r="G30" s="257"/>
      <c r="H30" s="294"/>
      <c r="I30" s="331"/>
      <c r="J30" s="265"/>
      <c r="K30" s="266" t="e">
        <f>INDEX(Odds!G:G,MATCH(I30,Odds!E:E,0))</f>
        <v>#N/A</v>
      </c>
      <c r="L30" s="263" t="e">
        <f>INDEX(Odds!H:H,MATCH(I30,Odds!E:E,0))</f>
        <v>#N/A</v>
      </c>
      <c r="M30" s="264" t="e">
        <f t="shared" si="5"/>
        <v>#N/A</v>
      </c>
      <c r="N30" s="51"/>
      <c r="O30" s="39" t="str">
        <f>IF(Match!A30="","",Match!T30)</f>
        <v xml:space="preserve">Swindon 3-1 Notts Co </v>
      </c>
      <c r="P30" s="101"/>
      <c r="Q30" s="42" t="str">
        <f>IF(Odds!E30="","",Odds!E30)</f>
        <v>Swindon</v>
      </c>
      <c r="R30" s="43" t="str">
        <f>INDEX(Odds!F:F,MATCH(Q30,Odds!E:E,0))</f>
        <v>8/5</v>
      </c>
      <c r="S30" s="47">
        <f t="shared" si="0"/>
        <v>1</v>
      </c>
      <c r="T30" s="22" t="str">
        <f>INDEX(Match!O:O,MATCH(O30,Match!T:T,0))</f>
        <v>Swindon</v>
      </c>
      <c r="U30" s="22">
        <f>INDEX(Match!F:F,MATCH(O30,Match!T:T,0))</f>
        <v>3</v>
      </c>
      <c r="V30" s="22" t="str">
        <f>INDEX(Match!P:P,MATCH(O30,Match!T:T,0))</f>
        <v>Notts Co</v>
      </c>
      <c r="W30" s="22">
        <f>INDEX(Match!G:G,MATCH(O30,Match!T:T,0))</f>
        <v>1</v>
      </c>
    </row>
    <row r="31" spans="1:23" ht="13.8" thickBot="1" x14ac:dyDescent="0.3">
      <c r="A31" s="325" t="str">
        <f>A29</f>
        <v>Ben Rosser</v>
      </c>
      <c r="B31" s="251" t="str">
        <f t="shared" si="1"/>
        <v/>
      </c>
      <c r="C31" s="252" t="str">
        <f t="shared" si="2"/>
        <v/>
      </c>
      <c r="D31" s="253" t="str">
        <f t="shared" si="3"/>
        <v/>
      </c>
      <c r="E31" s="248" t="str">
        <f t="shared" si="4"/>
        <v/>
      </c>
      <c r="F31" s="256"/>
      <c r="G31" s="257"/>
      <c r="H31" s="294"/>
      <c r="I31" s="332"/>
      <c r="J31" s="267"/>
      <c r="K31" s="268" t="e">
        <f>INDEX(Odds!G:G,MATCH(I31,Odds!E:E,0))</f>
        <v>#N/A</v>
      </c>
      <c r="L31" s="263" t="e">
        <f>INDEX(Odds!H:H,MATCH(I31,Odds!E:E,0))</f>
        <v>#N/A</v>
      </c>
      <c r="M31" s="269" t="e">
        <f t="shared" si="5"/>
        <v>#N/A</v>
      </c>
      <c r="N31" s="51"/>
      <c r="O31" s="39" t="str">
        <f>IF(Match!A31="","",Match!T31)</f>
        <v xml:space="preserve">Yeovil 0-0 Carlisle </v>
      </c>
      <c r="P31" s="101"/>
      <c r="Q31" s="42" t="str">
        <f>IF(Odds!E31="","",Odds!E31)</f>
        <v>Yeovil</v>
      </c>
      <c r="R31" s="43" t="str">
        <f>INDEX(Odds!F:F,MATCH(Q31,Odds!E:E,0))</f>
        <v>3/1</v>
      </c>
      <c r="S31" s="47">
        <f t="shared" si="0"/>
        <v>0</v>
      </c>
      <c r="T31" s="22" t="str">
        <f>INDEX(Match!O:O,MATCH(O31,Match!T:T,0))</f>
        <v>Yeovil</v>
      </c>
      <c r="U31" s="22">
        <f>INDEX(Match!F:F,MATCH(O31,Match!T:T,0))</f>
        <v>0</v>
      </c>
      <c r="V31" s="22" t="str">
        <f>INDEX(Match!P:P,MATCH(O31,Match!T:T,0))</f>
        <v>Carlisle</v>
      </c>
      <c r="W31" s="22">
        <f>INDEX(Match!G:G,MATCH(O31,Match!T:T,0))</f>
        <v>0</v>
      </c>
    </row>
    <row r="32" spans="1:23" ht="14.4" thickTop="1" thickBot="1" x14ac:dyDescent="0.3">
      <c r="A32" s="238" t="str">
        <f>Results!B32</f>
        <v>Charlie Griffiths</v>
      </c>
      <c r="B32" s="254" t="str">
        <f t="shared" si="1"/>
        <v/>
      </c>
      <c r="C32" s="246" t="str">
        <f t="shared" si="2"/>
        <v/>
      </c>
      <c r="D32" s="241" t="str">
        <f t="shared" si="3"/>
        <v/>
      </c>
      <c r="E32" s="255" t="str">
        <f t="shared" si="4"/>
        <v/>
      </c>
      <c r="F32" s="243" t="str">
        <f>IF(I32="","",INDEX(Results!T:T,MATCH(A32,Results!V:V,0)))</f>
        <v/>
      </c>
      <c r="G32" s="244" t="str">
        <f>IF(J32="","",INDEX(Results!AI:AI,MATCH(A32,Results!V:V,0)))</f>
        <v/>
      </c>
      <c r="H32" s="294">
        <f>IF(ISERROR(G32),0,1)</f>
        <v>1</v>
      </c>
      <c r="I32" s="331"/>
      <c r="J32" s="261"/>
      <c r="K32" s="262" t="e">
        <f>INDEX(Odds!G:G,MATCH(I32,Odds!E:E,0))</f>
        <v>#N/A</v>
      </c>
      <c r="L32" s="270" t="e">
        <f>INDEX(Odds!H:H,MATCH(I32,Odds!E:E,0))</f>
        <v>#N/A</v>
      </c>
      <c r="M32" s="264" t="e">
        <f t="shared" si="5"/>
        <v>#N/A</v>
      </c>
      <c r="N32" s="51"/>
      <c r="O32" s="39" t="str">
        <f>IF(Match!A32="","",Match!T32)</f>
        <v xml:space="preserve">Arsenal 1-1 Brighton </v>
      </c>
      <c r="P32" s="101"/>
      <c r="Q32" s="42" t="str">
        <f>IF(Odds!E32="","",Odds!E32)</f>
        <v>Arsenal</v>
      </c>
      <c r="R32" s="43" t="str">
        <f>INDEX(Odds!F:F,MATCH(Q32,Odds!E:E,0))</f>
        <v>7/20</v>
      </c>
      <c r="S32" s="47">
        <f t="shared" si="0"/>
        <v>0</v>
      </c>
      <c r="T32" s="22" t="str">
        <f>INDEX(Match!O:O,MATCH(O32,Match!T:T,0))</f>
        <v>Arsenal</v>
      </c>
      <c r="U32" s="22">
        <f>INDEX(Match!F:F,MATCH(O32,Match!T:T,0))</f>
        <v>1</v>
      </c>
      <c r="V32" s="22" t="str">
        <f>INDEX(Match!P:P,MATCH(O32,Match!T:T,0))</f>
        <v>Brighton</v>
      </c>
      <c r="W32" s="22">
        <f>INDEX(Match!G:G,MATCH(O32,Match!T:T,0))</f>
        <v>1</v>
      </c>
    </row>
    <row r="33" spans="1:23" x14ac:dyDescent="0.25">
      <c r="A33" s="324" t="str">
        <f>A32</f>
        <v>Charlie Griffiths</v>
      </c>
      <c r="B33" s="245" t="str">
        <f t="shared" si="1"/>
        <v/>
      </c>
      <c r="C33" s="246" t="str">
        <f t="shared" si="2"/>
        <v/>
      </c>
      <c r="D33" s="247" t="str">
        <f t="shared" si="3"/>
        <v/>
      </c>
      <c r="E33" s="248" t="str">
        <f t="shared" si="4"/>
        <v/>
      </c>
      <c r="F33" s="256"/>
      <c r="G33" s="257"/>
      <c r="H33" s="294"/>
      <c r="I33" s="331"/>
      <c r="J33" s="265"/>
      <c r="K33" s="266" t="e">
        <f>INDEX(Odds!G:G,MATCH(I33,Odds!E:E,0))</f>
        <v>#N/A</v>
      </c>
      <c r="L33" s="263" t="e">
        <f>INDEX(Odds!H:H,MATCH(I33,Odds!E:E,0))</f>
        <v>#N/A</v>
      </c>
      <c r="M33" s="264" t="e">
        <f t="shared" si="5"/>
        <v>#N/A</v>
      </c>
      <c r="N33" s="51"/>
      <c r="O33" s="39" t="str">
        <f>IF(Match!A33="","",Match!T33)</f>
        <v xml:space="preserve">Chelsea 3-0 Watford </v>
      </c>
      <c r="P33" s="101"/>
      <c r="Q33" s="42" t="str">
        <f>IF(Odds!E33="","",Odds!E33)</f>
        <v>Chelsea</v>
      </c>
      <c r="R33" s="43" t="str">
        <f>INDEX(Odds!F:F,MATCH(Q33,Odds!E:E,0))</f>
        <v>4/9</v>
      </c>
      <c r="S33" s="47">
        <f t="shared" si="0"/>
        <v>1</v>
      </c>
      <c r="T33" s="22" t="str">
        <f>INDEX(Match!O:O,MATCH(O33,Match!T:T,0))</f>
        <v>Chelsea</v>
      </c>
      <c r="U33" s="22">
        <f>INDEX(Match!F:F,MATCH(O33,Match!T:T,0))</f>
        <v>3</v>
      </c>
      <c r="V33" s="22" t="str">
        <f>INDEX(Match!P:P,MATCH(O33,Match!T:T,0))</f>
        <v>Watford</v>
      </c>
      <c r="W33" s="22">
        <f>INDEX(Match!G:G,MATCH(O33,Match!T:T,0))</f>
        <v>0</v>
      </c>
    </row>
    <row r="34" spans="1:23" ht="13.8" thickBot="1" x14ac:dyDescent="0.3">
      <c r="A34" s="325" t="str">
        <f>A32</f>
        <v>Charlie Griffiths</v>
      </c>
      <c r="B34" s="251" t="str">
        <f t="shared" si="1"/>
        <v/>
      </c>
      <c r="C34" s="252" t="str">
        <f t="shared" si="2"/>
        <v/>
      </c>
      <c r="D34" s="253" t="str">
        <f t="shared" si="3"/>
        <v/>
      </c>
      <c r="E34" s="248" t="str">
        <f t="shared" si="4"/>
        <v/>
      </c>
      <c r="F34" s="256"/>
      <c r="G34" s="257"/>
      <c r="H34" s="294"/>
      <c r="I34" s="332"/>
      <c r="J34" s="267"/>
      <c r="K34" s="268" t="e">
        <f>INDEX(Odds!G:G,MATCH(I34,Odds!E:E,0))</f>
        <v>#N/A</v>
      </c>
      <c r="L34" s="263" t="e">
        <f>INDEX(Odds!H:H,MATCH(I34,Odds!E:E,0))</f>
        <v>#N/A</v>
      </c>
      <c r="M34" s="269" t="e">
        <f t="shared" si="5"/>
        <v>#N/A</v>
      </c>
      <c r="N34" s="51"/>
      <c r="O34" s="39" t="str">
        <f>IF(Match!A34="","",Match!T34)</f>
        <v xml:space="preserve">Huddersfield 1-1 Man U </v>
      </c>
      <c r="P34" s="101"/>
      <c r="Q34" s="42" t="str">
        <f>IF(Odds!E34="","",Odds!E34)</f>
        <v>Huddersfield</v>
      </c>
      <c r="R34" s="43" t="str">
        <f>INDEX(Odds!F:F,MATCH(Q34,Odds!E:E,0))</f>
        <v>9/1</v>
      </c>
      <c r="S34" s="47">
        <f t="shared" si="0"/>
        <v>0</v>
      </c>
      <c r="T34" s="22" t="str">
        <f>INDEX(Match!O:O,MATCH(O34,Match!T:T,0))</f>
        <v>Huddersfield</v>
      </c>
      <c r="U34" s="22">
        <f>INDEX(Match!F:F,MATCH(O34,Match!T:T,0))</f>
        <v>1</v>
      </c>
      <c r="V34" s="22" t="str">
        <f>INDEX(Match!P:P,MATCH(O34,Match!T:T,0))</f>
        <v>Man U</v>
      </c>
      <c r="W34" s="22">
        <f>INDEX(Match!G:G,MATCH(O34,Match!T:T,0))</f>
        <v>1</v>
      </c>
    </row>
    <row r="35" spans="1:23" ht="14.4" thickTop="1" thickBot="1" x14ac:dyDescent="0.3">
      <c r="A35" s="238" t="str">
        <f>Results!B35</f>
        <v>Chris Bow</v>
      </c>
      <c r="B35" s="254" t="str">
        <f t="shared" si="1"/>
        <v/>
      </c>
      <c r="C35" s="246" t="str">
        <f t="shared" si="2"/>
        <v/>
      </c>
      <c r="D35" s="241" t="str">
        <f t="shared" si="3"/>
        <v/>
      </c>
      <c r="E35" s="255" t="str">
        <f t="shared" si="4"/>
        <v/>
      </c>
      <c r="F35" s="243" t="str">
        <f>IF(I35="","",INDEX(Results!T:T,MATCH(A35,Results!V:V,0)))</f>
        <v/>
      </c>
      <c r="G35" s="244" t="str">
        <f>IF(J35="","",INDEX(Results!AI:AI,MATCH(A35,Results!V:V,0)))</f>
        <v/>
      </c>
      <c r="H35" s="294">
        <f>IF(ISERROR(G35),0,1)</f>
        <v>1</v>
      </c>
      <c r="I35" s="331"/>
      <c r="J35" s="261"/>
      <c r="K35" s="262" t="e">
        <f>INDEX(Odds!G:G,MATCH(I35,Odds!E:E,0))</f>
        <v>#N/A</v>
      </c>
      <c r="L35" s="270" t="e">
        <f>INDEX(Odds!H:H,MATCH(I35,Odds!E:E,0))</f>
        <v>#N/A</v>
      </c>
      <c r="M35" s="264" t="e">
        <f t="shared" si="5"/>
        <v>#N/A</v>
      </c>
      <c r="N35" s="51"/>
      <c r="O35" s="39" t="str">
        <f>IF(Match!A35="","",Match!T35)</f>
        <v xml:space="preserve">Blackburn 2-2 Swansea </v>
      </c>
      <c r="P35" s="101"/>
      <c r="Q35" s="42" t="str">
        <f>IF(Odds!E35="","",Odds!E35)</f>
        <v>Blackburn</v>
      </c>
      <c r="R35" s="43" t="str">
        <f>INDEX(Odds!F:F,MATCH(Q35,Odds!E:E,0))</f>
        <v>6/4</v>
      </c>
      <c r="S35" s="47">
        <f t="shared" si="0"/>
        <v>0</v>
      </c>
      <c r="T35" s="22" t="str">
        <f>INDEX(Match!O:O,MATCH(O35,Match!T:T,0))</f>
        <v>Blackburn</v>
      </c>
      <c r="U35" s="22">
        <f>INDEX(Match!F:F,MATCH(O35,Match!T:T,0))</f>
        <v>2</v>
      </c>
      <c r="V35" s="22" t="str">
        <f>INDEX(Match!P:P,MATCH(O35,Match!T:T,0))</f>
        <v>Swansea</v>
      </c>
      <c r="W35" s="22">
        <f>INDEX(Match!G:G,MATCH(O35,Match!T:T,0))</f>
        <v>2</v>
      </c>
    </row>
    <row r="36" spans="1:23" x14ac:dyDescent="0.25">
      <c r="A36" s="324" t="str">
        <f>A35</f>
        <v>Chris Bow</v>
      </c>
      <c r="B36" s="245" t="str">
        <f t="shared" si="1"/>
        <v/>
      </c>
      <c r="C36" s="246" t="str">
        <f t="shared" si="2"/>
        <v/>
      </c>
      <c r="D36" s="247" t="str">
        <f t="shared" si="3"/>
        <v/>
      </c>
      <c r="E36" s="248" t="str">
        <f t="shared" si="4"/>
        <v/>
      </c>
      <c r="F36" s="256"/>
      <c r="G36" s="257"/>
      <c r="H36" s="294"/>
      <c r="I36" s="331"/>
      <c r="J36" s="265"/>
      <c r="K36" s="266" t="e">
        <f>INDEX(Odds!G:G,MATCH(I36,Odds!E:E,0))</f>
        <v>#N/A</v>
      </c>
      <c r="L36" s="263" t="e">
        <f>INDEX(Odds!H:H,MATCH(I36,Odds!E:E,0))</f>
        <v>#N/A</v>
      </c>
      <c r="M36" s="264" t="e">
        <f t="shared" si="5"/>
        <v>#N/A</v>
      </c>
      <c r="N36" s="51"/>
      <c r="O36" s="39" t="str">
        <f>IF(Match!A36="","",Match!T36)</f>
        <v xml:space="preserve">Brentford 3-0 Preston </v>
      </c>
      <c r="P36" s="101"/>
      <c r="Q36" s="42" t="str">
        <f>IF(Odds!E36="","",Odds!E36)</f>
        <v>Brentford</v>
      </c>
      <c r="R36" s="43" t="str">
        <f>INDEX(Odds!F:F,MATCH(Q36,Odds!E:E,0))</f>
        <v>11/10</v>
      </c>
      <c r="S36" s="47">
        <f t="shared" si="0"/>
        <v>1</v>
      </c>
      <c r="T36" s="22" t="str">
        <f>INDEX(Match!O:O,MATCH(O36,Match!T:T,0))</f>
        <v>Brentford</v>
      </c>
      <c r="U36" s="22">
        <f>INDEX(Match!F:F,MATCH(O36,Match!T:T,0))</f>
        <v>3</v>
      </c>
      <c r="V36" s="22" t="str">
        <f>INDEX(Match!P:P,MATCH(O36,Match!T:T,0))</f>
        <v>Preston</v>
      </c>
      <c r="W36" s="22">
        <f>INDEX(Match!G:G,MATCH(O36,Match!T:T,0))</f>
        <v>0</v>
      </c>
    </row>
    <row r="37" spans="1:23" ht="13.8" thickBot="1" x14ac:dyDescent="0.3">
      <c r="A37" s="325" t="str">
        <f>A35</f>
        <v>Chris Bow</v>
      </c>
      <c r="B37" s="251" t="str">
        <f t="shared" si="1"/>
        <v/>
      </c>
      <c r="C37" s="252" t="str">
        <f t="shared" si="2"/>
        <v/>
      </c>
      <c r="D37" s="253" t="str">
        <f t="shared" si="3"/>
        <v/>
      </c>
      <c r="E37" s="248" t="str">
        <f t="shared" si="4"/>
        <v/>
      </c>
      <c r="F37" s="256"/>
      <c r="G37" s="257"/>
      <c r="H37" s="294"/>
      <c r="I37" s="332"/>
      <c r="J37" s="267"/>
      <c r="K37" s="268" t="e">
        <f>INDEX(Odds!G:G,MATCH(I37,Odds!E:E,0))</f>
        <v>#N/A</v>
      </c>
      <c r="L37" s="263" t="e">
        <f>INDEX(Odds!H:H,MATCH(I37,Odds!E:E,0))</f>
        <v>#N/A</v>
      </c>
      <c r="M37" s="269" t="e">
        <f t="shared" si="5"/>
        <v>#N/A</v>
      </c>
      <c r="N37" s="51"/>
      <c r="O37" s="39" t="str">
        <f>IF(Match!A37="","",Match!T37)</f>
        <v xml:space="preserve">Derby 3-1 West Brom </v>
      </c>
      <c r="P37" s="101"/>
      <c r="Q37" s="42" t="str">
        <f>IF(Odds!E37="","",Odds!E37)</f>
        <v>Derby</v>
      </c>
      <c r="R37" s="43" t="str">
        <f>INDEX(Odds!F:F,MATCH(Q37,Odds!E:E,0))</f>
        <v>5/4</v>
      </c>
      <c r="S37" s="47">
        <f t="shared" si="0"/>
        <v>1</v>
      </c>
      <c r="T37" s="22" t="str">
        <f>INDEX(Match!O:O,MATCH(O37,Match!T:T,0))</f>
        <v>Derby</v>
      </c>
      <c r="U37" s="22">
        <f>INDEX(Match!F:F,MATCH(O37,Match!T:T,0))</f>
        <v>3</v>
      </c>
      <c r="V37" s="22" t="str">
        <f>INDEX(Match!P:P,MATCH(O37,Match!T:T,0))</f>
        <v>West Brom</v>
      </c>
      <c r="W37" s="22">
        <f>INDEX(Match!G:G,MATCH(O37,Match!T:T,0))</f>
        <v>1</v>
      </c>
    </row>
    <row r="38" spans="1:23" ht="14.4" thickTop="1" thickBot="1" x14ac:dyDescent="0.3">
      <c r="A38" s="238" t="str">
        <f>Results!B38</f>
        <v>Chris Griffin</v>
      </c>
      <c r="B38" s="254" t="str">
        <f t="shared" si="1"/>
        <v/>
      </c>
      <c r="C38" s="246" t="str">
        <f t="shared" si="2"/>
        <v/>
      </c>
      <c r="D38" s="241" t="str">
        <f t="shared" si="3"/>
        <v/>
      </c>
      <c r="E38" s="255" t="str">
        <f t="shared" si="4"/>
        <v/>
      </c>
      <c r="F38" s="243" t="str">
        <f>IF(I38="","",INDEX(Results!T:T,MATCH(A38,Results!V:V,0)))</f>
        <v/>
      </c>
      <c r="G38" s="244" t="str">
        <f>IF(J38="","",INDEX(Results!AI:AI,MATCH(A38,Results!V:V,0)))</f>
        <v/>
      </c>
      <c r="H38" s="294">
        <f>IF(ISERROR(G38),0,1)</f>
        <v>1</v>
      </c>
      <c r="I38" s="331"/>
      <c r="J38" s="261"/>
      <c r="K38" s="262" t="e">
        <f>INDEX(Odds!G:G,MATCH(I38,Odds!E:E,0))</f>
        <v>#N/A</v>
      </c>
      <c r="L38" s="270" t="e">
        <f>INDEX(Odds!H:H,MATCH(I38,Odds!E:E,0))</f>
        <v>#N/A</v>
      </c>
      <c r="M38" s="264" t="e">
        <f t="shared" si="5"/>
        <v>#N/A</v>
      </c>
      <c r="N38" s="51"/>
      <c r="O38" s="39" t="str">
        <f>IF(Match!A38="","",Match!T38)</f>
        <v xml:space="preserve">Forest 1-0 Bolton </v>
      </c>
      <c r="P38" s="101"/>
      <c r="Q38" s="42" t="str">
        <f>IF(Odds!E38="","",Odds!E38)</f>
        <v>Forest</v>
      </c>
      <c r="R38" s="43" t="str">
        <f>INDEX(Odds!F:F,MATCH(Q38,Odds!E:E,0))</f>
        <v>/</v>
      </c>
      <c r="S38" s="47">
        <f t="shared" si="0"/>
        <v>1</v>
      </c>
      <c r="T38" s="22" t="str">
        <f>INDEX(Match!O:O,MATCH(O38,Match!T:T,0))</f>
        <v>Forest</v>
      </c>
      <c r="U38" s="22">
        <f>INDEX(Match!F:F,MATCH(O38,Match!T:T,0))</f>
        <v>1</v>
      </c>
      <c r="V38" s="22" t="str">
        <f>INDEX(Match!P:P,MATCH(O38,Match!T:T,0))</f>
        <v>Bolton</v>
      </c>
      <c r="W38" s="22">
        <f>INDEX(Match!G:G,MATCH(O38,Match!T:T,0))</f>
        <v>0</v>
      </c>
    </row>
    <row r="39" spans="1:23" x14ac:dyDescent="0.25">
      <c r="A39" s="324" t="str">
        <f>A38</f>
        <v>Chris Griffin</v>
      </c>
      <c r="B39" s="245" t="str">
        <f t="shared" si="1"/>
        <v/>
      </c>
      <c r="C39" s="246" t="str">
        <f t="shared" si="2"/>
        <v/>
      </c>
      <c r="D39" s="247" t="str">
        <f t="shared" si="3"/>
        <v/>
      </c>
      <c r="E39" s="248" t="str">
        <f t="shared" si="4"/>
        <v/>
      </c>
      <c r="F39" s="256"/>
      <c r="G39" s="257"/>
      <c r="H39" s="294"/>
      <c r="I39" s="331"/>
      <c r="J39" s="265"/>
      <c r="K39" s="266" t="e">
        <f>INDEX(Odds!G:G,MATCH(I39,Odds!E:E,0))</f>
        <v>#N/A</v>
      </c>
      <c r="L39" s="263" t="e">
        <f>INDEX(Odds!H:H,MATCH(I39,Odds!E:E,0))</f>
        <v>#N/A</v>
      </c>
      <c r="M39" s="264" t="e">
        <f t="shared" si="5"/>
        <v>#N/A</v>
      </c>
      <c r="N39" s="51"/>
      <c r="O39" s="39" t="str">
        <f>IF(Match!A39="","",Match!T39)</f>
        <v xml:space="preserve">Hull 1-1 Bristol C </v>
      </c>
      <c r="P39" s="101"/>
      <c r="Q39" s="42" t="str">
        <f>IF(Odds!E39="","",Odds!E39)</f>
        <v>Hull</v>
      </c>
      <c r="R39" s="43" t="str">
        <f>INDEX(Odds!F:F,MATCH(Q39,Odds!E:E,0))</f>
        <v>2/1</v>
      </c>
      <c r="S39" s="47">
        <f t="shared" si="0"/>
        <v>0</v>
      </c>
      <c r="T39" s="22" t="str">
        <f>INDEX(Match!O:O,MATCH(O39,Match!T:T,0))</f>
        <v>Hull</v>
      </c>
      <c r="U39" s="22">
        <f>INDEX(Match!F:F,MATCH(O39,Match!T:T,0))</f>
        <v>1</v>
      </c>
      <c r="V39" s="22" t="str">
        <f>INDEX(Match!P:P,MATCH(O39,Match!T:T,0))</f>
        <v>Bristol C</v>
      </c>
      <c r="W39" s="22">
        <f>INDEX(Match!G:G,MATCH(O39,Match!T:T,0))</f>
        <v>1</v>
      </c>
    </row>
    <row r="40" spans="1:23" ht="13.8" thickBot="1" x14ac:dyDescent="0.3">
      <c r="A40" s="325" t="str">
        <f>A38</f>
        <v>Chris Griffin</v>
      </c>
      <c r="B40" s="251" t="str">
        <f t="shared" si="1"/>
        <v/>
      </c>
      <c r="C40" s="252" t="str">
        <f t="shared" si="2"/>
        <v/>
      </c>
      <c r="D40" s="253" t="str">
        <f t="shared" si="3"/>
        <v/>
      </c>
      <c r="E40" s="248" t="str">
        <f t="shared" si="4"/>
        <v/>
      </c>
      <c r="F40" s="256"/>
      <c r="G40" s="257"/>
      <c r="H40" s="294"/>
      <c r="I40" s="332"/>
      <c r="J40" s="267"/>
      <c r="K40" s="268" t="e">
        <f>INDEX(Odds!G:G,MATCH(I40,Odds!E:E,0))</f>
        <v>#N/A</v>
      </c>
      <c r="L40" s="263" t="e">
        <f>INDEX(Odds!H:H,MATCH(I40,Odds!E:E,0))</f>
        <v>#N/A</v>
      </c>
      <c r="M40" s="269" t="e">
        <f t="shared" si="5"/>
        <v>#N/A</v>
      </c>
      <c r="N40" s="51"/>
      <c r="O40" s="39" t="str">
        <f>IF(Match!A40="","",Match!T40)</f>
        <v xml:space="preserve">Ipswich 3-2 Leeds </v>
      </c>
      <c r="P40" s="101"/>
      <c r="Q40" s="42" t="str">
        <f>IF(Odds!E40="","",Odds!E40)</f>
        <v>Ipswich</v>
      </c>
      <c r="R40" s="43" t="str">
        <f>INDEX(Odds!F:F,MATCH(Q40,Odds!E:E,0))</f>
        <v>4/1</v>
      </c>
      <c r="S40" s="47">
        <f t="shared" si="0"/>
        <v>1</v>
      </c>
      <c r="T40" s="22" t="str">
        <f>INDEX(Match!O:O,MATCH(O40,Match!T:T,0))</f>
        <v>Ipswich</v>
      </c>
      <c r="U40" s="22">
        <f>INDEX(Match!F:F,MATCH(O40,Match!T:T,0))</f>
        <v>3</v>
      </c>
      <c r="V40" s="22" t="str">
        <f>INDEX(Match!P:P,MATCH(O40,Match!T:T,0))</f>
        <v>Leeds</v>
      </c>
      <c r="W40" s="22">
        <f>INDEX(Match!G:G,MATCH(O40,Match!T:T,0))</f>
        <v>2</v>
      </c>
    </row>
    <row r="41" spans="1:23" ht="14.4" thickTop="1" thickBot="1" x14ac:dyDescent="0.3">
      <c r="A41" s="238" t="str">
        <f>Results!B41</f>
        <v>Chris Luck</v>
      </c>
      <c r="B41" s="254" t="str">
        <f t="shared" si="1"/>
        <v/>
      </c>
      <c r="C41" s="246" t="str">
        <f t="shared" si="2"/>
        <v/>
      </c>
      <c r="D41" s="241" t="str">
        <f t="shared" si="3"/>
        <v/>
      </c>
      <c r="E41" s="255" t="str">
        <f t="shared" si="4"/>
        <v/>
      </c>
      <c r="F41" s="243" t="str">
        <f>IF(I41="","",INDEX(Results!T:T,MATCH(A41,Results!V:V,0)))</f>
        <v/>
      </c>
      <c r="G41" s="244" t="str">
        <f>IF(J41="","",INDEX(Results!AI:AI,MATCH(A41,Results!V:V,0)))</f>
        <v/>
      </c>
      <c r="H41" s="294">
        <f>IF(ISERROR(G41),0,1)</f>
        <v>1</v>
      </c>
      <c r="I41" s="331"/>
      <c r="J41" s="261"/>
      <c r="K41" s="262" t="e">
        <f>INDEX(Odds!G:G,MATCH(I41,Odds!E:E,0))</f>
        <v>#N/A</v>
      </c>
      <c r="L41" s="270" t="e">
        <f>INDEX(Odds!H:H,MATCH(I41,Odds!E:E,0))</f>
        <v>#N/A</v>
      </c>
      <c r="M41" s="264" t="e">
        <f t="shared" si="5"/>
        <v>#N/A</v>
      </c>
      <c r="N41" s="51"/>
      <c r="O41" s="39" t="str">
        <f>IF(Match!A41="","",Match!T41)</f>
        <v xml:space="preserve">Reading 0-0 Birmingham </v>
      </c>
      <c r="P41" s="101"/>
      <c r="Q41" s="42" t="str">
        <f>IF(Odds!E41="","",Odds!E41)</f>
        <v>Reading</v>
      </c>
      <c r="R41" s="43" t="str">
        <f>INDEX(Odds!F:F,MATCH(Q41,Odds!E:E,0))</f>
        <v>7/4</v>
      </c>
      <c r="S41" s="47">
        <f t="shared" si="0"/>
        <v>0</v>
      </c>
      <c r="T41" s="22" t="str">
        <f>INDEX(Match!O:O,MATCH(O41,Match!T:T,0))</f>
        <v>Reading</v>
      </c>
      <c r="U41" s="22">
        <f>INDEX(Match!F:F,MATCH(O41,Match!T:T,0))</f>
        <v>0</v>
      </c>
      <c r="V41" s="22" t="str">
        <f>INDEX(Match!P:P,MATCH(O41,Match!T:T,0))</f>
        <v>Birmingham</v>
      </c>
      <c r="W41" s="22">
        <f>INDEX(Match!G:G,MATCH(O41,Match!T:T,0))</f>
        <v>0</v>
      </c>
    </row>
    <row r="42" spans="1:23" x14ac:dyDescent="0.25">
      <c r="A42" s="324" t="str">
        <f>A41</f>
        <v>Chris Luck</v>
      </c>
      <c r="B42" s="245" t="str">
        <f t="shared" si="1"/>
        <v/>
      </c>
      <c r="C42" s="246" t="str">
        <f t="shared" si="2"/>
        <v/>
      </c>
      <c r="D42" s="247" t="str">
        <f t="shared" si="3"/>
        <v/>
      </c>
      <c r="E42" s="248" t="str">
        <f t="shared" si="4"/>
        <v/>
      </c>
      <c r="F42" s="256"/>
      <c r="G42" s="257"/>
      <c r="H42" s="294"/>
      <c r="I42" s="331"/>
      <c r="J42" s="265"/>
      <c r="K42" s="266" t="e">
        <f>INDEX(Odds!G:G,MATCH(I42,Odds!E:E,0))</f>
        <v>#N/A</v>
      </c>
      <c r="L42" s="263" t="e">
        <f>INDEX(Odds!H:H,MATCH(I42,Odds!E:E,0))</f>
        <v>#N/A</v>
      </c>
      <c r="M42" s="264" t="e">
        <f t="shared" si="5"/>
        <v>#N/A</v>
      </c>
      <c r="N42" s="51"/>
      <c r="O42" s="39" t="str">
        <f>IF(Match!A42="","",Match!T42)</f>
        <v xml:space="preserve">Rotherham 1-2 Middlesbro </v>
      </c>
      <c r="P42" s="101"/>
      <c r="Q42" s="42" t="str">
        <f>IF(Odds!E42="","",Odds!E42)</f>
        <v>Rotherham</v>
      </c>
      <c r="R42" s="43" t="str">
        <f>INDEX(Odds!F:F,MATCH(Q42,Odds!E:E,0))</f>
        <v>10/3</v>
      </c>
      <c r="S42" s="47">
        <f t="shared" si="0"/>
        <v>0</v>
      </c>
      <c r="T42" s="22" t="str">
        <f>INDEX(Match!O:O,MATCH(O42,Match!T:T,0))</f>
        <v>Rotherham</v>
      </c>
      <c r="U42" s="22">
        <f>INDEX(Match!F:F,MATCH(O42,Match!T:T,0))</f>
        <v>1</v>
      </c>
      <c r="V42" s="22" t="str">
        <f>INDEX(Match!P:P,MATCH(O42,Match!T:T,0))</f>
        <v>Middlesbro</v>
      </c>
      <c r="W42" s="22">
        <f>INDEX(Match!G:G,MATCH(O42,Match!T:T,0))</f>
        <v>2</v>
      </c>
    </row>
    <row r="43" spans="1:23" ht="13.8" thickBot="1" x14ac:dyDescent="0.3">
      <c r="A43" s="325" t="str">
        <f>A41</f>
        <v>Chris Luck</v>
      </c>
      <c r="B43" s="251" t="str">
        <f t="shared" si="1"/>
        <v/>
      </c>
      <c r="C43" s="252" t="str">
        <f t="shared" si="2"/>
        <v/>
      </c>
      <c r="D43" s="253" t="str">
        <f t="shared" si="3"/>
        <v/>
      </c>
      <c r="E43" s="248" t="str">
        <f t="shared" si="4"/>
        <v/>
      </c>
      <c r="F43" s="256"/>
      <c r="G43" s="257"/>
      <c r="H43" s="294"/>
      <c r="I43" s="332"/>
      <c r="J43" s="267"/>
      <c r="K43" s="268" t="e">
        <f>INDEX(Odds!G:G,MATCH(I43,Odds!E:E,0))</f>
        <v>#N/A</v>
      </c>
      <c r="L43" s="263" t="e">
        <f>INDEX(Odds!H:H,MATCH(I43,Odds!E:E,0))</f>
        <v>#N/A</v>
      </c>
      <c r="M43" s="269" t="e">
        <f t="shared" si="5"/>
        <v>#N/A</v>
      </c>
      <c r="N43" s="51"/>
      <c r="O43" s="39" t="str">
        <f>IF(Match!A43="","",Match!T43)</f>
        <v xml:space="preserve">Sheff W 1-2 QPR </v>
      </c>
      <c r="P43" s="101"/>
      <c r="Q43" s="42" t="str">
        <f>IF(Odds!E43="","",Odds!E43)</f>
        <v>Sheff W</v>
      </c>
      <c r="R43" s="43" t="str">
        <f>INDEX(Odds!F:F,MATCH(Q43,Odds!E:E,0))</f>
        <v>11/13</v>
      </c>
      <c r="S43" s="47">
        <f t="shared" si="0"/>
        <v>0</v>
      </c>
      <c r="T43" s="22" t="str">
        <f>INDEX(Match!O:O,MATCH(O43,Match!T:T,0))</f>
        <v>Sheff W</v>
      </c>
      <c r="U43" s="22">
        <f>INDEX(Match!F:F,MATCH(O43,Match!T:T,0))</f>
        <v>1</v>
      </c>
      <c r="V43" s="22" t="str">
        <f>INDEX(Match!P:P,MATCH(O43,Match!T:T,0))</f>
        <v>QPR</v>
      </c>
      <c r="W43" s="22">
        <f>INDEX(Match!G:G,MATCH(O43,Match!T:T,0))</f>
        <v>2</v>
      </c>
    </row>
    <row r="44" spans="1:23" ht="14.4" thickTop="1" thickBot="1" x14ac:dyDescent="0.3">
      <c r="A44" s="238" t="str">
        <f>Results!B44</f>
        <v>Chris Townsend</v>
      </c>
      <c r="B44" s="254" t="str">
        <f t="shared" si="1"/>
        <v/>
      </c>
      <c r="C44" s="246" t="str">
        <f t="shared" si="2"/>
        <v/>
      </c>
      <c r="D44" s="241" t="str">
        <f t="shared" si="3"/>
        <v/>
      </c>
      <c r="E44" s="255" t="str">
        <f t="shared" si="4"/>
        <v/>
      </c>
      <c r="F44" s="243" t="str">
        <f>IF(I44="","",INDEX(Results!T:T,MATCH(A44,Results!V:V,0)))</f>
        <v/>
      </c>
      <c r="G44" s="244" t="str">
        <f>IF(J44="","",INDEX(Results!AI:AI,MATCH(A44,Results!V:V,0)))</f>
        <v/>
      </c>
      <c r="H44" s="294">
        <f>IF(ISERROR(G44),0,1)</f>
        <v>1</v>
      </c>
      <c r="I44" s="331"/>
      <c r="J44" s="261"/>
      <c r="K44" s="262" t="e">
        <f>INDEX(Odds!G:G,MATCH(I44,Odds!E:E,0))</f>
        <v>#N/A</v>
      </c>
      <c r="L44" s="270" t="e">
        <f>INDEX(Odds!H:H,MATCH(I44,Odds!E:E,0))</f>
        <v>#N/A</v>
      </c>
      <c r="M44" s="264" t="e">
        <f t="shared" si="5"/>
        <v>#N/A</v>
      </c>
      <c r="N44" s="51"/>
      <c r="O44" s="39" t="str">
        <f>IF(Match!A44="","",Match!T44)</f>
        <v xml:space="preserve">Stoke 2-2 Sheff U </v>
      </c>
      <c r="P44" s="101"/>
      <c r="Q44" s="42" t="str">
        <f>IF(Odds!E44="","",Odds!E44)</f>
        <v>Stoke</v>
      </c>
      <c r="R44" s="43" t="str">
        <f>INDEX(Odds!F:F,MATCH(Q44,Odds!E:E,0))</f>
        <v>14/5</v>
      </c>
      <c r="S44" s="47">
        <f t="shared" si="0"/>
        <v>0</v>
      </c>
      <c r="T44" s="22" t="str">
        <f>INDEX(Match!O:O,MATCH(O44,Match!T:T,0))</f>
        <v>Stoke</v>
      </c>
      <c r="U44" s="22">
        <f>INDEX(Match!F:F,MATCH(O44,Match!T:T,0))</f>
        <v>2</v>
      </c>
      <c r="V44" s="22" t="str">
        <f>INDEX(Match!P:P,MATCH(O44,Match!T:T,0))</f>
        <v>Sheff U</v>
      </c>
      <c r="W44" s="22">
        <f>INDEX(Match!G:G,MATCH(O44,Match!T:T,0))</f>
        <v>2</v>
      </c>
    </row>
    <row r="45" spans="1:23" x14ac:dyDescent="0.25">
      <c r="A45" s="324" t="str">
        <f>A44</f>
        <v>Chris Townsend</v>
      </c>
      <c r="B45" s="245" t="str">
        <f t="shared" si="1"/>
        <v/>
      </c>
      <c r="C45" s="246" t="str">
        <f t="shared" si="2"/>
        <v/>
      </c>
      <c r="D45" s="247" t="str">
        <f t="shared" si="3"/>
        <v/>
      </c>
      <c r="E45" s="248" t="str">
        <f t="shared" si="4"/>
        <v/>
      </c>
      <c r="F45" s="256"/>
      <c r="G45" s="257"/>
      <c r="H45" s="294"/>
      <c r="I45" s="331"/>
      <c r="J45" s="265"/>
      <c r="K45" s="266" t="e">
        <f>INDEX(Odds!G:G,MATCH(I45,Odds!E:E,0))</f>
        <v>#N/A</v>
      </c>
      <c r="L45" s="263" t="e">
        <f>INDEX(Odds!H:H,MATCH(I45,Odds!E:E,0))</f>
        <v>#N/A</v>
      </c>
      <c r="M45" s="264" t="e">
        <f t="shared" si="5"/>
        <v>#N/A</v>
      </c>
      <c r="N45" s="51"/>
      <c r="O45" s="39" t="str">
        <f>IF(Match!A45="","",Match!T45)</f>
        <v xml:space="preserve">Villa 1-2 Norwich </v>
      </c>
      <c r="P45" s="101"/>
      <c r="Q45" s="42" t="str">
        <f>IF(Odds!E45="","",Odds!E45)</f>
        <v>Villa</v>
      </c>
      <c r="R45" s="43" t="str">
        <f>INDEX(Odds!F:F,MATCH(Q45,Odds!E:E,0))</f>
        <v>6/4</v>
      </c>
      <c r="S45" s="47">
        <f t="shared" si="0"/>
        <v>0</v>
      </c>
      <c r="T45" s="22" t="str">
        <f>INDEX(Match!O:O,MATCH(O45,Match!T:T,0))</f>
        <v>Villa</v>
      </c>
      <c r="U45" s="22">
        <f>INDEX(Match!F:F,MATCH(O45,Match!T:T,0))</f>
        <v>1</v>
      </c>
      <c r="V45" s="22" t="str">
        <f>INDEX(Match!P:P,MATCH(O45,Match!T:T,0))</f>
        <v>Norwich</v>
      </c>
      <c r="W45" s="22">
        <f>INDEX(Match!G:G,MATCH(O45,Match!T:T,0))</f>
        <v>2</v>
      </c>
    </row>
    <row r="46" spans="1:23" ht="13.8" thickBot="1" x14ac:dyDescent="0.3">
      <c r="A46" s="325" t="str">
        <f>A44</f>
        <v>Chris Townsend</v>
      </c>
      <c r="B46" s="251" t="str">
        <f t="shared" si="1"/>
        <v/>
      </c>
      <c r="C46" s="252" t="str">
        <f t="shared" si="2"/>
        <v/>
      </c>
      <c r="D46" s="253" t="str">
        <f t="shared" si="3"/>
        <v/>
      </c>
      <c r="E46" s="248" t="str">
        <f t="shared" si="4"/>
        <v/>
      </c>
      <c r="F46" s="256"/>
      <c r="G46" s="257"/>
      <c r="H46" s="294"/>
      <c r="I46" s="332"/>
      <c r="J46" s="267"/>
      <c r="K46" s="268" t="e">
        <f>INDEX(Odds!G:G,MATCH(I46,Odds!E:E,0))</f>
        <v>#N/A</v>
      </c>
      <c r="L46" s="263" t="e">
        <f>INDEX(Odds!H:H,MATCH(I46,Odds!E:E,0))</f>
        <v>#N/A</v>
      </c>
      <c r="M46" s="269" t="e">
        <f t="shared" si="5"/>
        <v>#N/A</v>
      </c>
      <c r="N46" s="51"/>
      <c r="O46" s="39" t="str">
        <f>IF(Match!A46="","",Match!T46)</f>
        <v xml:space="preserve">Wigan 1-0 Millwall </v>
      </c>
      <c r="P46" s="101"/>
      <c r="Q46" s="42" t="str">
        <f>IF(Odds!E46="","",Odds!E46)</f>
        <v>Wigan</v>
      </c>
      <c r="R46" s="43" t="str">
        <f>INDEX(Odds!F:F,MATCH(Q46,Odds!E:E,0))</f>
        <v>13/10</v>
      </c>
      <c r="S46" s="47">
        <f t="shared" si="0"/>
        <v>1</v>
      </c>
      <c r="T46" s="22" t="str">
        <f>INDEX(Match!O:O,MATCH(O46,Match!T:T,0))</f>
        <v>Wigan</v>
      </c>
      <c r="U46" s="22">
        <f>INDEX(Match!F:F,MATCH(O46,Match!T:T,0))</f>
        <v>1</v>
      </c>
      <c r="V46" s="22" t="str">
        <f>INDEX(Match!P:P,MATCH(O46,Match!T:T,0))</f>
        <v>Millwall</v>
      </c>
      <c r="W46" s="22">
        <f>INDEX(Match!G:G,MATCH(O46,Match!T:T,0))</f>
        <v>0</v>
      </c>
    </row>
    <row r="47" spans="1:23" ht="14.4" thickTop="1" thickBot="1" x14ac:dyDescent="0.3">
      <c r="A47" s="238" t="str">
        <f>Results!B47</f>
        <v>Dan Baxter</v>
      </c>
      <c r="B47" s="254" t="str">
        <f t="shared" si="1"/>
        <v/>
      </c>
      <c r="C47" s="246" t="str">
        <f t="shared" si="2"/>
        <v/>
      </c>
      <c r="D47" s="241" t="str">
        <f t="shared" si="3"/>
        <v/>
      </c>
      <c r="E47" s="255" t="str">
        <f t="shared" si="4"/>
        <v/>
      </c>
      <c r="F47" s="243" t="str">
        <f>IF(I47="","",INDEX(Results!T:T,MATCH(A47,Results!V:V,0)))</f>
        <v/>
      </c>
      <c r="G47" s="244" t="str">
        <f>IF(J47="","",INDEX(Results!AI:AI,MATCH(A47,Results!V:V,0)))</f>
        <v/>
      </c>
      <c r="H47" s="294">
        <f>IF(ISERROR(G47),0,1)</f>
        <v>1</v>
      </c>
      <c r="I47" s="331"/>
      <c r="J47" s="261"/>
      <c r="K47" s="262" t="e">
        <f>INDEX(Odds!G:G,MATCH(I47,Odds!E:E,0))</f>
        <v>#N/A</v>
      </c>
      <c r="L47" s="270" t="e">
        <f>INDEX(Odds!H:H,MATCH(I47,Odds!E:E,0))</f>
        <v>#N/A</v>
      </c>
      <c r="M47" s="264" t="e">
        <f t="shared" si="5"/>
        <v>#N/A</v>
      </c>
      <c r="N47" s="51"/>
      <c r="O47" s="40" t="str">
        <f>IF(Match!A47="","",Match!T47)</f>
        <v/>
      </c>
      <c r="P47" s="101"/>
      <c r="Q47" s="48" t="str">
        <f>IF(Odds!E47="","",Odds!E47)</f>
        <v/>
      </c>
      <c r="R47" s="49" t="str">
        <f>INDEX(Odds!F:F,MATCH(Q47,Odds!E:E,0))</f>
        <v/>
      </c>
      <c r="S47" s="50" t="e">
        <f>IF(U47&gt;W47,1,0)</f>
        <v>#N/A</v>
      </c>
      <c r="T47" s="22" t="e">
        <f>INDEX(Match!O:O,MATCH(O47,Match!T:T,0))</f>
        <v>#N/A</v>
      </c>
      <c r="U47" s="22" t="e">
        <f>INDEX(Match!F:F,MATCH(O47,Match!T:T,0))</f>
        <v>#N/A</v>
      </c>
      <c r="V47" s="22" t="e">
        <f>INDEX(Match!P:P,MATCH(O47,Match!T:T,0))</f>
        <v>#N/A</v>
      </c>
      <c r="W47" s="22" t="e">
        <f>INDEX(Match!G:G,MATCH(O47,Match!T:T,0))</f>
        <v>#N/A</v>
      </c>
    </row>
    <row r="48" spans="1:23" x14ac:dyDescent="0.25">
      <c r="A48" s="324" t="str">
        <f>A47</f>
        <v>Dan Baxter</v>
      </c>
      <c r="B48" s="245" t="str">
        <f t="shared" si="1"/>
        <v/>
      </c>
      <c r="C48" s="246" t="str">
        <f t="shared" si="2"/>
        <v/>
      </c>
      <c r="D48" s="247" t="str">
        <f t="shared" si="3"/>
        <v/>
      </c>
      <c r="E48" s="248" t="str">
        <f t="shared" si="4"/>
        <v/>
      </c>
      <c r="F48" s="256"/>
      <c r="G48" s="257"/>
      <c r="H48" s="294"/>
      <c r="I48" s="331"/>
      <c r="J48" s="265"/>
      <c r="K48" s="266" t="e">
        <f>INDEX(Odds!G:G,MATCH(I48,Odds!E:E,0))</f>
        <v>#N/A</v>
      </c>
      <c r="L48" s="263" t="e">
        <f>INDEX(Odds!H:H,MATCH(I48,Odds!E:E,0))</f>
        <v>#N/A</v>
      </c>
      <c r="M48" s="264" t="e">
        <f t="shared" si="5"/>
        <v>#N/A</v>
      </c>
      <c r="N48" s="51"/>
      <c r="O48" s="66"/>
      <c r="Q48" s="42" t="str">
        <f>IF(Odds!E48="","",Odds!E48)</f>
        <v>Everton draw</v>
      </c>
      <c r="R48" s="43" t="str">
        <f>INDEX(Odds!F:F,MATCH(Q48,Odds!E:E,0))</f>
        <v>3/1</v>
      </c>
      <c r="S48" s="47">
        <f t="shared" ref="S48:S93" si="6">IF(U2=W2,1,0)</f>
        <v>0</v>
      </c>
    </row>
    <row r="49" spans="1:19" ht="13.8" thickBot="1" x14ac:dyDescent="0.3">
      <c r="A49" s="325" t="str">
        <f>A47</f>
        <v>Dan Baxter</v>
      </c>
      <c r="B49" s="251" t="str">
        <f t="shared" si="1"/>
        <v/>
      </c>
      <c r="C49" s="252" t="str">
        <f t="shared" si="2"/>
        <v/>
      </c>
      <c r="D49" s="253" t="str">
        <f t="shared" si="3"/>
        <v/>
      </c>
      <c r="E49" s="248" t="str">
        <f t="shared" si="4"/>
        <v/>
      </c>
      <c r="F49" s="256"/>
      <c r="G49" s="257"/>
      <c r="H49" s="294"/>
      <c r="I49" s="332"/>
      <c r="J49" s="267"/>
      <c r="K49" s="268" t="e">
        <f>INDEX(Odds!G:G,MATCH(I49,Odds!E:E,0))</f>
        <v>#N/A</v>
      </c>
      <c r="L49" s="263" t="e">
        <f>INDEX(Odds!H:H,MATCH(I49,Odds!E:E,0))</f>
        <v>#N/A</v>
      </c>
      <c r="M49" s="269" t="e">
        <f t="shared" si="5"/>
        <v>#N/A</v>
      </c>
      <c r="N49" s="51"/>
      <c r="O49" s="66"/>
      <c r="Q49" s="42" t="str">
        <f>IF(Odds!E49="","",Odds!E49)</f>
        <v>Bournemouth draw</v>
      </c>
      <c r="R49" s="43" t="str">
        <f>INDEX(Odds!F:F,MATCH(Q49,Odds!E:E,0))</f>
        <v>3/1</v>
      </c>
      <c r="S49" s="47">
        <f t="shared" si="6"/>
        <v>0</v>
      </c>
    </row>
    <row r="50" spans="1:19" ht="14.4" thickTop="1" thickBot="1" x14ac:dyDescent="0.3">
      <c r="A50" s="238" t="str">
        <f>Results!B50</f>
        <v>Dave Bell</v>
      </c>
      <c r="B50" s="254" t="str">
        <f t="shared" si="1"/>
        <v/>
      </c>
      <c r="C50" s="246" t="str">
        <f t="shared" si="2"/>
        <v/>
      </c>
      <c r="D50" s="241" t="str">
        <f t="shared" si="3"/>
        <v/>
      </c>
      <c r="E50" s="255" t="str">
        <f t="shared" si="4"/>
        <v/>
      </c>
      <c r="F50" s="243" t="str">
        <f>IF(I50="","",INDEX(Results!T:T,MATCH(A50,Results!V:V,0)))</f>
        <v/>
      </c>
      <c r="G50" s="244" t="str">
        <f>IF(J50="","",INDEX(Results!AI:AI,MATCH(A50,Results!V:V,0)))</f>
        <v/>
      </c>
      <c r="H50" s="294">
        <f>IF(ISERROR(G50),0,1)</f>
        <v>1</v>
      </c>
      <c r="I50" s="331"/>
      <c r="J50" s="261"/>
      <c r="K50" s="262" t="e">
        <f>INDEX(Odds!G:G,MATCH(I50,Odds!E:E,0))</f>
        <v>#N/A</v>
      </c>
      <c r="L50" s="270" t="e">
        <f>INDEX(Odds!H:H,MATCH(I50,Odds!E:E,0))</f>
        <v>#N/A</v>
      </c>
      <c r="M50" s="264" t="e">
        <f t="shared" si="5"/>
        <v>#N/A</v>
      </c>
      <c r="N50" s="51"/>
      <c r="O50" s="66"/>
      <c r="P50" s="66" t="s">
        <v>210</v>
      </c>
      <c r="Q50" s="42" t="str">
        <f>IF(Odds!E50="","",Odds!E50)</f>
        <v>Cardiff draw</v>
      </c>
      <c r="R50" s="43" t="str">
        <f>INDEX(Odds!F:F,MATCH(Q50,Odds!E:E,0))</f>
        <v>9/4</v>
      </c>
      <c r="S50" s="47">
        <f t="shared" si="6"/>
        <v>0</v>
      </c>
    </row>
    <row r="51" spans="1:19" x14ac:dyDescent="0.25">
      <c r="A51" s="324" t="str">
        <f>A50</f>
        <v>Dave Bell</v>
      </c>
      <c r="B51" s="245" t="str">
        <f t="shared" si="1"/>
        <v/>
      </c>
      <c r="C51" s="246" t="str">
        <f t="shared" si="2"/>
        <v/>
      </c>
      <c r="D51" s="247" t="str">
        <f t="shared" si="3"/>
        <v/>
      </c>
      <c r="E51" s="248" t="str">
        <f t="shared" si="4"/>
        <v/>
      </c>
      <c r="F51" s="256"/>
      <c r="G51" s="257"/>
      <c r="H51" s="294"/>
      <c r="I51" s="331"/>
      <c r="J51" s="265"/>
      <c r="K51" s="266" t="e">
        <f>INDEX(Odds!G:G,MATCH(I51,Odds!E:E,0))</f>
        <v>#N/A</v>
      </c>
      <c r="L51" s="263" t="e">
        <f>INDEX(Odds!H:H,MATCH(I51,Odds!E:E,0))</f>
        <v>#N/A</v>
      </c>
      <c r="M51" s="264" t="e">
        <f t="shared" si="5"/>
        <v>#N/A</v>
      </c>
      <c r="N51" s="51"/>
      <c r="O51" s="66"/>
      <c r="Q51" s="42" t="str">
        <f>IF(Odds!E51="","",Odds!E51)</f>
        <v>Newcastle draw</v>
      </c>
      <c r="R51" s="43" t="str">
        <f>INDEX(Odds!F:F,MATCH(Q51,Odds!E:E,0))</f>
        <v>4/1</v>
      </c>
      <c r="S51" s="47">
        <f t="shared" si="6"/>
        <v>0</v>
      </c>
    </row>
    <row r="52" spans="1:19" ht="13.8" thickBot="1" x14ac:dyDescent="0.3">
      <c r="A52" s="325" t="str">
        <f>A50</f>
        <v>Dave Bell</v>
      </c>
      <c r="B52" s="251" t="str">
        <f t="shared" si="1"/>
        <v/>
      </c>
      <c r="C52" s="252" t="str">
        <f t="shared" si="2"/>
        <v/>
      </c>
      <c r="D52" s="253" t="str">
        <f t="shared" si="3"/>
        <v/>
      </c>
      <c r="E52" s="248" t="str">
        <f t="shared" si="4"/>
        <v/>
      </c>
      <c r="F52" s="256"/>
      <c r="G52" s="257"/>
      <c r="H52" s="294"/>
      <c r="I52" s="332"/>
      <c r="J52" s="267"/>
      <c r="K52" s="268" t="e">
        <f>INDEX(Odds!G:G,MATCH(I52,Odds!E:E,0))</f>
        <v>#N/A</v>
      </c>
      <c r="L52" s="263" t="e">
        <f>INDEX(Odds!H:H,MATCH(I52,Odds!E:E,0))</f>
        <v>#N/A</v>
      </c>
      <c r="M52" s="269" t="e">
        <f t="shared" si="5"/>
        <v>#N/A</v>
      </c>
      <c r="N52" s="51"/>
      <c r="O52" s="66"/>
      <c r="Q52" s="42" t="str">
        <f>IF(Odds!E52="","",Odds!E52)</f>
        <v>West Ham draw</v>
      </c>
      <c r="R52" s="43" t="str">
        <f>INDEX(Odds!F:F,MATCH(Q52,Odds!E:E,0))</f>
        <v>5/2</v>
      </c>
      <c r="S52" s="47">
        <f t="shared" si="6"/>
        <v>0</v>
      </c>
    </row>
    <row r="53" spans="1:19" ht="14.4" thickTop="1" thickBot="1" x14ac:dyDescent="0.3">
      <c r="A53" s="238" t="str">
        <f>Results!B53</f>
        <v>Dave Orrell</v>
      </c>
      <c r="B53" s="254" t="str">
        <f t="shared" si="1"/>
        <v/>
      </c>
      <c r="C53" s="246" t="str">
        <f t="shared" si="2"/>
        <v/>
      </c>
      <c r="D53" s="241" t="str">
        <f t="shared" si="3"/>
        <v/>
      </c>
      <c r="E53" s="255" t="str">
        <f t="shared" si="4"/>
        <v/>
      </c>
      <c r="F53" s="243" t="str">
        <f>IF(I53="","",INDEX(Results!T:T,MATCH(A53,Results!V:V,0)))</f>
        <v/>
      </c>
      <c r="G53" s="244" t="str">
        <f>IF(J53="","",INDEX(Results!AI:AI,MATCH(A53,Results!V:V,0)))</f>
        <v/>
      </c>
      <c r="H53" s="294">
        <f>IF(ISERROR(G53),0,1)</f>
        <v>1</v>
      </c>
      <c r="I53" s="331"/>
      <c r="J53" s="261"/>
      <c r="K53" s="262" t="e">
        <f>INDEX(Odds!G:G,MATCH(I53,Odds!E:E,0))</f>
        <v>#N/A</v>
      </c>
      <c r="L53" s="270" t="e">
        <f>INDEX(Odds!H:H,MATCH(I53,Odds!E:E,0))</f>
        <v>#N/A</v>
      </c>
      <c r="M53" s="264" t="e">
        <f t="shared" si="5"/>
        <v>#N/A</v>
      </c>
      <c r="N53" s="51"/>
      <c r="O53" s="66"/>
      <c r="Q53" s="42" t="str">
        <f>IF(Odds!E53="","",Odds!E53)</f>
        <v>Wolves draw</v>
      </c>
      <c r="R53" s="43" t="str">
        <f>INDEX(Odds!F:F,MATCH(Q53,Odds!E:E,0))</f>
        <v>16/5</v>
      </c>
      <c r="S53" s="47">
        <f t="shared" si="6"/>
        <v>0</v>
      </c>
    </row>
    <row r="54" spans="1:19" x14ac:dyDescent="0.25">
      <c r="A54" s="324" t="str">
        <f>A53</f>
        <v>Dave Orrell</v>
      </c>
      <c r="B54" s="245" t="str">
        <f t="shared" si="1"/>
        <v/>
      </c>
      <c r="C54" s="246" t="str">
        <f t="shared" si="2"/>
        <v/>
      </c>
      <c r="D54" s="247" t="str">
        <f t="shared" si="3"/>
        <v/>
      </c>
      <c r="E54" s="248" t="str">
        <f t="shared" si="4"/>
        <v/>
      </c>
      <c r="F54" s="256"/>
      <c r="G54" s="257"/>
      <c r="H54" s="294"/>
      <c r="I54" s="331"/>
      <c r="J54" s="265"/>
      <c r="K54" s="266" t="e">
        <f>INDEX(Odds!G:G,MATCH(I54,Odds!E:E,0))</f>
        <v>#N/A</v>
      </c>
      <c r="L54" s="263" t="e">
        <f>INDEX(Odds!H:H,MATCH(I54,Odds!E:E,0))</f>
        <v>#N/A</v>
      </c>
      <c r="M54" s="264" t="e">
        <f t="shared" si="5"/>
        <v>#N/A</v>
      </c>
      <c r="N54" s="51"/>
      <c r="O54" s="66"/>
      <c r="Q54" s="42" t="str">
        <f>IF(Odds!E54="","",Odds!E54)</f>
        <v>Blackpool draw</v>
      </c>
      <c r="R54" s="43" t="str">
        <f>INDEX(Odds!F:F,MATCH(Q54,Odds!E:E,0))</f>
        <v>23/10</v>
      </c>
      <c r="S54" s="47">
        <f t="shared" si="6"/>
        <v>0</v>
      </c>
    </row>
    <row r="55" spans="1:19" ht="13.8" thickBot="1" x14ac:dyDescent="0.3">
      <c r="A55" s="325" t="str">
        <f>A53</f>
        <v>Dave Orrell</v>
      </c>
      <c r="B55" s="251" t="str">
        <f t="shared" si="1"/>
        <v/>
      </c>
      <c r="C55" s="252" t="str">
        <f t="shared" si="2"/>
        <v/>
      </c>
      <c r="D55" s="253" t="str">
        <f t="shared" si="3"/>
        <v/>
      </c>
      <c r="E55" s="248" t="str">
        <f t="shared" si="4"/>
        <v/>
      </c>
      <c r="F55" s="256"/>
      <c r="G55" s="257"/>
      <c r="H55" s="294"/>
      <c r="I55" s="332"/>
      <c r="J55" s="267"/>
      <c r="K55" s="268" t="e">
        <f>INDEX(Odds!G:G,MATCH(I55,Odds!E:E,0))</f>
        <v>#N/A</v>
      </c>
      <c r="L55" s="263" t="e">
        <f>INDEX(Odds!H:H,MATCH(I55,Odds!E:E,0))</f>
        <v>#N/A</v>
      </c>
      <c r="M55" s="269" t="e">
        <f t="shared" si="5"/>
        <v>#N/A</v>
      </c>
      <c r="N55" s="51"/>
      <c r="O55" s="66"/>
      <c r="Q55" s="42" t="str">
        <f>IF(Odds!E55="","",Odds!E55)</f>
        <v>Bradford draw</v>
      </c>
      <c r="R55" s="43" t="str">
        <f>INDEX(Odds!F:F,MATCH(Q55,Odds!E:E,0))</f>
        <v>12/5</v>
      </c>
      <c r="S55" s="47">
        <f t="shared" si="6"/>
        <v>1</v>
      </c>
    </row>
    <row r="56" spans="1:19" ht="14.4" thickTop="1" thickBot="1" x14ac:dyDescent="0.3">
      <c r="A56" s="238" t="str">
        <f>Results!B56</f>
        <v>David Dunn</v>
      </c>
      <c r="B56" s="254" t="str">
        <f t="shared" si="1"/>
        <v/>
      </c>
      <c r="C56" s="246" t="str">
        <f t="shared" si="2"/>
        <v/>
      </c>
      <c r="D56" s="241" t="str">
        <f t="shared" si="3"/>
        <v/>
      </c>
      <c r="E56" s="255" t="str">
        <f t="shared" si="4"/>
        <v/>
      </c>
      <c r="F56" s="243" t="str">
        <f>IF(I56="","",INDEX(Results!T:T,MATCH(A56,Results!V:V,0)))</f>
        <v/>
      </c>
      <c r="G56" s="244" t="str">
        <f>IF(J56="","",INDEX(Results!AI:AI,MATCH(A56,Results!V:V,0)))</f>
        <v/>
      </c>
      <c r="H56" s="294">
        <f>IF(ISERROR(G56),0,1)</f>
        <v>1</v>
      </c>
      <c r="I56" s="331"/>
      <c r="J56" s="261"/>
      <c r="K56" s="262" t="e">
        <f>INDEX(Odds!G:G,MATCH(I56,Odds!E:E,0))</f>
        <v>#N/A</v>
      </c>
      <c r="L56" s="270" t="e">
        <f>INDEX(Odds!H:H,MATCH(I56,Odds!E:E,0))</f>
        <v>#N/A</v>
      </c>
      <c r="M56" s="264" t="e">
        <f t="shared" si="5"/>
        <v>#N/A</v>
      </c>
      <c r="N56" s="51"/>
      <c r="O56" s="66"/>
      <c r="Q56" s="42" t="str">
        <f>IF(Odds!E56="","",Odds!E56)</f>
        <v>Bristol R draw</v>
      </c>
      <c r="R56" s="43" t="str">
        <f>INDEX(Odds!F:F,MATCH(Q56,Odds!E:E,0))</f>
        <v>29/10</v>
      </c>
      <c r="S56" s="47">
        <f t="shared" si="6"/>
        <v>0</v>
      </c>
    </row>
    <row r="57" spans="1:19" x14ac:dyDescent="0.25">
      <c r="A57" s="324" t="str">
        <f>A56</f>
        <v>David Dunn</v>
      </c>
      <c r="B57" s="245" t="str">
        <f t="shared" si="1"/>
        <v/>
      </c>
      <c r="C57" s="246" t="str">
        <f t="shared" si="2"/>
        <v/>
      </c>
      <c r="D57" s="247" t="str">
        <f t="shared" si="3"/>
        <v/>
      </c>
      <c r="E57" s="248" t="str">
        <f t="shared" si="4"/>
        <v/>
      </c>
      <c r="F57" s="256"/>
      <c r="G57" s="257"/>
      <c r="H57" s="294"/>
      <c r="I57" s="331"/>
      <c r="J57" s="265"/>
      <c r="K57" s="266" t="e">
        <f>INDEX(Odds!G:G,MATCH(I57,Odds!E:E,0))</f>
        <v>#N/A</v>
      </c>
      <c r="L57" s="263" t="e">
        <f>INDEX(Odds!H:H,MATCH(I57,Odds!E:E,0))</f>
        <v>#N/A</v>
      </c>
      <c r="M57" s="264" t="e">
        <f t="shared" si="5"/>
        <v>#N/A</v>
      </c>
      <c r="N57" s="51"/>
      <c r="O57" s="66"/>
      <c r="Q57" s="42" t="str">
        <f>IF(Odds!E57="","",Odds!E57)</f>
        <v>Charlton draw</v>
      </c>
      <c r="R57" s="43" t="str">
        <f>INDEX(Odds!F:F,MATCH(Q57,Odds!E:E,0))</f>
        <v>27/10</v>
      </c>
      <c r="S57" s="47">
        <f t="shared" si="6"/>
        <v>0</v>
      </c>
    </row>
    <row r="58" spans="1:19" ht="13.8" thickBot="1" x14ac:dyDescent="0.3">
      <c r="A58" s="325" t="str">
        <f>A56</f>
        <v>David Dunn</v>
      </c>
      <c r="B58" s="251" t="str">
        <f t="shared" si="1"/>
        <v/>
      </c>
      <c r="C58" s="252" t="str">
        <f t="shared" si="2"/>
        <v/>
      </c>
      <c r="D58" s="253" t="str">
        <f t="shared" si="3"/>
        <v/>
      </c>
      <c r="E58" s="248" t="str">
        <f t="shared" si="4"/>
        <v/>
      </c>
      <c r="F58" s="256"/>
      <c r="G58" s="257"/>
      <c r="H58" s="294"/>
      <c r="I58" s="332"/>
      <c r="J58" s="267"/>
      <c r="K58" s="268" t="e">
        <f>INDEX(Odds!G:G,MATCH(I58,Odds!E:E,0))</f>
        <v>#N/A</v>
      </c>
      <c r="L58" s="263" t="e">
        <f>INDEX(Odds!H:H,MATCH(I58,Odds!E:E,0))</f>
        <v>#N/A</v>
      </c>
      <c r="M58" s="269" t="e">
        <f t="shared" si="5"/>
        <v>#N/A</v>
      </c>
      <c r="N58" s="51"/>
      <c r="O58" s="66"/>
      <c r="Q58" s="42" t="str">
        <f>IF(Odds!E58="","",Odds!E58)</f>
        <v>Doncaster draw</v>
      </c>
      <c r="R58" s="43" t="str">
        <f>INDEX(Odds!F:F,MATCH(Q58,Odds!E:E,0))</f>
        <v>12/5</v>
      </c>
      <c r="S58" s="47">
        <f t="shared" si="6"/>
        <v>0</v>
      </c>
    </row>
    <row r="59" spans="1:19" ht="14.4" thickTop="1" thickBot="1" x14ac:dyDescent="0.3">
      <c r="A59" s="238" t="str">
        <f>Results!B59</f>
        <v>Gareth Fallows</v>
      </c>
      <c r="B59" s="254" t="str">
        <f t="shared" si="1"/>
        <v/>
      </c>
      <c r="C59" s="246" t="str">
        <f t="shared" si="2"/>
        <v/>
      </c>
      <c r="D59" s="241" t="str">
        <f t="shared" si="3"/>
        <v/>
      </c>
      <c r="E59" s="255" t="str">
        <f t="shared" si="4"/>
        <v/>
      </c>
      <c r="F59" s="243" t="str">
        <f>IF(I59="","",INDEX(Results!T:T,MATCH(A59,Results!V:V,0)))</f>
        <v/>
      </c>
      <c r="G59" s="244" t="str">
        <f>IF(J59="","",INDEX(Results!AI:AI,MATCH(A59,Results!V:V,0)))</f>
        <v/>
      </c>
      <c r="H59" s="294">
        <f>IF(ISERROR(G59),0,1)</f>
        <v>1</v>
      </c>
      <c r="I59" s="331"/>
      <c r="J59" s="261"/>
      <c r="K59" s="262" t="e">
        <f>INDEX(Odds!G:G,MATCH(I59,Odds!E:E,0))</f>
        <v>#N/A</v>
      </c>
      <c r="L59" s="270" t="e">
        <f>INDEX(Odds!H:H,MATCH(I59,Odds!E:E,0))</f>
        <v>#N/A</v>
      </c>
      <c r="M59" s="264" t="e">
        <f t="shared" si="5"/>
        <v>#N/A</v>
      </c>
      <c r="N59" s="51"/>
      <c r="O59" s="66"/>
      <c r="Q59" s="42" t="str">
        <f>IF(Odds!E59="","",Odds!E59)</f>
        <v>Luton draw</v>
      </c>
      <c r="R59" s="43" t="str">
        <f>INDEX(Odds!F:F,MATCH(Q59,Odds!E:E,0))</f>
        <v>4/1</v>
      </c>
      <c r="S59" s="47">
        <f t="shared" si="6"/>
        <v>0</v>
      </c>
    </row>
    <row r="60" spans="1:19" x14ac:dyDescent="0.25">
      <c r="A60" s="324" t="str">
        <f>A59</f>
        <v>Gareth Fallows</v>
      </c>
      <c r="B60" s="245" t="str">
        <f t="shared" si="1"/>
        <v/>
      </c>
      <c r="C60" s="246" t="str">
        <f t="shared" si="2"/>
        <v/>
      </c>
      <c r="D60" s="247" t="str">
        <f t="shared" si="3"/>
        <v/>
      </c>
      <c r="E60" s="248" t="str">
        <f t="shared" si="4"/>
        <v/>
      </c>
      <c r="F60" s="256"/>
      <c r="G60" s="257"/>
      <c r="H60" s="294"/>
      <c r="I60" s="331"/>
      <c r="J60" s="265"/>
      <c r="K60" s="266" t="e">
        <f>INDEX(Odds!G:G,MATCH(I60,Odds!E:E,0))</f>
        <v>#N/A</v>
      </c>
      <c r="L60" s="263" t="e">
        <f>INDEX(Odds!H:H,MATCH(I60,Odds!E:E,0))</f>
        <v>#N/A</v>
      </c>
      <c r="M60" s="264" t="e">
        <f t="shared" si="5"/>
        <v>#N/A</v>
      </c>
      <c r="N60" s="51"/>
      <c r="O60" s="66"/>
      <c r="Q60" s="42" t="str">
        <f>IF(Odds!E60="","",Odds!E60)</f>
        <v>Peterborough draw</v>
      </c>
      <c r="R60" s="43" t="str">
        <f>INDEX(Odds!F:F,MATCH(Q60,Odds!E:E,0))</f>
        <v>5/2</v>
      </c>
      <c r="S60" s="47">
        <f t="shared" si="6"/>
        <v>0</v>
      </c>
    </row>
    <row r="61" spans="1:19" ht="13.8" thickBot="1" x14ac:dyDescent="0.3">
      <c r="A61" s="325" t="str">
        <f>A59</f>
        <v>Gareth Fallows</v>
      </c>
      <c r="B61" s="251" t="str">
        <f t="shared" si="1"/>
        <v/>
      </c>
      <c r="C61" s="252" t="str">
        <f t="shared" si="2"/>
        <v/>
      </c>
      <c r="D61" s="253" t="str">
        <f t="shared" si="3"/>
        <v/>
      </c>
      <c r="E61" s="248" t="str">
        <f t="shared" si="4"/>
        <v/>
      </c>
      <c r="F61" s="256"/>
      <c r="G61" s="257"/>
      <c r="H61" s="294"/>
      <c r="I61" s="332"/>
      <c r="J61" s="267"/>
      <c r="K61" s="268" t="e">
        <f>INDEX(Odds!G:G,MATCH(I61,Odds!E:E,0))</f>
        <v>#N/A</v>
      </c>
      <c r="L61" s="263" t="e">
        <f>INDEX(Odds!H:H,MATCH(I61,Odds!E:E,0))</f>
        <v>#N/A</v>
      </c>
      <c r="M61" s="269" t="e">
        <f t="shared" si="5"/>
        <v>#N/A</v>
      </c>
      <c r="N61" s="51"/>
      <c r="O61" s="66"/>
      <c r="Q61" s="42" t="str">
        <f>IF(Odds!E61="","",Odds!E61)</f>
        <v>Plymouth draw</v>
      </c>
      <c r="R61" s="43" t="str">
        <f>INDEX(Odds!F:F,MATCH(Q61,Odds!E:E,0))</f>
        <v>12/5</v>
      </c>
      <c r="S61" s="47">
        <f t="shared" si="6"/>
        <v>0</v>
      </c>
    </row>
    <row r="62" spans="1:19" ht="14.4" thickTop="1" thickBot="1" x14ac:dyDescent="0.3">
      <c r="A62" s="238" t="str">
        <f>Results!B62</f>
        <v>Gareth Powell</v>
      </c>
      <c r="B62" s="254" t="str">
        <f t="shared" si="1"/>
        <v/>
      </c>
      <c r="C62" s="246" t="str">
        <f t="shared" si="2"/>
        <v/>
      </c>
      <c r="D62" s="241" t="str">
        <f t="shared" si="3"/>
        <v/>
      </c>
      <c r="E62" s="255" t="str">
        <f t="shared" si="4"/>
        <v/>
      </c>
      <c r="F62" s="243" t="str">
        <f>IF(I62="","",INDEX(Results!T:T,MATCH(A62,Results!V:V,0)))</f>
        <v/>
      </c>
      <c r="G62" s="244" t="str">
        <f>IF(J62="","",INDEX(Results!AI:AI,MATCH(A62,Results!V:V,0)))</f>
        <v/>
      </c>
      <c r="H62" s="294">
        <f>IF(ISERROR(G62),0,1)</f>
        <v>1</v>
      </c>
      <c r="I62" s="331"/>
      <c r="J62" s="261"/>
      <c r="K62" s="262" t="e">
        <f>INDEX(Odds!G:G,MATCH(I62,Odds!E:E,0))</f>
        <v>#N/A</v>
      </c>
      <c r="L62" s="270" t="e">
        <f>INDEX(Odds!H:H,MATCH(I62,Odds!E:E,0))</f>
        <v>#N/A</v>
      </c>
      <c r="M62" s="264" t="e">
        <f t="shared" si="5"/>
        <v>#N/A</v>
      </c>
      <c r="N62" s="51"/>
      <c r="O62" s="66"/>
      <c r="Q62" s="42" t="str">
        <f>IF(Odds!E62="","",Odds!E62)</f>
        <v>Portsmouth draw</v>
      </c>
      <c r="R62" s="43" t="str">
        <f>INDEX(Odds!F:F,MATCH(Q62,Odds!E:E,0))</f>
        <v>4/1</v>
      </c>
      <c r="S62" s="47">
        <f t="shared" si="6"/>
        <v>1</v>
      </c>
    </row>
    <row r="63" spans="1:19" x14ac:dyDescent="0.25">
      <c r="A63" s="324" t="str">
        <f>A62</f>
        <v>Gareth Powell</v>
      </c>
      <c r="B63" s="245" t="str">
        <f t="shared" si="1"/>
        <v/>
      </c>
      <c r="C63" s="246" t="str">
        <f t="shared" si="2"/>
        <v/>
      </c>
      <c r="D63" s="247" t="str">
        <f t="shared" si="3"/>
        <v/>
      </c>
      <c r="E63" s="248" t="str">
        <f t="shared" si="4"/>
        <v/>
      </c>
      <c r="F63" s="256"/>
      <c r="G63" s="257"/>
      <c r="H63" s="294"/>
      <c r="I63" s="331"/>
      <c r="J63" s="265"/>
      <c r="K63" s="266" t="e">
        <f>INDEX(Odds!G:G,MATCH(I63,Odds!E:E,0))</f>
        <v>#N/A</v>
      </c>
      <c r="L63" s="263" t="e">
        <f>INDEX(Odds!H:H,MATCH(I63,Odds!E:E,0))</f>
        <v>#N/A</v>
      </c>
      <c r="M63" s="264" t="e">
        <f t="shared" si="5"/>
        <v>#N/A</v>
      </c>
      <c r="N63" s="51"/>
      <c r="O63" s="66"/>
      <c r="Q63" s="42" t="str">
        <f>IF(Odds!E63="","",Odds!E63)</f>
        <v>Shrewsbury draw</v>
      </c>
      <c r="R63" s="43" t="str">
        <f>INDEX(Odds!F:F,MATCH(Q63,Odds!E:E,0))</f>
        <v>23/10</v>
      </c>
      <c r="S63" s="47">
        <f t="shared" si="6"/>
        <v>1</v>
      </c>
    </row>
    <row r="64" spans="1:19" ht="13.8" thickBot="1" x14ac:dyDescent="0.3">
      <c r="A64" s="325" t="str">
        <f>A62</f>
        <v>Gareth Powell</v>
      </c>
      <c r="B64" s="251" t="str">
        <f t="shared" si="1"/>
        <v/>
      </c>
      <c r="C64" s="252" t="str">
        <f t="shared" si="2"/>
        <v/>
      </c>
      <c r="D64" s="253" t="str">
        <f t="shared" si="3"/>
        <v/>
      </c>
      <c r="E64" s="248" t="str">
        <f t="shared" si="4"/>
        <v/>
      </c>
      <c r="F64" s="256"/>
      <c r="G64" s="257"/>
      <c r="H64" s="294"/>
      <c r="I64" s="332"/>
      <c r="J64" s="267"/>
      <c r="K64" s="268" t="e">
        <f>INDEX(Odds!G:G,MATCH(I64,Odds!E:E,0))</f>
        <v>#N/A</v>
      </c>
      <c r="L64" s="263" t="e">
        <f>INDEX(Odds!H:H,MATCH(I64,Odds!E:E,0))</f>
        <v>#N/A</v>
      </c>
      <c r="M64" s="269" t="e">
        <f t="shared" si="5"/>
        <v>#N/A</v>
      </c>
      <c r="N64" s="51"/>
      <c r="O64" s="66"/>
      <c r="Q64" s="42" t="str">
        <f>IF(Odds!E64="","",Odds!E64)</f>
        <v>Southend draw</v>
      </c>
      <c r="R64" s="43" t="str">
        <f>INDEX(Odds!F:F,MATCH(Q64,Odds!E:E,0))</f>
        <v>12/5</v>
      </c>
      <c r="S64" s="47">
        <f t="shared" si="6"/>
        <v>0</v>
      </c>
    </row>
    <row r="65" spans="1:19" ht="14.4" thickTop="1" thickBot="1" x14ac:dyDescent="0.3">
      <c r="A65" s="238" t="str">
        <f>Results!B65</f>
        <v>Gerard Ventom</v>
      </c>
      <c r="B65" s="254" t="str">
        <f t="shared" si="1"/>
        <v/>
      </c>
      <c r="C65" s="246" t="str">
        <f t="shared" si="2"/>
        <v/>
      </c>
      <c r="D65" s="241" t="str">
        <f t="shared" si="3"/>
        <v/>
      </c>
      <c r="E65" s="255" t="str">
        <f t="shared" si="4"/>
        <v/>
      </c>
      <c r="F65" s="243" t="str">
        <f>IF(I65="","",INDEX(Results!T:T,MATCH(A65,Results!V:V,0)))</f>
        <v/>
      </c>
      <c r="G65" s="244" t="str">
        <f>IF(J65="","",INDEX(Results!AI:AI,MATCH(A65,Results!V:V,0)))</f>
        <v/>
      </c>
      <c r="H65" s="294">
        <f>IF(ISERROR(G65),0,1)</f>
        <v>1</v>
      </c>
      <c r="I65" s="331"/>
      <c r="J65" s="261"/>
      <c r="K65" s="262" t="e">
        <f>INDEX(Odds!G:G,MATCH(I65,Odds!E:E,0))</f>
        <v>#N/A</v>
      </c>
      <c r="L65" s="270" t="e">
        <f>INDEX(Odds!H:H,MATCH(I65,Odds!E:E,0))</f>
        <v>#N/A</v>
      </c>
      <c r="M65" s="264" t="e">
        <f t="shared" si="5"/>
        <v>#N/A</v>
      </c>
      <c r="N65" s="51"/>
      <c r="O65" s="66"/>
      <c r="Q65" s="42" t="str">
        <f>IF(Odds!E65="","",Odds!E65)</f>
        <v>Wycombe draw</v>
      </c>
      <c r="R65" s="43" t="str">
        <f>INDEX(Odds!F:F,MATCH(Q65,Odds!E:E,0))</f>
        <v>23/10</v>
      </c>
      <c r="S65" s="47">
        <f t="shared" si="6"/>
        <v>0</v>
      </c>
    </row>
    <row r="66" spans="1:19" x14ac:dyDescent="0.25">
      <c r="A66" s="324" t="str">
        <f>A65</f>
        <v>Gerard Ventom</v>
      </c>
      <c r="B66" s="245" t="str">
        <f t="shared" si="1"/>
        <v/>
      </c>
      <c r="C66" s="246" t="str">
        <f t="shared" si="2"/>
        <v/>
      </c>
      <c r="D66" s="247" t="str">
        <f t="shared" si="3"/>
        <v/>
      </c>
      <c r="E66" s="248" t="str">
        <f t="shared" si="4"/>
        <v/>
      </c>
      <c r="F66" s="256"/>
      <c r="G66" s="257"/>
      <c r="H66" s="294"/>
      <c r="I66" s="331"/>
      <c r="J66" s="265"/>
      <c r="K66" s="266" t="e">
        <f>INDEX(Odds!G:G,MATCH(I66,Odds!E:E,0))</f>
        <v>#N/A</v>
      </c>
      <c r="L66" s="263" t="e">
        <f>INDEX(Odds!H:H,MATCH(I66,Odds!E:E,0))</f>
        <v>#N/A</v>
      </c>
      <c r="M66" s="264" t="e">
        <f t="shared" si="5"/>
        <v>#N/A</v>
      </c>
      <c r="N66" s="51"/>
      <c r="O66" s="66"/>
      <c r="Q66" s="42" t="str">
        <f>IF(Odds!E66="","",Odds!E66)</f>
        <v>Bury draw</v>
      </c>
      <c r="R66" s="43" t="str">
        <f>INDEX(Odds!F:F,MATCH(Q66,Odds!E:E,0))</f>
        <v>10/3</v>
      </c>
      <c r="S66" s="47">
        <f t="shared" si="6"/>
        <v>1</v>
      </c>
    </row>
    <row r="67" spans="1:19" ht="13.8" thickBot="1" x14ac:dyDescent="0.3">
      <c r="A67" s="325" t="str">
        <f>A65</f>
        <v>Gerard Ventom</v>
      </c>
      <c r="B67" s="251" t="str">
        <f t="shared" ref="B67:B130" si="7">IF(I67="","",I67)</f>
        <v/>
      </c>
      <c r="C67" s="252" t="str">
        <f t="shared" ref="C67:C130" si="8">IF(I67="","",J67)</f>
        <v/>
      </c>
      <c r="D67" s="253" t="str">
        <f t="shared" ref="D67:D130" si="9">IF(I67="","",K67)</f>
        <v/>
      </c>
      <c r="E67" s="248" t="str">
        <f t="shared" ref="E67:E130" si="10">IF(I67="","",IF(L67=1,"Correct",""))</f>
        <v/>
      </c>
      <c r="F67" s="256"/>
      <c r="G67" s="257"/>
      <c r="H67" s="294"/>
      <c r="I67" s="332"/>
      <c r="J67" s="267"/>
      <c r="K67" s="268" t="e">
        <f>INDEX(Odds!G:G,MATCH(I67,Odds!E:E,0))</f>
        <v>#N/A</v>
      </c>
      <c r="L67" s="263" t="e">
        <f>INDEX(Odds!H:H,MATCH(I67,Odds!E:E,0))</f>
        <v>#N/A</v>
      </c>
      <c r="M67" s="269" t="e">
        <f t="shared" si="5"/>
        <v>#N/A</v>
      </c>
      <c r="N67" s="51"/>
      <c r="O67" s="66"/>
      <c r="Q67" s="42" t="str">
        <f>IF(Odds!E67="","",Odds!E67)</f>
        <v>Crawley draw</v>
      </c>
      <c r="R67" s="43" t="str">
        <f>INDEX(Odds!F:F,MATCH(Q67,Odds!E:E,0))</f>
        <v>13/5</v>
      </c>
      <c r="S67" s="47">
        <f t="shared" si="6"/>
        <v>0</v>
      </c>
    </row>
    <row r="68" spans="1:19" ht="14.4" thickTop="1" thickBot="1" x14ac:dyDescent="0.3">
      <c r="A68" s="238" t="str">
        <f>Results!B68</f>
        <v>Graeme Holmes</v>
      </c>
      <c r="B68" s="254" t="str">
        <f t="shared" si="7"/>
        <v/>
      </c>
      <c r="C68" s="246" t="str">
        <f t="shared" si="8"/>
        <v/>
      </c>
      <c r="D68" s="241" t="str">
        <f t="shared" si="9"/>
        <v/>
      </c>
      <c r="E68" s="255" t="str">
        <f t="shared" si="10"/>
        <v/>
      </c>
      <c r="F68" s="243" t="str">
        <f>IF(I68="","",INDEX(Results!T:T,MATCH(A68,Results!V:V,0)))</f>
        <v/>
      </c>
      <c r="G68" s="244" t="str">
        <f>IF(J68="","",INDEX(Results!AI:AI,MATCH(A68,Results!V:V,0)))</f>
        <v/>
      </c>
      <c r="H68" s="294">
        <f>IF(ISERROR(G68),0,1)</f>
        <v>1</v>
      </c>
      <c r="I68" s="331"/>
      <c r="J68" s="261"/>
      <c r="K68" s="262" t="e">
        <f>INDEX(Odds!G:G,MATCH(I68,Odds!E:E,0))</f>
        <v>#N/A</v>
      </c>
      <c r="L68" s="270" t="e">
        <f>INDEX(Odds!H:H,MATCH(I68,Odds!E:E,0))</f>
        <v>#N/A</v>
      </c>
      <c r="M68" s="264" t="e">
        <f t="shared" si="5"/>
        <v>#N/A</v>
      </c>
      <c r="N68" s="51"/>
      <c r="O68" s="66"/>
      <c r="Q68" s="42" t="str">
        <f>IF(Odds!E68="","",Odds!E68)</f>
        <v>Forest Green draw</v>
      </c>
      <c r="R68" s="43" t="str">
        <f>INDEX(Odds!F:F,MATCH(Q68,Odds!E:E,0))</f>
        <v>12/5</v>
      </c>
      <c r="S68" s="47">
        <f t="shared" si="6"/>
        <v>1</v>
      </c>
    </row>
    <row r="69" spans="1:19" x14ac:dyDescent="0.25">
      <c r="A69" s="324" t="str">
        <f>A68</f>
        <v>Graeme Holmes</v>
      </c>
      <c r="B69" s="245" t="str">
        <f t="shared" si="7"/>
        <v/>
      </c>
      <c r="C69" s="246" t="str">
        <f t="shared" si="8"/>
        <v/>
      </c>
      <c r="D69" s="247" t="str">
        <f t="shared" si="9"/>
        <v/>
      </c>
      <c r="E69" s="248" t="str">
        <f t="shared" si="10"/>
        <v/>
      </c>
      <c r="F69" s="256"/>
      <c r="G69" s="257"/>
      <c r="H69" s="294"/>
      <c r="I69" s="331"/>
      <c r="J69" s="265"/>
      <c r="K69" s="266" t="e">
        <f>INDEX(Odds!G:G,MATCH(I69,Odds!E:E,0))</f>
        <v>#N/A</v>
      </c>
      <c r="L69" s="263" t="e">
        <f>INDEX(Odds!H:H,MATCH(I69,Odds!E:E,0))</f>
        <v>#N/A</v>
      </c>
      <c r="M69" s="264" t="e">
        <f t="shared" ref="M69:M132" si="11">K69*L69</f>
        <v>#N/A</v>
      </c>
      <c r="N69" s="51"/>
      <c r="O69" s="66"/>
      <c r="Q69" s="42" t="str">
        <f>IF(Odds!E69="","",Odds!E69)</f>
        <v>Grimsby draw</v>
      </c>
      <c r="R69" s="43" t="str">
        <f>INDEX(Odds!F:F,MATCH(Q69,Odds!E:E,0))</f>
        <v>13/5</v>
      </c>
      <c r="S69" s="47">
        <f t="shared" si="6"/>
        <v>0</v>
      </c>
    </row>
    <row r="70" spans="1:19" ht="13.8" thickBot="1" x14ac:dyDescent="0.3">
      <c r="A70" s="325" t="str">
        <f>A68</f>
        <v>Graeme Holmes</v>
      </c>
      <c r="B70" s="251" t="str">
        <f t="shared" si="7"/>
        <v/>
      </c>
      <c r="C70" s="252" t="str">
        <f t="shared" si="8"/>
        <v/>
      </c>
      <c r="D70" s="253" t="str">
        <f t="shared" si="9"/>
        <v/>
      </c>
      <c r="E70" s="248" t="str">
        <f t="shared" si="10"/>
        <v/>
      </c>
      <c r="F70" s="256"/>
      <c r="G70" s="257"/>
      <c r="H70" s="294"/>
      <c r="I70" s="332"/>
      <c r="J70" s="267"/>
      <c r="K70" s="268" t="e">
        <f>INDEX(Odds!G:G,MATCH(I70,Odds!E:E,0))</f>
        <v>#N/A</v>
      </c>
      <c r="L70" s="263" t="e">
        <f>INDEX(Odds!H:H,MATCH(I70,Odds!E:E,0))</f>
        <v>#N/A</v>
      </c>
      <c r="M70" s="269" t="e">
        <f t="shared" si="11"/>
        <v>#N/A</v>
      </c>
      <c r="N70" s="51"/>
      <c r="O70" s="66"/>
      <c r="Q70" s="42" t="str">
        <f>IF(Odds!E70="","",Odds!E70)</f>
        <v>Lincoln draw</v>
      </c>
      <c r="R70" s="43" t="str">
        <f>INDEX(Odds!F:F,MATCH(Q70,Odds!E:E,0))</f>
        <v>12/5</v>
      </c>
      <c r="S70" s="47">
        <f t="shared" si="6"/>
        <v>0</v>
      </c>
    </row>
    <row r="71" spans="1:19" ht="14.4" thickTop="1" thickBot="1" x14ac:dyDescent="0.3">
      <c r="A71" s="238" t="str">
        <f>Results!B71</f>
        <v>Graham Miller</v>
      </c>
      <c r="B71" s="254" t="str">
        <f t="shared" si="7"/>
        <v/>
      </c>
      <c r="C71" s="246" t="str">
        <f t="shared" si="8"/>
        <v/>
      </c>
      <c r="D71" s="241" t="str">
        <f t="shared" si="9"/>
        <v/>
      </c>
      <c r="E71" s="255" t="str">
        <f t="shared" si="10"/>
        <v/>
      </c>
      <c r="F71" s="243" t="str">
        <f>IF(I71="","",INDEX(Results!T:T,MATCH(A71,Results!V:V,0)))</f>
        <v/>
      </c>
      <c r="G71" s="244" t="str">
        <f>IF(J71="","",INDEX(Results!AI:AI,MATCH(A71,Results!V:V,0)))</f>
        <v/>
      </c>
      <c r="H71" s="294">
        <f>IF(ISERROR(G71),0,1)</f>
        <v>1</v>
      </c>
      <c r="I71" s="331"/>
      <c r="J71" s="261"/>
      <c r="K71" s="262" t="e">
        <f>INDEX(Odds!G:G,MATCH(I71,Odds!E:E,0))</f>
        <v>#N/A</v>
      </c>
      <c r="L71" s="270" t="e">
        <f>INDEX(Odds!H:H,MATCH(I71,Odds!E:E,0))</f>
        <v>#N/A</v>
      </c>
      <c r="M71" s="264" t="e">
        <f t="shared" si="11"/>
        <v>#N/A</v>
      </c>
      <c r="N71" s="51"/>
      <c r="O71" s="66"/>
      <c r="Q71" s="42" t="str">
        <f>IF(Odds!E71="","",Odds!E71)</f>
        <v>Macclesfield draw</v>
      </c>
      <c r="R71" s="43" t="str">
        <f>INDEX(Odds!F:F,MATCH(Q71,Odds!E:E,0))</f>
        <v>9/4</v>
      </c>
      <c r="S71" s="47">
        <f t="shared" si="6"/>
        <v>1</v>
      </c>
    </row>
    <row r="72" spans="1:19" x14ac:dyDescent="0.25">
      <c r="A72" s="324" t="str">
        <f>A71</f>
        <v>Graham Miller</v>
      </c>
      <c r="B72" s="245" t="str">
        <f t="shared" si="7"/>
        <v/>
      </c>
      <c r="C72" s="246" t="str">
        <f t="shared" si="8"/>
        <v/>
      </c>
      <c r="D72" s="247" t="str">
        <f t="shared" si="9"/>
        <v/>
      </c>
      <c r="E72" s="248" t="str">
        <f t="shared" si="10"/>
        <v/>
      </c>
      <c r="F72" s="256"/>
      <c r="G72" s="257"/>
      <c r="H72" s="294"/>
      <c r="I72" s="331"/>
      <c r="J72" s="265"/>
      <c r="K72" s="266" t="e">
        <f>INDEX(Odds!G:G,MATCH(I72,Odds!E:E,0))</f>
        <v>#N/A</v>
      </c>
      <c r="L72" s="263" t="e">
        <f>INDEX(Odds!H:H,MATCH(I72,Odds!E:E,0))</f>
        <v>#N/A</v>
      </c>
      <c r="M72" s="264" t="e">
        <f t="shared" si="11"/>
        <v>#N/A</v>
      </c>
      <c r="N72" s="51"/>
      <c r="O72" s="66"/>
      <c r="Q72" s="42" t="str">
        <f>IF(Odds!E72="","",Odds!E72)</f>
        <v>MK Dons draw</v>
      </c>
      <c r="R72" s="43" t="str">
        <f>INDEX(Odds!F:F,MATCH(Q72,Odds!E:E,0))</f>
        <v>23/10</v>
      </c>
      <c r="S72" s="47">
        <f t="shared" si="6"/>
        <v>0</v>
      </c>
    </row>
    <row r="73" spans="1:19" ht="13.8" thickBot="1" x14ac:dyDescent="0.3">
      <c r="A73" s="325" t="str">
        <f>A71</f>
        <v>Graham Miller</v>
      </c>
      <c r="B73" s="251" t="str">
        <f t="shared" si="7"/>
        <v/>
      </c>
      <c r="C73" s="252" t="str">
        <f t="shared" si="8"/>
        <v/>
      </c>
      <c r="D73" s="253" t="str">
        <f t="shared" si="9"/>
        <v/>
      </c>
      <c r="E73" s="248" t="str">
        <f t="shared" si="10"/>
        <v/>
      </c>
      <c r="F73" s="256"/>
      <c r="G73" s="257"/>
      <c r="H73" s="294"/>
      <c r="I73" s="332"/>
      <c r="J73" s="267"/>
      <c r="K73" s="268" t="e">
        <f>INDEX(Odds!G:G,MATCH(I73,Odds!E:E,0))</f>
        <v>#N/A</v>
      </c>
      <c r="L73" s="263" t="e">
        <f>INDEX(Odds!H:H,MATCH(I73,Odds!E:E,0))</f>
        <v>#N/A</v>
      </c>
      <c r="M73" s="269" t="e">
        <f t="shared" si="11"/>
        <v>#N/A</v>
      </c>
      <c r="N73" s="51"/>
      <c r="O73" s="66"/>
      <c r="Q73" s="42" t="str">
        <f>IF(Odds!E73="","",Odds!E73)</f>
        <v>Morecambe draw</v>
      </c>
      <c r="R73" s="43" t="str">
        <f>INDEX(Odds!F:F,MATCH(Q73,Odds!E:E,0))</f>
        <v>13/5</v>
      </c>
      <c r="S73" s="47">
        <f t="shared" si="6"/>
        <v>1</v>
      </c>
    </row>
    <row r="74" spans="1:19" ht="14.4" thickTop="1" thickBot="1" x14ac:dyDescent="0.3">
      <c r="A74" s="238" t="str">
        <f>Results!B74</f>
        <v>Howard Bradley</v>
      </c>
      <c r="B74" s="254" t="str">
        <f t="shared" si="7"/>
        <v/>
      </c>
      <c r="C74" s="246" t="str">
        <f t="shared" si="8"/>
        <v/>
      </c>
      <c r="D74" s="241" t="str">
        <f t="shared" si="9"/>
        <v/>
      </c>
      <c r="E74" s="255" t="str">
        <f t="shared" si="10"/>
        <v/>
      </c>
      <c r="F74" s="243" t="str">
        <f>IF(I74="","",INDEX(Results!T:T,MATCH(A74,Results!V:V,0)))</f>
        <v/>
      </c>
      <c r="G74" s="244" t="str">
        <f>IF(J74="","",INDEX(Results!AI:AI,MATCH(A74,Results!V:V,0)))</f>
        <v/>
      </c>
      <c r="H74" s="294">
        <f>IF(ISERROR(G74),0,1)</f>
        <v>1</v>
      </c>
      <c r="I74" s="331"/>
      <c r="J74" s="261"/>
      <c r="K74" s="262" t="e">
        <f>INDEX(Odds!G:G,MATCH(I74,Odds!E:E,0))</f>
        <v>#N/A</v>
      </c>
      <c r="L74" s="270" t="e">
        <f>INDEX(Odds!H:H,MATCH(I74,Odds!E:E,0))</f>
        <v>#N/A</v>
      </c>
      <c r="M74" s="264" t="e">
        <f t="shared" si="11"/>
        <v>#N/A</v>
      </c>
      <c r="N74" s="51"/>
      <c r="O74" s="66"/>
      <c r="Q74" s="42" t="str">
        <f>IF(Odds!E74="","",Odds!E74)</f>
        <v>Oldham draw</v>
      </c>
      <c r="R74" s="43" t="str">
        <f>INDEX(Odds!F:F,MATCH(Q74,Odds!E:E,0))</f>
        <v>13/5</v>
      </c>
      <c r="S74" s="47">
        <f t="shared" si="6"/>
        <v>0</v>
      </c>
    </row>
    <row r="75" spans="1:19" x14ac:dyDescent="0.25">
      <c r="A75" s="324" t="str">
        <f>A74</f>
        <v>Howard Bradley</v>
      </c>
      <c r="B75" s="245" t="str">
        <f t="shared" si="7"/>
        <v/>
      </c>
      <c r="C75" s="246" t="str">
        <f t="shared" si="8"/>
        <v/>
      </c>
      <c r="D75" s="247" t="str">
        <f t="shared" si="9"/>
        <v/>
      </c>
      <c r="E75" s="248" t="str">
        <f t="shared" si="10"/>
        <v/>
      </c>
      <c r="F75" s="256"/>
      <c r="G75" s="257"/>
      <c r="H75" s="294"/>
      <c r="I75" s="331"/>
      <c r="J75" s="265"/>
      <c r="K75" s="266" t="e">
        <f>INDEX(Odds!G:G,MATCH(I75,Odds!E:E,0))</f>
        <v>#N/A</v>
      </c>
      <c r="L75" s="263" t="e">
        <f>INDEX(Odds!H:H,MATCH(I75,Odds!E:E,0))</f>
        <v>#N/A</v>
      </c>
      <c r="M75" s="264" t="e">
        <f t="shared" si="11"/>
        <v>#N/A</v>
      </c>
      <c r="N75" s="51"/>
      <c r="O75" s="66"/>
      <c r="Q75" s="42" t="str">
        <f>IF(Odds!E75="","",Odds!E75)</f>
        <v>Stevenage draw</v>
      </c>
      <c r="R75" s="43" t="str">
        <f>INDEX(Odds!F:F,MATCH(Q75,Odds!E:E,0))</f>
        <v>16/5</v>
      </c>
      <c r="S75" s="47">
        <f t="shared" si="6"/>
        <v>0</v>
      </c>
    </row>
    <row r="76" spans="1:19" ht="13.8" thickBot="1" x14ac:dyDescent="0.3">
      <c r="A76" s="325" t="str">
        <f>A74</f>
        <v>Howard Bradley</v>
      </c>
      <c r="B76" s="251" t="str">
        <f t="shared" si="7"/>
        <v/>
      </c>
      <c r="C76" s="252" t="str">
        <f t="shared" si="8"/>
        <v/>
      </c>
      <c r="D76" s="253" t="str">
        <f t="shared" si="9"/>
        <v/>
      </c>
      <c r="E76" s="248" t="str">
        <f t="shared" si="10"/>
        <v/>
      </c>
      <c r="F76" s="256"/>
      <c r="G76" s="257"/>
      <c r="H76" s="294"/>
      <c r="I76" s="332"/>
      <c r="J76" s="267"/>
      <c r="K76" s="268" t="e">
        <f>INDEX(Odds!G:G,MATCH(I76,Odds!E:E,0))</f>
        <v>#N/A</v>
      </c>
      <c r="L76" s="263" t="e">
        <f>INDEX(Odds!H:H,MATCH(I76,Odds!E:E,0))</f>
        <v>#N/A</v>
      </c>
      <c r="M76" s="269" t="e">
        <f t="shared" si="11"/>
        <v>#N/A</v>
      </c>
      <c r="N76" s="51"/>
      <c r="O76" s="66"/>
      <c r="Q76" s="42" t="str">
        <f>IF(Odds!E76="","",Odds!E76)</f>
        <v>Swindon draw</v>
      </c>
      <c r="R76" s="43" t="str">
        <f>INDEX(Odds!F:F,MATCH(Q76,Odds!E:E,0))</f>
        <v>12/5</v>
      </c>
      <c r="S76" s="47">
        <f t="shared" si="6"/>
        <v>0</v>
      </c>
    </row>
    <row r="77" spans="1:19" ht="14.4" thickTop="1" thickBot="1" x14ac:dyDescent="0.3">
      <c r="A77" s="238" t="str">
        <f>Results!B77</f>
        <v>Ian Davies</v>
      </c>
      <c r="B77" s="254" t="str">
        <f t="shared" si="7"/>
        <v/>
      </c>
      <c r="C77" s="246" t="str">
        <f t="shared" si="8"/>
        <v/>
      </c>
      <c r="D77" s="241" t="str">
        <f t="shared" si="9"/>
        <v/>
      </c>
      <c r="E77" s="255" t="str">
        <f t="shared" si="10"/>
        <v/>
      </c>
      <c r="F77" s="243" t="str">
        <f>IF(I77="","",INDEX(Results!T:T,MATCH(A77,Results!V:V,0)))</f>
        <v/>
      </c>
      <c r="G77" s="244" t="str">
        <f>IF(J77="","",INDEX(Results!AI:AI,MATCH(A77,Results!V:V,0)))</f>
        <v/>
      </c>
      <c r="H77" s="294">
        <f>IF(ISERROR(G77),0,1)</f>
        <v>1</v>
      </c>
      <c r="I77" s="331"/>
      <c r="J77" s="261"/>
      <c r="K77" s="262" t="e">
        <f>INDEX(Odds!G:G,MATCH(I77,Odds!E:E,0))</f>
        <v>#N/A</v>
      </c>
      <c r="L77" s="270" t="e">
        <f>INDEX(Odds!H:H,MATCH(I77,Odds!E:E,0))</f>
        <v>#N/A</v>
      </c>
      <c r="M77" s="264" t="e">
        <f t="shared" si="11"/>
        <v>#N/A</v>
      </c>
      <c r="N77" s="51"/>
      <c r="O77" s="66"/>
      <c r="Q77" s="42" t="str">
        <f>IF(Odds!E77="","",Odds!E77)</f>
        <v>Yeovil draw</v>
      </c>
      <c r="R77" s="43" t="str">
        <f>INDEX(Odds!F:F,MATCH(Q77,Odds!E:E,0))</f>
        <v>13/5</v>
      </c>
      <c r="S77" s="47">
        <f t="shared" si="6"/>
        <v>1</v>
      </c>
    </row>
    <row r="78" spans="1:19" x14ac:dyDescent="0.25">
      <c r="A78" s="324" t="str">
        <f>A77</f>
        <v>Ian Davies</v>
      </c>
      <c r="B78" s="245" t="str">
        <f t="shared" si="7"/>
        <v/>
      </c>
      <c r="C78" s="246" t="str">
        <f t="shared" si="8"/>
        <v/>
      </c>
      <c r="D78" s="247" t="str">
        <f t="shared" si="9"/>
        <v/>
      </c>
      <c r="E78" s="248" t="str">
        <f t="shared" si="10"/>
        <v/>
      </c>
      <c r="F78" s="256"/>
      <c r="G78" s="257"/>
      <c r="H78" s="294"/>
      <c r="I78" s="331"/>
      <c r="J78" s="265"/>
      <c r="K78" s="266" t="e">
        <f>INDEX(Odds!G:G,MATCH(I78,Odds!E:E,0))</f>
        <v>#N/A</v>
      </c>
      <c r="L78" s="263" t="e">
        <f>INDEX(Odds!H:H,MATCH(I78,Odds!E:E,0))</f>
        <v>#N/A</v>
      </c>
      <c r="M78" s="264" t="e">
        <f t="shared" si="11"/>
        <v>#N/A</v>
      </c>
      <c r="N78" s="51"/>
      <c r="O78" s="66"/>
      <c r="Q78" s="42" t="str">
        <f>IF(Odds!E78="","",Odds!E78)</f>
        <v>Arsenal draw</v>
      </c>
      <c r="R78" s="43" t="str">
        <f>INDEX(Odds!F:F,MATCH(Q78,Odds!E:E,0))</f>
        <v>19/5</v>
      </c>
      <c r="S78" s="47">
        <f t="shared" si="6"/>
        <v>1</v>
      </c>
    </row>
    <row r="79" spans="1:19" ht="13.8" thickBot="1" x14ac:dyDescent="0.3">
      <c r="A79" s="325" t="str">
        <f>A77</f>
        <v>Ian Davies</v>
      </c>
      <c r="B79" s="251" t="str">
        <f t="shared" si="7"/>
        <v/>
      </c>
      <c r="C79" s="252" t="str">
        <f t="shared" si="8"/>
        <v/>
      </c>
      <c r="D79" s="253" t="str">
        <f t="shared" si="9"/>
        <v/>
      </c>
      <c r="E79" s="248" t="str">
        <f t="shared" si="10"/>
        <v/>
      </c>
      <c r="F79" s="256"/>
      <c r="G79" s="257"/>
      <c r="H79" s="294"/>
      <c r="I79" s="332"/>
      <c r="J79" s="267"/>
      <c r="K79" s="268" t="e">
        <f>INDEX(Odds!G:G,MATCH(I79,Odds!E:E,0))</f>
        <v>#N/A</v>
      </c>
      <c r="L79" s="263" t="e">
        <f>INDEX(Odds!H:H,MATCH(I79,Odds!E:E,0))</f>
        <v>#N/A</v>
      </c>
      <c r="M79" s="269" t="e">
        <f t="shared" si="11"/>
        <v>#N/A</v>
      </c>
      <c r="N79" s="51"/>
      <c r="O79" s="66"/>
      <c r="Q79" s="42" t="str">
        <f>IF(Odds!E79="","",Odds!E79)</f>
        <v>Chelsea draw</v>
      </c>
      <c r="R79" s="43" t="str">
        <f>INDEX(Odds!F:F,MATCH(Q79,Odds!E:E,0))</f>
        <v>17/4</v>
      </c>
      <c r="S79" s="47">
        <f t="shared" si="6"/>
        <v>0</v>
      </c>
    </row>
    <row r="80" spans="1:19" ht="14.4" thickTop="1" thickBot="1" x14ac:dyDescent="0.3">
      <c r="A80" s="238" t="str">
        <f>Results!B80</f>
        <v>Jack Walsh</v>
      </c>
      <c r="B80" s="254" t="str">
        <f t="shared" si="7"/>
        <v/>
      </c>
      <c r="C80" s="246" t="str">
        <f t="shared" si="8"/>
        <v/>
      </c>
      <c r="D80" s="241" t="str">
        <f t="shared" si="9"/>
        <v/>
      </c>
      <c r="E80" s="255" t="str">
        <f t="shared" si="10"/>
        <v/>
      </c>
      <c r="F80" s="243" t="str">
        <f>IF(I80="","",INDEX(Results!T:T,MATCH(A80,Results!V:V,0)))</f>
        <v/>
      </c>
      <c r="G80" s="244" t="str">
        <f>IF(J80="","",INDEX(Results!AI:AI,MATCH(A80,Results!V:V,0)))</f>
        <v/>
      </c>
      <c r="H80" s="294">
        <f>IF(ISERROR(G80),0,1)</f>
        <v>1</v>
      </c>
      <c r="I80" s="331"/>
      <c r="J80" s="261"/>
      <c r="K80" s="262" t="e">
        <f>INDEX(Odds!G:G,MATCH(I80,Odds!E:E,0))</f>
        <v>#N/A</v>
      </c>
      <c r="L80" s="270" t="e">
        <f>INDEX(Odds!H:H,MATCH(I80,Odds!E:E,0))</f>
        <v>#N/A</v>
      </c>
      <c r="M80" s="264" t="e">
        <f t="shared" si="11"/>
        <v>#N/A</v>
      </c>
      <c r="N80" s="51"/>
      <c r="O80" s="66"/>
      <c r="Q80" s="42" t="str">
        <f>IF(Odds!E80="","",Odds!E80)</f>
        <v>Huddersfield draw</v>
      </c>
      <c r="R80" s="43" t="str">
        <f>INDEX(Odds!F:F,MATCH(Q80,Odds!E:E,0))</f>
        <v>17/4</v>
      </c>
      <c r="S80" s="47">
        <f t="shared" si="6"/>
        <v>1</v>
      </c>
    </row>
    <row r="81" spans="1:19" x14ac:dyDescent="0.25">
      <c r="A81" s="324" t="str">
        <f>A80</f>
        <v>Jack Walsh</v>
      </c>
      <c r="B81" s="245" t="str">
        <f t="shared" si="7"/>
        <v/>
      </c>
      <c r="C81" s="246" t="str">
        <f t="shared" si="8"/>
        <v/>
      </c>
      <c r="D81" s="247" t="str">
        <f t="shared" si="9"/>
        <v/>
      </c>
      <c r="E81" s="248" t="str">
        <f t="shared" si="10"/>
        <v/>
      </c>
      <c r="F81" s="256"/>
      <c r="G81" s="257"/>
      <c r="H81" s="294"/>
      <c r="I81" s="331"/>
      <c r="J81" s="265"/>
      <c r="K81" s="266" t="e">
        <f>INDEX(Odds!G:G,MATCH(I81,Odds!E:E,0))</f>
        <v>#N/A</v>
      </c>
      <c r="L81" s="263" t="e">
        <f>INDEX(Odds!H:H,MATCH(I81,Odds!E:E,0))</f>
        <v>#N/A</v>
      </c>
      <c r="M81" s="264" t="e">
        <f t="shared" si="11"/>
        <v>#N/A</v>
      </c>
      <c r="N81" s="51"/>
      <c r="O81" s="66"/>
      <c r="Q81" s="42" t="str">
        <f>IF(Odds!E81="","",Odds!E81)</f>
        <v>Blackburn draw</v>
      </c>
      <c r="R81" s="43" t="str">
        <f>INDEX(Odds!F:F,MATCH(Q81,Odds!E:E,0))</f>
        <v>5/2</v>
      </c>
      <c r="S81" s="47">
        <f t="shared" si="6"/>
        <v>1</v>
      </c>
    </row>
    <row r="82" spans="1:19" ht="13.8" thickBot="1" x14ac:dyDescent="0.3">
      <c r="A82" s="325" t="str">
        <f>A80</f>
        <v>Jack Walsh</v>
      </c>
      <c r="B82" s="251" t="str">
        <f t="shared" si="7"/>
        <v/>
      </c>
      <c r="C82" s="252" t="str">
        <f t="shared" si="8"/>
        <v/>
      </c>
      <c r="D82" s="253" t="str">
        <f t="shared" si="9"/>
        <v/>
      </c>
      <c r="E82" s="248" t="str">
        <f t="shared" si="10"/>
        <v/>
      </c>
      <c r="F82" s="256"/>
      <c r="G82" s="257"/>
      <c r="H82" s="294"/>
      <c r="I82" s="332"/>
      <c r="J82" s="267"/>
      <c r="K82" s="268" t="e">
        <f>INDEX(Odds!G:G,MATCH(I82,Odds!E:E,0))</f>
        <v>#N/A</v>
      </c>
      <c r="L82" s="263" t="e">
        <f>INDEX(Odds!H:H,MATCH(I82,Odds!E:E,0))</f>
        <v>#N/A</v>
      </c>
      <c r="M82" s="269" t="e">
        <f t="shared" si="11"/>
        <v>#N/A</v>
      </c>
      <c r="N82" s="51"/>
      <c r="O82" s="66"/>
      <c r="Q82" s="42" t="str">
        <f>IF(Odds!E82="","",Odds!E82)</f>
        <v>Brentford draw</v>
      </c>
      <c r="R82" s="43" t="str">
        <f>INDEX(Odds!F:F,MATCH(Q82,Odds!E:E,0))</f>
        <v>5/2</v>
      </c>
      <c r="S82" s="47">
        <f t="shared" si="6"/>
        <v>0</v>
      </c>
    </row>
    <row r="83" spans="1:19" ht="14.4" thickTop="1" thickBot="1" x14ac:dyDescent="0.3">
      <c r="A83" s="238" t="str">
        <f>Results!B83</f>
        <v>James Bell</v>
      </c>
      <c r="B83" s="254" t="str">
        <f t="shared" si="7"/>
        <v/>
      </c>
      <c r="C83" s="246" t="str">
        <f t="shared" si="8"/>
        <v/>
      </c>
      <c r="D83" s="241" t="str">
        <f t="shared" si="9"/>
        <v/>
      </c>
      <c r="E83" s="255" t="str">
        <f t="shared" si="10"/>
        <v/>
      </c>
      <c r="F83" s="243" t="str">
        <f>IF(I83="","",INDEX(Results!T:T,MATCH(A83,Results!V:V,0)))</f>
        <v/>
      </c>
      <c r="G83" s="244" t="str">
        <f>IF(J83="","",INDEX(Results!AI:AI,MATCH(A83,Results!V:V,0)))</f>
        <v/>
      </c>
      <c r="H83" s="294">
        <f>IF(ISERROR(G83),0,1)</f>
        <v>1</v>
      </c>
      <c r="I83" s="331"/>
      <c r="J83" s="261"/>
      <c r="K83" s="262" t="e">
        <f>INDEX(Odds!G:G,MATCH(I83,Odds!E:E,0))</f>
        <v>#N/A</v>
      </c>
      <c r="L83" s="270" t="e">
        <f>INDEX(Odds!H:H,MATCH(I83,Odds!E:E,0))</f>
        <v>#N/A</v>
      </c>
      <c r="M83" s="264" t="e">
        <f t="shared" si="11"/>
        <v>#N/A</v>
      </c>
      <c r="N83" s="51"/>
      <c r="O83" s="66"/>
      <c r="Q83" s="42" t="str">
        <f>IF(Odds!E83="","",Odds!E83)</f>
        <v>Derby draw</v>
      </c>
      <c r="R83" s="43" t="str">
        <f>INDEX(Odds!F:F,MATCH(Q83,Odds!E:E,0))</f>
        <v>5/2</v>
      </c>
      <c r="S83" s="47">
        <f t="shared" si="6"/>
        <v>0</v>
      </c>
    </row>
    <row r="84" spans="1:19" x14ac:dyDescent="0.25">
      <c r="A84" s="324" t="str">
        <f>A83</f>
        <v>James Bell</v>
      </c>
      <c r="B84" s="245" t="str">
        <f t="shared" si="7"/>
        <v/>
      </c>
      <c r="C84" s="246" t="str">
        <f t="shared" si="8"/>
        <v/>
      </c>
      <c r="D84" s="247" t="str">
        <f t="shared" si="9"/>
        <v/>
      </c>
      <c r="E84" s="248" t="str">
        <f t="shared" si="10"/>
        <v/>
      </c>
      <c r="F84" s="256"/>
      <c r="G84" s="257"/>
      <c r="H84" s="294"/>
      <c r="I84" s="331"/>
      <c r="J84" s="265"/>
      <c r="K84" s="266" t="e">
        <f>INDEX(Odds!G:G,MATCH(I84,Odds!E:E,0))</f>
        <v>#N/A</v>
      </c>
      <c r="L84" s="263" t="e">
        <f>INDEX(Odds!H:H,MATCH(I84,Odds!E:E,0))</f>
        <v>#N/A</v>
      </c>
      <c r="M84" s="264" t="e">
        <f t="shared" si="11"/>
        <v>#N/A</v>
      </c>
      <c r="N84" s="51"/>
      <c r="O84" s="66"/>
      <c r="Q84" s="42" t="str">
        <f>IF(Odds!E84="","",Odds!E84)</f>
        <v>Forest draw</v>
      </c>
      <c r="R84" s="43" t="str">
        <f>INDEX(Odds!F:F,MATCH(Q84,Odds!E:E,0))</f>
        <v>/</v>
      </c>
      <c r="S84" s="47">
        <f t="shared" si="6"/>
        <v>0</v>
      </c>
    </row>
    <row r="85" spans="1:19" ht="13.8" thickBot="1" x14ac:dyDescent="0.3">
      <c r="A85" s="325" t="str">
        <f>A83</f>
        <v>James Bell</v>
      </c>
      <c r="B85" s="251" t="str">
        <f t="shared" si="7"/>
        <v/>
      </c>
      <c r="C85" s="252" t="str">
        <f t="shared" si="8"/>
        <v/>
      </c>
      <c r="D85" s="253" t="str">
        <f t="shared" si="9"/>
        <v/>
      </c>
      <c r="E85" s="248" t="str">
        <f t="shared" si="10"/>
        <v/>
      </c>
      <c r="F85" s="256"/>
      <c r="G85" s="257"/>
      <c r="H85" s="294"/>
      <c r="I85" s="332"/>
      <c r="J85" s="267"/>
      <c r="K85" s="268" t="e">
        <f>INDEX(Odds!G:G,MATCH(I85,Odds!E:E,0))</f>
        <v>#N/A</v>
      </c>
      <c r="L85" s="263" t="e">
        <f>INDEX(Odds!H:H,MATCH(I85,Odds!E:E,0))</f>
        <v>#N/A</v>
      </c>
      <c r="M85" s="269" t="e">
        <f t="shared" si="11"/>
        <v>#N/A</v>
      </c>
      <c r="N85" s="51"/>
      <c r="O85" s="66"/>
      <c r="Q85" s="42" t="str">
        <f>IF(Odds!E85="","",Odds!E85)</f>
        <v>Hull draw</v>
      </c>
      <c r="R85" s="43" t="str">
        <f>INDEX(Odds!F:F,MATCH(Q85,Odds!E:E,0))</f>
        <v>5/2</v>
      </c>
      <c r="S85" s="47">
        <f t="shared" si="6"/>
        <v>1</v>
      </c>
    </row>
    <row r="86" spans="1:19" ht="14.4" thickTop="1" thickBot="1" x14ac:dyDescent="0.3">
      <c r="A86" s="238" t="str">
        <f>Results!B86</f>
        <v>John Brown</v>
      </c>
      <c r="B86" s="254" t="str">
        <f t="shared" si="7"/>
        <v/>
      </c>
      <c r="C86" s="246" t="str">
        <f t="shared" si="8"/>
        <v/>
      </c>
      <c r="D86" s="241" t="str">
        <f t="shared" si="9"/>
        <v/>
      </c>
      <c r="E86" s="255" t="str">
        <f t="shared" si="10"/>
        <v/>
      </c>
      <c r="F86" s="243" t="str">
        <f>IF(I86="","",INDEX(Results!T:T,MATCH(A86,Results!V:V,0)))</f>
        <v/>
      </c>
      <c r="G86" s="244" t="str">
        <f>IF(J86="","",INDEX(Results!AI:AI,MATCH(A86,Results!V:V,0)))</f>
        <v/>
      </c>
      <c r="H86" s="294">
        <f>IF(ISERROR(G86),0,1)</f>
        <v>1</v>
      </c>
      <c r="I86" s="331"/>
      <c r="J86" s="261"/>
      <c r="K86" s="262" t="e">
        <f>INDEX(Odds!G:G,MATCH(I86,Odds!E:E,0))</f>
        <v>#N/A</v>
      </c>
      <c r="L86" s="270" t="e">
        <f>INDEX(Odds!H:H,MATCH(I86,Odds!E:E,0))</f>
        <v>#N/A</v>
      </c>
      <c r="M86" s="264" t="e">
        <f t="shared" si="11"/>
        <v>#N/A</v>
      </c>
      <c r="N86" s="51"/>
      <c r="O86" s="66"/>
      <c r="Q86" s="42" t="str">
        <f>IF(Odds!E86="","",Odds!E86)</f>
        <v>Ipswich draw</v>
      </c>
      <c r="R86" s="43" t="str">
        <f>INDEX(Odds!F:F,MATCH(Q86,Odds!E:E,0))</f>
        <v>37/13</v>
      </c>
      <c r="S86" s="47">
        <f t="shared" si="6"/>
        <v>0</v>
      </c>
    </row>
    <row r="87" spans="1:19" x14ac:dyDescent="0.25">
      <c r="A87" s="324" t="str">
        <f>A86</f>
        <v>John Brown</v>
      </c>
      <c r="B87" s="245" t="str">
        <f t="shared" si="7"/>
        <v/>
      </c>
      <c r="C87" s="246" t="str">
        <f t="shared" si="8"/>
        <v/>
      </c>
      <c r="D87" s="247" t="str">
        <f t="shared" si="9"/>
        <v/>
      </c>
      <c r="E87" s="248" t="str">
        <f t="shared" si="10"/>
        <v/>
      </c>
      <c r="F87" s="256"/>
      <c r="G87" s="257"/>
      <c r="H87" s="294"/>
      <c r="I87" s="331"/>
      <c r="J87" s="265"/>
      <c r="K87" s="266" t="e">
        <f>INDEX(Odds!G:G,MATCH(I87,Odds!E:E,0))</f>
        <v>#N/A</v>
      </c>
      <c r="L87" s="263" t="e">
        <f>INDEX(Odds!H:H,MATCH(I87,Odds!E:E,0))</f>
        <v>#N/A</v>
      </c>
      <c r="M87" s="264" t="e">
        <f t="shared" si="11"/>
        <v>#N/A</v>
      </c>
      <c r="N87" s="51"/>
      <c r="O87" s="66"/>
      <c r="Q87" s="42" t="str">
        <f>IF(Odds!E87="","",Odds!E87)</f>
        <v>Reading draw</v>
      </c>
      <c r="R87" s="43" t="str">
        <f>INDEX(Odds!F:F,MATCH(Q87,Odds!E:E,0))</f>
        <v>12/5</v>
      </c>
      <c r="S87" s="47">
        <f t="shared" si="6"/>
        <v>1</v>
      </c>
    </row>
    <row r="88" spans="1:19" ht="13.8" thickBot="1" x14ac:dyDescent="0.3">
      <c r="A88" s="325" t="str">
        <f>A86</f>
        <v>John Brown</v>
      </c>
      <c r="B88" s="251" t="str">
        <f t="shared" si="7"/>
        <v/>
      </c>
      <c r="C88" s="252" t="str">
        <f t="shared" si="8"/>
        <v/>
      </c>
      <c r="D88" s="253" t="str">
        <f t="shared" si="9"/>
        <v/>
      </c>
      <c r="E88" s="248" t="str">
        <f t="shared" si="10"/>
        <v/>
      </c>
      <c r="F88" s="256"/>
      <c r="G88" s="257"/>
      <c r="H88" s="294"/>
      <c r="I88" s="332"/>
      <c r="J88" s="267"/>
      <c r="K88" s="268" t="e">
        <f>INDEX(Odds!G:G,MATCH(I88,Odds!E:E,0))</f>
        <v>#N/A</v>
      </c>
      <c r="L88" s="263" t="e">
        <f>INDEX(Odds!H:H,MATCH(I88,Odds!E:E,0))</f>
        <v>#N/A</v>
      </c>
      <c r="M88" s="269" t="e">
        <f t="shared" si="11"/>
        <v>#N/A</v>
      </c>
      <c r="N88" s="51"/>
      <c r="O88" s="66"/>
      <c r="Q88" s="42" t="str">
        <f>IF(Odds!E88="","",Odds!E88)</f>
        <v>Rotherham draw</v>
      </c>
      <c r="R88" s="43" t="str">
        <f>INDEX(Odds!F:F,MATCH(Q88,Odds!E:E,0))</f>
        <v>11/4</v>
      </c>
      <c r="S88" s="47">
        <f t="shared" si="6"/>
        <v>0</v>
      </c>
    </row>
    <row r="89" spans="1:19" ht="14.4" thickTop="1" thickBot="1" x14ac:dyDescent="0.3">
      <c r="A89" s="238" t="str">
        <f>Results!B89</f>
        <v>John Evans</v>
      </c>
      <c r="B89" s="254" t="str">
        <f t="shared" si="7"/>
        <v/>
      </c>
      <c r="C89" s="246" t="str">
        <f t="shared" si="8"/>
        <v/>
      </c>
      <c r="D89" s="241" t="str">
        <f t="shared" si="9"/>
        <v/>
      </c>
      <c r="E89" s="255" t="str">
        <f t="shared" si="10"/>
        <v/>
      </c>
      <c r="F89" s="243" t="str">
        <f>IF(I89="","",INDEX(Results!T:T,MATCH(A89,Results!V:V,0)))</f>
        <v/>
      </c>
      <c r="G89" s="244" t="str">
        <f>IF(J89="","",INDEX(Results!AI:AI,MATCH(A89,Results!V:V,0)))</f>
        <v/>
      </c>
      <c r="H89" s="294">
        <f>IF(ISERROR(G89),0,1)</f>
        <v>1</v>
      </c>
      <c r="I89" s="331"/>
      <c r="J89" s="261"/>
      <c r="K89" s="262" t="e">
        <f>INDEX(Odds!G:G,MATCH(I89,Odds!E:E,0))</f>
        <v>#N/A</v>
      </c>
      <c r="L89" s="270" t="e">
        <f>INDEX(Odds!H:H,MATCH(I89,Odds!E:E,0))</f>
        <v>#N/A</v>
      </c>
      <c r="M89" s="264" t="e">
        <f t="shared" si="11"/>
        <v>#N/A</v>
      </c>
      <c r="N89" s="51"/>
      <c r="O89" s="66"/>
      <c r="Q89" s="42" t="str">
        <f>IF(Odds!E89="","",Odds!E89)</f>
        <v>Sheff W draw</v>
      </c>
      <c r="R89" s="43" t="str">
        <f>INDEX(Odds!F:F,MATCH(Q89,Odds!E:E,0))</f>
        <v>27/10</v>
      </c>
      <c r="S89" s="47">
        <f t="shared" si="6"/>
        <v>0</v>
      </c>
    </row>
    <row r="90" spans="1:19" x14ac:dyDescent="0.25">
      <c r="A90" s="324" t="str">
        <f>A89</f>
        <v>John Evans</v>
      </c>
      <c r="B90" s="245" t="str">
        <f t="shared" si="7"/>
        <v/>
      </c>
      <c r="C90" s="246" t="str">
        <f t="shared" si="8"/>
        <v/>
      </c>
      <c r="D90" s="247" t="str">
        <f t="shared" si="9"/>
        <v/>
      </c>
      <c r="E90" s="248" t="str">
        <f t="shared" si="10"/>
        <v/>
      </c>
      <c r="F90" s="256"/>
      <c r="G90" s="257"/>
      <c r="H90" s="294"/>
      <c r="I90" s="331"/>
      <c r="J90" s="265"/>
      <c r="K90" s="266" t="e">
        <f>INDEX(Odds!G:G,MATCH(I90,Odds!E:E,0))</f>
        <v>#N/A</v>
      </c>
      <c r="L90" s="263" t="e">
        <f>INDEX(Odds!H:H,MATCH(I90,Odds!E:E,0))</f>
        <v>#N/A</v>
      </c>
      <c r="M90" s="264" t="e">
        <f t="shared" si="11"/>
        <v>#N/A</v>
      </c>
      <c r="N90" s="51"/>
      <c r="O90" s="66"/>
      <c r="Q90" s="42" t="str">
        <f>IF(Odds!E90="","",Odds!E90)</f>
        <v>Stoke draw</v>
      </c>
      <c r="R90" s="43" t="str">
        <f>INDEX(Odds!F:F,MATCH(Q90,Odds!E:E,0))</f>
        <v>5/2</v>
      </c>
      <c r="S90" s="47">
        <f t="shared" si="6"/>
        <v>1</v>
      </c>
    </row>
    <row r="91" spans="1:19" ht="13.8" thickBot="1" x14ac:dyDescent="0.3">
      <c r="A91" s="325" t="str">
        <f>A89</f>
        <v>John Evans</v>
      </c>
      <c r="B91" s="251" t="str">
        <f t="shared" si="7"/>
        <v/>
      </c>
      <c r="C91" s="252" t="str">
        <f t="shared" si="8"/>
        <v/>
      </c>
      <c r="D91" s="253" t="str">
        <f t="shared" si="9"/>
        <v/>
      </c>
      <c r="E91" s="248" t="str">
        <f t="shared" si="10"/>
        <v/>
      </c>
      <c r="F91" s="256"/>
      <c r="G91" s="257"/>
      <c r="H91" s="294"/>
      <c r="I91" s="332"/>
      <c r="J91" s="267"/>
      <c r="K91" s="268" t="e">
        <f>INDEX(Odds!G:G,MATCH(I91,Odds!E:E,0))</f>
        <v>#N/A</v>
      </c>
      <c r="L91" s="263" t="e">
        <f>INDEX(Odds!H:H,MATCH(I91,Odds!E:E,0))</f>
        <v>#N/A</v>
      </c>
      <c r="M91" s="269" t="e">
        <f t="shared" si="11"/>
        <v>#N/A</v>
      </c>
      <c r="N91" s="51"/>
      <c r="O91" s="66"/>
      <c r="Q91" s="42" t="str">
        <f>IF(Odds!E91="","",Odds!E91)</f>
        <v>Villa draw</v>
      </c>
      <c r="R91" s="43" t="str">
        <f>INDEX(Odds!F:F,MATCH(Q91,Odds!E:E,0))</f>
        <v>13/5</v>
      </c>
      <c r="S91" s="47">
        <f t="shared" si="6"/>
        <v>0</v>
      </c>
    </row>
    <row r="92" spans="1:19" ht="14.4" thickTop="1" thickBot="1" x14ac:dyDescent="0.3">
      <c r="A92" s="238" t="str">
        <f>Results!B92</f>
        <v>John Robinson</v>
      </c>
      <c r="B92" s="254" t="str">
        <f t="shared" si="7"/>
        <v/>
      </c>
      <c r="C92" s="246" t="str">
        <f t="shared" si="8"/>
        <v/>
      </c>
      <c r="D92" s="241" t="str">
        <f t="shared" si="9"/>
        <v/>
      </c>
      <c r="E92" s="255" t="str">
        <f t="shared" si="10"/>
        <v/>
      </c>
      <c r="F92" s="243" t="str">
        <f>IF(I92="","",INDEX(Results!T:T,MATCH(A92,Results!V:V,0)))</f>
        <v/>
      </c>
      <c r="G92" s="244" t="str">
        <f>IF(J92="","",INDEX(Results!AI:AI,MATCH(A92,Results!V:V,0)))</f>
        <v/>
      </c>
      <c r="H92" s="294">
        <f>IF(ISERROR(G92),0,1)</f>
        <v>1</v>
      </c>
      <c r="I92" s="331"/>
      <c r="J92" s="261"/>
      <c r="K92" s="262" t="e">
        <f>INDEX(Odds!G:G,MATCH(I92,Odds!E:E,0))</f>
        <v>#N/A</v>
      </c>
      <c r="L92" s="270" t="e">
        <f>INDEX(Odds!H:H,MATCH(I92,Odds!E:E,0))</f>
        <v>#N/A</v>
      </c>
      <c r="M92" s="264" t="e">
        <f t="shared" si="11"/>
        <v>#N/A</v>
      </c>
      <c r="N92" s="51"/>
      <c r="O92" s="66"/>
      <c r="Q92" s="42" t="str">
        <f>IF(Odds!E92="","",Odds!E92)</f>
        <v>Wigan draw</v>
      </c>
      <c r="R92" s="43" t="str">
        <f>INDEX(Odds!F:F,MATCH(Q92,Odds!E:E,0))</f>
        <v>12/5</v>
      </c>
      <c r="S92" s="47">
        <f t="shared" si="6"/>
        <v>0</v>
      </c>
    </row>
    <row r="93" spans="1:19" x14ac:dyDescent="0.25">
      <c r="A93" s="324" t="str">
        <f>A92</f>
        <v>John Robinson</v>
      </c>
      <c r="B93" s="245" t="str">
        <f t="shared" si="7"/>
        <v/>
      </c>
      <c r="C93" s="246" t="str">
        <f t="shared" si="8"/>
        <v/>
      </c>
      <c r="D93" s="247" t="str">
        <f t="shared" si="9"/>
        <v/>
      </c>
      <c r="E93" s="248" t="str">
        <f t="shared" si="10"/>
        <v/>
      </c>
      <c r="F93" s="256"/>
      <c r="G93" s="257"/>
      <c r="H93" s="294"/>
      <c r="I93" s="331"/>
      <c r="J93" s="265"/>
      <c r="K93" s="266" t="e">
        <f>INDEX(Odds!G:G,MATCH(I93,Odds!E:E,0))</f>
        <v>#N/A</v>
      </c>
      <c r="L93" s="263" t="e">
        <f>INDEX(Odds!H:H,MATCH(I93,Odds!E:E,0))</f>
        <v>#N/A</v>
      </c>
      <c r="M93" s="264" t="e">
        <f t="shared" si="11"/>
        <v>#N/A</v>
      </c>
      <c r="N93" s="51"/>
      <c r="O93" s="66"/>
      <c r="Q93" s="48" t="str">
        <f>IF(Odds!E93="","",Odds!E93)</f>
        <v/>
      </c>
      <c r="R93" s="49" t="str">
        <f>INDEX(Odds!F:F,MATCH(Q93,Odds!E:E,0))</f>
        <v/>
      </c>
      <c r="S93" s="50" t="e">
        <f t="shared" si="6"/>
        <v>#N/A</v>
      </c>
    </row>
    <row r="94" spans="1:19" ht="13.8" thickBot="1" x14ac:dyDescent="0.3">
      <c r="A94" s="325" t="str">
        <f>A92</f>
        <v>John Robinson</v>
      </c>
      <c r="B94" s="251" t="str">
        <f t="shared" si="7"/>
        <v/>
      </c>
      <c r="C94" s="252" t="str">
        <f t="shared" si="8"/>
        <v/>
      </c>
      <c r="D94" s="253" t="str">
        <f t="shared" si="9"/>
        <v/>
      </c>
      <c r="E94" s="248" t="str">
        <f t="shared" si="10"/>
        <v/>
      </c>
      <c r="F94" s="256"/>
      <c r="G94" s="257"/>
      <c r="H94" s="294"/>
      <c r="I94" s="332"/>
      <c r="J94" s="267"/>
      <c r="K94" s="268" t="e">
        <f>INDEX(Odds!G:G,MATCH(I94,Odds!E:E,0))</f>
        <v>#N/A</v>
      </c>
      <c r="L94" s="263" t="e">
        <f>INDEX(Odds!H:H,MATCH(I94,Odds!E:E,0))</f>
        <v>#N/A</v>
      </c>
      <c r="M94" s="269" t="e">
        <f t="shared" si="11"/>
        <v>#N/A</v>
      </c>
      <c r="N94" s="51"/>
      <c r="O94" s="66"/>
      <c r="Q94" s="44" t="str">
        <f>IF(Odds!E94="","",Odds!E94)</f>
        <v>Burnley</v>
      </c>
      <c r="R94" s="45" t="str">
        <f>INDEX(Odds!F:F,MATCH(Q94,Odds!E:E,0))</f>
        <v>24/5</v>
      </c>
      <c r="S94" s="46">
        <f t="shared" ref="S94:S139" si="12">IF(U2&lt;W2,1,0)</f>
        <v>0</v>
      </c>
    </row>
    <row r="95" spans="1:19" ht="13.5" customHeight="1" thickTop="1" thickBot="1" x14ac:dyDescent="0.3">
      <c r="A95" s="238" t="str">
        <f>Results!B95</f>
        <v>John Ronan</v>
      </c>
      <c r="B95" s="254" t="str">
        <f t="shared" si="7"/>
        <v/>
      </c>
      <c r="C95" s="246" t="str">
        <f t="shared" si="8"/>
        <v/>
      </c>
      <c r="D95" s="241" t="str">
        <f t="shared" si="9"/>
        <v/>
      </c>
      <c r="E95" s="255" t="str">
        <f t="shared" si="10"/>
        <v/>
      </c>
      <c r="F95" s="243" t="str">
        <f>IF(I95="","",INDEX(Results!T:T,MATCH(A95,Results!V:V,0)))</f>
        <v/>
      </c>
      <c r="G95" s="244" t="str">
        <f>IF(J95="","",INDEX(Results!AI:AI,MATCH(A95,Results!V:V,0)))</f>
        <v/>
      </c>
      <c r="H95" s="294">
        <f>IF(ISERROR(G95),0,1)</f>
        <v>1</v>
      </c>
      <c r="I95" s="331"/>
      <c r="J95" s="261"/>
      <c r="K95" s="262" t="e">
        <f>INDEX(Odds!G:G,MATCH(I95,Odds!E:E,0))</f>
        <v>#N/A</v>
      </c>
      <c r="L95" s="270" t="e">
        <f>INDEX(Odds!H:H,MATCH(I95,Odds!E:E,0))</f>
        <v>#N/A</v>
      </c>
      <c r="M95" s="264" t="e">
        <f t="shared" si="11"/>
        <v>#N/A</v>
      </c>
      <c r="N95" s="51"/>
      <c r="O95" s="66"/>
      <c r="Q95" s="42" t="str">
        <f>IF(Odds!E95="","",Odds!E95)</f>
        <v>Spurs</v>
      </c>
      <c r="R95" s="43" t="str">
        <f>INDEX(Odds!F:F,MATCH(Q95,Odds!E:E,0))</f>
        <v>3/4</v>
      </c>
      <c r="S95" s="47">
        <f t="shared" si="12"/>
        <v>0</v>
      </c>
    </row>
    <row r="96" spans="1:19" x14ac:dyDescent="0.25">
      <c r="A96" s="324" t="str">
        <f>A95</f>
        <v>John Ronan</v>
      </c>
      <c r="B96" s="245" t="str">
        <f t="shared" si="7"/>
        <v/>
      </c>
      <c r="C96" s="246" t="str">
        <f t="shared" si="8"/>
        <v/>
      </c>
      <c r="D96" s="247" t="str">
        <f t="shared" si="9"/>
        <v/>
      </c>
      <c r="E96" s="248" t="str">
        <f t="shared" si="10"/>
        <v/>
      </c>
      <c r="F96" s="256"/>
      <c r="G96" s="257"/>
      <c r="H96" s="294"/>
      <c r="I96" s="331"/>
      <c r="J96" s="265"/>
      <c r="K96" s="266" t="e">
        <f>INDEX(Odds!G:G,MATCH(I96,Odds!E:E,0))</f>
        <v>#N/A</v>
      </c>
      <c r="L96" s="263" t="e">
        <f>INDEX(Odds!H:H,MATCH(I96,Odds!E:E,0))</f>
        <v>#N/A</v>
      </c>
      <c r="M96" s="264" t="e">
        <f t="shared" si="11"/>
        <v>#N/A</v>
      </c>
      <c r="N96" s="51"/>
      <c r="O96" s="66"/>
      <c r="Q96" s="42" t="str">
        <f>IF(Odds!E96="","",Odds!E96)</f>
        <v>Palace</v>
      </c>
      <c r="R96" s="43" t="str">
        <f>INDEX(Odds!F:F,MATCH(Q96,Odds!E:E,0))</f>
        <v>8/5</v>
      </c>
      <c r="S96" s="47">
        <f t="shared" si="12"/>
        <v>1</v>
      </c>
    </row>
    <row r="97" spans="1:19" ht="13.8" thickBot="1" x14ac:dyDescent="0.3">
      <c r="A97" s="325" t="str">
        <f>A95</f>
        <v>John Ronan</v>
      </c>
      <c r="B97" s="251" t="str">
        <f t="shared" si="7"/>
        <v/>
      </c>
      <c r="C97" s="252" t="str">
        <f t="shared" si="8"/>
        <v/>
      </c>
      <c r="D97" s="253" t="str">
        <f t="shared" si="9"/>
        <v/>
      </c>
      <c r="E97" s="248" t="str">
        <f t="shared" si="10"/>
        <v/>
      </c>
      <c r="F97" s="256"/>
      <c r="G97" s="257"/>
      <c r="H97" s="294"/>
      <c r="I97" s="332"/>
      <c r="J97" s="267"/>
      <c r="K97" s="268" t="e">
        <f>INDEX(Odds!G:G,MATCH(I97,Odds!E:E,0))</f>
        <v>#N/A</v>
      </c>
      <c r="L97" s="263" t="e">
        <f>INDEX(Odds!H:H,MATCH(I97,Odds!E:E,0))</f>
        <v>#N/A</v>
      </c>
      <c r="M97" s="269" t="e">
        <f t="shared" si="11"/>
        <v>#N/A</v>
      </c>
      <c r="N97" s="51"/>
      <c r="O97" s="66"/>
      <c r="Q97" s="42" t="str">
        <f>IF(Odds!E97="","",Odds!E97)</f>
        <v>Liverpool</v>
      </c>
      <c r="R97" s="43" t="str">
        <f>INDEX(Odds!F:F,MATCH(Q97,Odds!E:E,0))</f>
        <v>1/3</v>
      </c>
      <c r="S97" s="47">
        <f t="shared" si="12"/>
        <v>1</v>
      </c>
    </row>
    <row r="98" spans="1:19" ht="14.4" thickTop="1" thickBot="1" x14ac:dyDescent="0.3">
      <c r="A98" s="238" t="str">
        <f>Results!B98</f>
        <v>Kei Lok Ma</v>
      </c>
      <c r="B98" s="254" t="str">
        <f t="shared" si="7"/>
        <v/>
      </c>
      <c r="C98" s="246" t="str">
        <f t="shared" si="8"/>
        <v/>
      </c>
      <c r="D98" s="241" t="str">
        <f t="shared" si="9"/>
        <v/>
      </c>
      <c r="E98" s="255" t="str">
        <f t="shared" si="10"/>
        <v/>
      </c>
      <c r="F98" s="243" t="str">
        <f>IF(I98="","",INDEX(Results!T:T,MATCH(A98,Results!V:V,0)))</f>
        <v/>
      </c>
      <c r="G98" s="244" t="str">
        <f>IF(J98="","",INDEX(Results!AI:AI,MATCH(A98,Results!V:V,0)))</f>
        <v/>
      </c>
      <c r="H98" s="294">
        <f>IF(ISERROR(G98),0,1)</f>
        <v>1</v>
      </c>
      <c r="I98" s="331"/>
      <c r="J98" s="261"/>
      <c r="K98" s="262" t="e">
        <f>INDEX(Odds!G:G,MATCH(I98,Odds!E:E,0))</f>
        <v>#N/A</v>
      </c>
      <c r="L98" s="270" t="e">
        <f>INDEX(Odds!H:H,MATCH(I98,Odds!E:E,0))</f>
        <v>#N/A</v>
      </c>
      <c r="M98" s="264" t="e">
        <f t="shared" si="11"/>
        <v>#N/A</v>
      </c>
      <c r="N98" s="51"/>
      <c r="O98" s="66"/>
      <c r="Q98" s="42" t="str">
        <f>IF(Odds!E98="","",Odds!E98)</f>
        <v>Southampton</v>
      </c>
      <c r="R98" s="43" t="str">
        <f>INDEX(Odds!F:F,MATCH(Q98,Odds!E:E,0))</f>
        <v>15/8</v>
      </c>
      <c r="S98" s="47">
        <f t="shared" si="12"/>
        <v>0</v>
      </c>
    </row>
    <row r="99" spans="1:19" x14ac:dyDescent="0.25">
      <c r="A99" s="324" t="str">
        <f>A98</f>
        <v>Kei Lok Ma</v>
      </c>
      <c r="B99" s="245" t="str">
        <f t="shared" si="7"/>
        <v/>
      </c>
      <c r="C99" s="246" t="str">
        <f t="shared" si="8"/>
        <v/>
      </c>
      <c r="D99" s="247" t="str">
        <f t="shared" si="9"/>
        <v/>
      </c>
      <c r="E99" s="248" t="str">
        <f t="shared" si="10"/>
        <v/>
      </c>
      <c r="F99" s="256"/>
      <c r="G99" s="257"/>
      <c r="H99" s="294"/>
      <c r="I99" s="331"/>
      <c r="J99" s="265"/>
      <c r="K99" s="266" t="e">
        <f>INDEX(Odds!G:G,MATCH(I99,Odds!E:E,0))</f>
        <v>#N/A</v>
      </c>
      <c r="L99" s="263" t="e">
        <f>INDEX(Odds!H:H,MATCH(I99,Odds!E:E,0))</f>
        <v>#N/A</v>
      </c>
      <c r="M99" s="264" t="e">
        <f t="shared" si="11"/>
        <v>#N/A</v>
      </c>
      <c r="N99" s="51"/>
      <c r="O99" s="66"/>
      <c r="Q99" s="42" t="str">
        <f>IF(Odds!E99="","",Odds!E99)</f>
        <v>Fulham</v>
      </c>
      <c r="R99" s="43" t="str">
        <f>INDEX(Odds!F:F,MATCH(Q99,Odds!E:E,0))</f>
        <v>11/2</v>
      </c>
      <c r="S99" s="47">
        <f t="shared" si="12"/>
        <v>0</v>
      </c>
    </row>
    <row r="100" spans="1:19" ht="13.8" thickBot="1" x14ac:dyDescent="0.3">
      <c r="A100" s="325" t="str">
        <f>A98</f>
        <v>Kei Lok Ma</v>
      </c>
      <c r="B100" s="251" t="str">
        <f t="shared" si="7"/>
        <v/>
      </c>
      <c r="C100" s="252" t="str">
        <f t="shared" si="8"/>
        <v/>
      </c>
      <c r="D100" s="253" t="str">
        <f t="shared" si="9"/>
        <v/>
      </c>
      <c r="E100" s="248" t="str">
        <f t="shared" si="10"/>
        <v/>
      </c>
      <c r="F100" s="256"/>
      <c r="G100" s="257"/>
      <c r="H100" s="294"/>
      <c r="I100" s="332"/>
      <c r="J100" s="267"/>
      <c r="K100" s="268" t="e">
        <f>INDEX(Odds!G:G,MATCH(I100,Odds!E:E,0))</f>
        <v>#N/A</v>
      </c>
      <c r="L100" s="263" t="e">
        <f>INDEX(Odds!H:H,MATCH(I100,Odds!E:E,0))</f>
        <v>#N/A</v>
      </c>
      <c r="M100" s="269" t="e">
        <f t="shared" si="11"/>
        <v>#N/A</v>
      </c>
      <c r="N100" s="51"/>
      <c r="O100" s="66"/>
      <c r="Q100" s="42" t="str">
        <f>IF(Odds!E100="","",Odds!E100)</f>
        <v>Gillingham</v>
      </c>
      <c r="R100" s="43" t="str">
        <f>INDEX(Odds!F:F,MATCH(Q100,Odds!E:E,0))</f>
        <v>9/4</v>
      </c>
      <c r="S100" s="47">
        <f t="shared" si="12"/>
        <v>1</v>
      </c>
    </row>
    <row r="101" spans="1:19" ht="14.4" thickTop="1" thickBot="1" x14ac:dyDescent="0.3">
      <c r="A101" s="238" t="str">
        <f>Results!B101</f>
        <v>Kevin Carter</v>
      </c>
      <c r="B101" s="254" t="str">
        <f t="shared" si="7"/>
        <v/>
      </c>
      <c r="C101" s="246" t="str">
        <f t="shared" si="8"/>
        <v/>
      </c>
      <c r="D101" s="241" t="str">
        <f t="shared" si="9"/>
        <v/>
      </c>
      <c r="E101" s="255" t="str">
        <f t="shared" si="10"/>
        <v/>
      </c>
      <c r="F101" s="243" t="str">
        <f>IF(I101="","",INDEX(Results!T:T,MATCH(A101,Results!V:V,0)))</f>
        <v/>
      </c>
      <c r="G101" s="244" t="str">
        <f>IF(J101="","",INDEX(Results!AI:AI,MATCH(A101,Results!V:V,0)))</f>
        <v/>
      </c>
      <c r="H101" s="294">
        <f>IF(ISERROR(G101),0,1)</f>
        <v>1</v>
      </c>
      <c r="I101" s="331"/>
      <c r="J101" s="261"/>
      <c r="K101" s="262" t="e">
        <f>INDEX(Odds!G:G,MATCH(I101,Odds!E:E,0))</f>
        <v>#N/A</v>
      </c>
      <c r="L101" s="270" t="e">
        <f>INDEX(Odds!H:H,MATCH(I101,Odds!E:E,0))</f>
        <v>#N/A</v>
      </c>
      <c r="M101" s="264" t="e">
        <f t="shared" si="11"/>
        <v>#N/A</v>
      </c>
      <c r="N101" s="51"/>
      <c r="O101" s="66"/>
      <c r="Q101" s="42" t="str">
        <f>IF(Odds!E101="","",Odds!E101)</f>
        <v>Wimbledon</v>
      </c>
      <c r="R101" s="43" t="str">
        <f>INDEX(Odds!F:F,MATCH(Q101,Odds!E:E,0))</f>
        <v>1/1</v>
      </c>
      <c r="S101" s="47">
        <f t="shared" si="12"/>
        <v>0</v>
      </c>
    </row>
    <row r="102" spans="1:19" x14ac:dyDescent="0.25">
      <c r="A102" s="324" t="str">
        <f>A101</f>
        <v>Kevin Carter</v>
      </c>
      <c r="B102" s="245" t="str">
        <f t="shared" si="7"/>
        <v/>
      </c>
      <c r="C102" s="246" t="str">
        <f t="shared" si="8"/>
        <v/>
      </c>
      <c r="D102" s="247" t="str">
        <f t="shared" si="9"/>
        <v/>
      </c>
      <c r="E102" s="248" t="str">
        <f t="shared" si="10"/>
        <v/>
      </c>
      <c r="F102" s="256"/>
      <c r="G102" s="257"/>
      <c r="H102" s="294"/>
      <c r="I102" s="331"/>
      <c r="J102" s="265"/>
      <c r="K102" s="266" t="e">
        <f>INDEX(Odds!G:G,MATCH(I102,Odds!E:E,0))</f>
        <v>#N/A</v>
      </c>
      <c r="L102" s="263" t="e">
        <f>INDEX(Odds!H:H,MATCH(I102,Odds!E:E,0))</f>
        <v>#N/A</v>
      </c>
      <c r="M102" s="264" t="e">
        <f t="shared" si="11"/>
        <v>#N/A</v>
      </c>
      <c r="N102" s="51"/>
      <c r="O102" s="66"/>
      <c r="Q102" s="42" t="str">
        <f>IF(Odds!E102="","",Odds!E102)</f>
        <v>Barnsley</v>
      </c>
      <c r="R102" s="43" t="str">
        <f>INDEX(Odds!F:F,MATCH(Q102,Odds!E:E,0))</f>
        <v>4/7</v>
      </c>
      <c r="S102" s="47">
        <f t="shared" si="12"/>
        <v>0</v>
      </c>
    </row>
    <row r="103" spans="1:19" ht="13.8" thickBot="1" x14ac:dyDescent="0.3">
      <c r="A103" s="325" t="str">
        <f>A101</f>
        <v>Kevin Carter</v>
      </c>
      <c r="B103" s="251" t="str">
        <f t="shared" si="7"/>
        <v/>
      </c>
      <c r="C103" s="252" t="str">
        <f t="shared" si="8"/>
        <v/>
      </c>
      <c r="D103" s="253" t="str">
        <f t="shared" si="9"/>
        <v/>
      </c>
      <c r="E103" s="248" t="str">
        <f t="shared" si="10"/>
        <v/>
      </c>
      <c r="F103" s="256"/>
      <c r="G103" s="257"/>
      <c r="H103" s="294"/>
      <c r="I103" s="332"/>
      <c r="J103" s="267"/>
      <c r="K103" s="268" t="e">
        <f>INDEX(Odds!G:G,MATCH(I103,Odds!E:E,0))</f>
        <v>#N/A</v>
      </c>
      <c r="L103" s="263" t="e">
        <f>INDEX(Odds!H:H,MATCH(I103,Odds!E:E,0))</f>
        <v>#N/A</v>
      </c>
      <c r="M103" s="269" t="e">
        <f t="shared" si="11"/>
        <v>#N/A</v>
      </c>
      <c r="N103" s="51"/>
      <c r="O103" s="66"/>
      <c r="Q103" s="42" t="str">
        <f>IF(Odds!E103="","",Odds!E103)</f>
        <v>Rochdale</v>
      </c>
      <c r="R103" s="43" t="str">
        <f>INDEX(Odds!F:F,MATCH(Q103,Odds!E:E,0))</f>
        <v>7/2</v>
      </c>
      <c r="S103" s="47">
        <f t="shared" si="12"/>
        <v>0</v>
      </c>
    </row>
    <row r="104" spans="1:19" ht="14.4" thickTop="1" thickBot="1" x14ac:dyDescent="0.3">
      <c r="A104" s="238" t="str">
        <f>Results!B104</f>
        <v>Lennie Bow</v>
      </c>
      <c r="B104" s="254" t="str">
        <f t="shared" si="7"/>
        <v/>
      </c>
      <c r="C104" s="246" t="str">
        <f t="shared" si="8"/>
        <v/>
      </c>
      <c r="D104" s="241" t="str">
        <f t="shared" si="9"/>
        <v/>
      </c>
      <c r="E104" s="255" t="str">
        <f t="shared" si="10"/>
        <v/>
      </c>
      <c r="F104" s="243" t="str">
        <f>IF(I104="","",INDEX(Results!T:T,MATCH(A104,Results!V:V,0)))</f>
        <v/>
      </c>
      <c r="G104" s="244" t="str">
        <f>IF(J104="","",INDEX(Results!AI:AI,MATCH(A104,Results!V:V,0)))</f>
        <v/>
      </c>
      <c r="H104" s="294">
        <f>IF(ISERROR(G104),0,1)</f>
        <v>1</v>
      </c>
      <c r="I104" s="331"/>
      <c r="J104" s="261"/>
      <c r="K104" s="262" t="e">
        <f>INDEX(Odds!G:G,MATCH(I104,Odds!E:E,0))</f>
        <v>#N/A</v>
      </c>
      <c r="L104" s="270" t="e">
        <f>INDEX(Odds!H:H,MATCH(I104,Odds!E:E,0))</f>
        <v>#N/A</v>
      </c>
      <c r="M104" s="264" t="e">
        <f t="shared" si="11"/>
        <v>#N/A</v>
      </c>
      <c r="N104" s="51"/>
      <c r="O104" s="66"/>
      <c r="Q104" s="42" t="str">
        <f>IF(Odds!E104="","",Odds!E104)</f>
        <v>Coventry</v>
      </c>
      <c r="R104" s="43" t="str">
        <f>INDEX(Odds!F:F,MATCH(Q104,Odds!E:E,0))</f>
        <v>12/5</v>
      </c>
      <c r="S104" s="47">
        <f t="shared" si="12"/>
        <v>0</v>
      </c>
    </row>
    <row r="105" spans="1:19" x14ac:dyDescent="0.25">
      <c r="A105" s="324" t="str">
        <f>A104</f>
        <v>Lennie Bow</v>
      </c>
      <c r="B105" s="245" t="str">
        <f t="shared" si="7"/>
        <v/>
      </c>
      <c r="C105" s="246" t="str">
        <f t="shared" si="8"/>
        <v/>
      </c>
      <c r="D105" s="247" t="str">
        <f t="shared" si="9"/>
        <v/>
      </c>
      <c r="E105" s="248" t="str">
        <f t="shared" si="10"/>
        <v/>
      </c>
      <c r="F105" s="256"/>
      <c r="G105" s="257"/>
      <c r="H105" s="294"/>
      <c r="I105" s="331"/>
      <c r="J105" s="265"/>
      <c r="K105" s="266" t="e">
        <f>INDEX(Odds!G:G,MATCH(I105,Odds!E:E,0))</f>
        <v>#N/A</v>
      </c>
      <c r="L105" s="263" t="e">
        <f>INDEX(Odds!H:H,MATCH(I105,Odds!E:E,0))</f>
        <v>#N/A</v>
      </c>
      <c r="M105" s="264" t="e">
        <f t="shared" si="11"/>
        <v>#N/A</v>
      </c>
      <c r="N105" s="51"/>
      <c r="O105" s="66"/>
      <c r="Q105" s="42" t="str">
        <f>IF(Odds!E105="","",Odds!E105)</f>
        <v>Oxford</v>
      </c>
      <c r="R105" s="43" t="str">
        <f>INDEX(Odds!F:F,MATCH(Q105,Odds!E:E,0))</f>
        <v>17/2</v>
      </c>
      <c r="S105" s="47">
        <f t="shared" si="12"/>
        <v>0</v>
      </c>
    </row>
    <row r="106" spans="1:19" ht="13.8" thickBot="1" x14ac:dyDescent="0.3">
      <c r="A106" s="325" t="str">
        <f>A104</f>
        <v>Lennie Bow</v>
      </c>
      <c r="B106" s="251" t="str">
        <f t="shared" si="7"/>
        <v/>
      </c>
      <c r="C106" s="252" t="str">
        <f t="shared" si="8"/>
        <v/>
      </c>
      <c r="D106" s="253" t="str">
        <f t="shared" si="9"/>
        <v/>
      </c>
      <c r="E106" s="248" t="str">
        <f t="shared" si="10"/>
        <v/>
      </c>
      <c r="F106" s="256"/>
      <c r="G106" s="257"/>
      <c r="H106" s="294"/>
      <c r="I106" s="332"/>
      <c r="J106" s="267"/>
      <c r="K106" s="268" t="e">
        <f>INDEX(Odds!G:G,MATCH(I106,Odds!E:E,0))</f>
        <v>#N/A</v>
      </c>
      <c r="L106" s="263" t="e">
        <f>INDEX(Odds!H:H,MATCH(I106,Odds!E:E,0))</f>
        <v>#N/A</v>
      </c>
      <c r="M106" s="269" t="e">
        <f t="shared" si="11"/>
        <v>#N/A</v>
      </c>
      <c r="N106" s="51"/>
      <c r="O106" s="66"/>
      <c r="Q106" s="42" t="str">
        <f>IF(Odds!E106="","",Odds!E106)</f>
        <v>Burton</v>
      </c>
      <c r="R106" s="43" t="str">
        <f>INDEX(Odds!F:F,MATCH(Q106,Odds!E:E,0))</f>
        <v>23/10</v>
      </c>
      <c r="S106" s="47">
        <f t="shared" si="12"/>
        <v>0</v>
      </c>
    </row>
    <row r="107" spans="1:19" ht="14.4" thickTop="1" thickBot="1" x14ac:dyDescent="0.3">
      <c r="A107" s="238" t="str">
        <f>Results!B107</f>
        <v>Liam Wah</v>
      </c>
      <c r="B107" s="254" t="str">
        <f t="shared" si="7"/>
        <v/>
      </c>
      <c r="C107" s="246" t="str">
        <f t="shared" si="8"/>
        <v/>
      </c>
      <c r="D107" s="241" t="str">
        <f t="shared" si="9"/>
        <v/>
      </c>
      <c r="E107" s="255" t="str">
        <f t="shared" si="10"/>
        <v/>
      </c>
      <c r="F107" s="243" t="str">
        <f>IF(I107="","",INDEX(Results!T:T,MATCH(A107,Results!V:V,0)))</f>
        <v/>
      </c>
      <c r="G107" s="244" t="str">
        <f>IF(J107="","",INDEX(Results!AI:AI,MATCH(A107,Results!V:V,0)))</f>
        <v/>
      </c>
      <c r="H107" s="294">
        <f>IF(ISERROR(G107),0,1)</f>
        <v>1</v>
      </c>
      <c r="I107" s="331"/>
      <c r="J107" s="261"/>
      <c r="K107" s="262" t="e">
        <f>INDEX(Odds!G:G,MATCH(I107,Odds!E:E,0))</f>
        <v>#N/A</v>
      </c>
      <c r="L107" s="270" t="e">
        <f>INDEX(Odds!H:H,MATCH(I107,Odds!E:E,0))</f>
        <v>#N/A</v>
      </c>
      <c r="M107" s="264" t="e">
        <f t="shared" si="11"/>
        <v>#N/A</v>
      </c>
      <c r="N107" s="51"/>
      <c r="O107" s="66"/>
      <c r="Q107" s="42" t="str">
        <f>IF(Odds!E107="","",Odds!E107)</f>
        <v>Scunthorpe</v>
      </c>
      <c r="R107" s="43" t="str">
        <f>INDEX(Odds!F:F,MATCH(Q107,Odds!E:E,0))</f>
        <v>21/10</v>
      </c>
      <c r="S107" s="47">
        <f t="shared" si="12"/>
        <v>0</v>
      </c>
    </row>
    <row r="108" spans="1:19" x14ac:dyDescent="0.25">
      <c r="A108" s="324" t="str">
        <f>A107</f>
        <v>Liam Wah</v>
      </c>
      <c r="B108" s="245" t="str">
        <f t="shared" si="7"/>
        <v/>
      </c>
      <c r="C108" s="246" t="str">
        <f t="shared" si="8"/>
        <v/>
      </c>
      <c r="D108" s="247" t="str">
        <f t="shared" si="9"/>
        <v/>
      </c>
      <c r="E108" s="248" t="str">
        <f t="shared" si="10"/>
        <v/>
      </c>
      <c r="F108" s="256"/>
      <c r="G108" s="257"/>
      <c r="H108" s="294"/>
      <c r="I108" s="331"/>
      <c r="J108" s="265"/>
      <c r="K108" s="266" t="e">
        <f>INDEX(Odds!G:G,MATCH(I108,Odds!E:E,0))</f>
        <v>#N/A</v>
      </c>
      <c r="L108" s="263" t="e">
        <f>INDEX(Odds!H:H,MATCH(I108,Odds!E:E,0))</f>
        <v>#N/A</v>
      </c>
      <c r="M108" s="264" t="e">
        <f t="shared" si="11"/>
        <v>#N/A</v>
      </c>
      <c r="N108" s="51"/>
      <c r="O108" s="66"/>
      <c r="Q108" s="42" t="str">
        <f>IF(Odds!E108="","",Odds!E108)</f>
        <v>Accrington</v>
      </c>
      <c r="R108" s="43" t="str">
        <f>INDEX(Odds!F:F,MATCH(Q108,Odds!E:E,0))</f>
        <v>15/2</v>
      </c>
      <c r="S108" s="47">
        <f t="shared" si="12"/>
        <v>0</v>
      </c>
    </row>
    <row r="109" spans="1:19" ht="13.8" thickBot="1" x14ac:dyDescent="0.3">
      <c r="A109" s="325" t="str">
        <f>A107</f>
        <v>Liam Wah</v>
      </c>
      <c r="B109" s="251" t="str">
        <f t="shared" si="7"/>
        <v/>
      </c>
      <c r="C109" s="252" t="str">
        <f t="shared" si="8"/>
        <v/>
      </c>
      <c r="D109" s="253" t="str">
        <f t="shared" si="9"/>
        <v/>
      </c>
      <c r="E109" s="248" t="str">
        <f t="shared" si="10"/>
        <v/>
      </c>
      <c r="F109" s="256"/>
      <c r="G109" s="257"/>
      <c r="H109" s="294"/>
      <c r="I109" s="332"/>
      <c r="J109" s="267"/>
      <c r="K109" s="268" t="e">
        <f>INDEX(Odds!G:G,MATCH(I109,Odds!E:E,0))</f>
        <v>#N/A</v>
      </c>
      <c r="L109" s="263" t="e">
        <f>INDEX(Odds!H:H,MATCH(I109,Odds!E:E,0))</f>
        <v>#N/A</v>
      </c>
      <c r="M109" s="269" t="e">
        <f t="shared" si="11"/>
        <v>#N/A</v>
      </c>
      <c r="N109" s="51"/>
      <c r="O109" s="66"/>
      <c r="Q109" s="42" t="str">
        <f>IF(Odds!E109="","",Odds!E109)</f>
        <v>Walsall</v>
      </c>
      <c r="R109" s="43" t="str">
        <f>INDEX(Odds!F:F,MATCH(Q109,Odds!E:E,0))</f>
        <v>7/5</v>
      </c>
      <c r="S109" s="47">
        <f t="shared" si="12"/>
        <v>0</v>
      </c>
    </row>
    <row r="110" spans="1:19" ht="14.4" thickTop="1" thickBot="1" x14ac:dyDescent="0.3">
      <c r="A110" s="238" t="str">
        <f>Results!B110</f>
        <v>Mal Stott</v>
      </c>
      <c r="B110" s="254" t="str">
        <f t="shared" si="7"/>
        <v/>
      </c>
      <c r="C110" s="246" t="str">
        <f t="shared" si="8"/>
        <v/>
      </c>
      <c r="D110" s="241" t="str">
        <f t="shared" si="9"/>
        <v/>
      </c>
      <c r="E110" s="255" t="str">
        <f t="shared" si="10"/>
        <v/>
      </c>
      <c r="F110" s="243" t="str">
        <f>IF(I110="","",INDEX(Results!T:T,MATCH(A110,Results!V:V,0)))</f>
        <v/>
      </c>
      <c r="G110" s="244" t="str">
        <f>IF(J110="","",INDEX(Results!AI:AI,MATCH(A110,Results!V:V,0)))</f>
        <v/>
      </c>
      <c r="H110" s="294">
        <f>IF(ISERROR(G110),0,1)</f>
        <v>1</v>
      </c>
      <c r="I110" s="331"/>
      <c r="J110" s="261"/>
      <c r="K110" s="262" t="e">
        <f>INDEX(Odds!G:G,MATCH(I110,Odds!E:E,0))</f>
        <v>#N/A</v>
      </c>
      <c r="L110" s="270" t="e">
        <f>INDEX(Odds!H:H,MATCH(I110,Odds!E:E,0))</f>
        <v>#N/A</v>
      </c>
      <c r="M110" s="264" t="e">
        <f t="shared" si="11"/>
        <v>#N/A</v>
      </c>
      <c r="N110" s="51"/>
      <c r="O110" s="66"/>
      <c r="Q110" s="42" t="str">
        <f>IF(Odds!E110="","",Odds!E110)</f>
        <v>Sunderland</v>
      </c>
      <c r="R110" s="43" t="str">
        <f>INDEX(Odds!F:F,MATCH(Q110,Odds!E:E,0))</f>
        <v>6/5</v>
      </c>
      <c r="S110" s="47">
        <f t="shared" si="12"/>
        <v>0</v>
      </c>
    </row>
    <row r="111" spans="1:19" x14ac:dyDescent="0.25">
      <c r="A111" s="324" t="str">
        <f>A110</f>
        <v>Mal Stott</v>
      </c>
      <c r="B111" s="245" t="str">
        <f t="shared" si="7"/>
        <v/>
      </c>
      <c r="C111" s="246" t="str">
        <f t="shared" si="8"/>
        <v/>
      </c>
      <c r="D111" s="247" t="str">
        <f t="shared" si="9"/>
        <v/>
      </c>
      <c r="E111" s="248" t="str">
        <f t="shared" si="10"/>
        <v/>
      </c>
      <c r="F111" s="256"/>
      <c r="G111" s="257"/>
      <c r="H111" s="294"/>
      <c r="I111" s="331"/>
      <c r="J111" s="265"/>
      <c r="K111" s="266" t="e">
        <f>INDEX(Odds!G:G,MATCH(I111,Odds!E:E,0))</f>
        <v>#N/A</v>
      </c>
      <c r="L111" s="263" t="e">
        <f>INDEX(Odds!H:H,MATCH(I111,Odds!E:E,0))</f>
        <v>#N/A</v>
      </c>
      <c r="M111" s="264" t="e">
        <f t="shared" si="11"/>
        <v>#N/A</v>
      </c>
      <c r="N111" s="51"/>
      <c r="O111" s="66"/>
      <c r="Q111" s="42" t="str">
        <f>IF(Odds!E111="","",Odds!E111)</f>
        <v>Fleetwood</v>
      </c>
      <c r="R111" s="43" t="str">
        <f>INDEX(Odds!F:F,MATCH(Q111,Odds!E:E,0))</f>
        <v>27/10</v>
      </c>
      <c r="S111" s="47">
        <f t="shared" si="12"/>
        <v>0</v>
      </c>
    </row>
    <row r="112" spans="1:19" ht="13.8" thickBot="1" x14ac:dyDescent="0.3">
      <c r="A112" s="325" t="str">
        <f>A110</f>
        <v>Mal Stott</v>
      </c>
      <c r="B112" s="245" t="str">
        <f t="shared" si="7"/>
        <v/>
      </c>
      <c r="C112" s="252" t="str">
        <f t="shared" si="8"/>
        <v/>
      </c>
      <c r="D112" s="253" t="str">
        <f t="shared" si="9"/>
        <v/>
      </c>
      <c r="E112" s="248" t="str">
        <f t="shared" si="10"/>
        <v/>
      </c>
      <c r="F112" s="256"/>
      <c r="G112" s="257"/>
      <c r="H112" s="294"/>
      <c r="I112" s="332"/>
      <c r="J112" s="267"/>
      <c r="K112" s="268" t="e">
        <f>INDEX(Odds!G:G,MATCH(I112,Odds!E:E,0))</f>
        <v>#N/A</v>
      </c>
      <c r="L112" s="263" t="e">
        <f>INDEX(Odds!H:H,MATCH(I112,Odds!E:E,0))</f>
        <v>#N/A</v>
      </c>
      <c r="M112" s="269" t="e">
        <f t="shared" si="11"/>
        <v>#N/A</v>
      </c>
      <c r="N112" s="51"/>
      <c r="O112" s="66"/>
      <c r="Q112" s="42" t="str">
        <f>IF(Odds!E112="","",Odds!E112)</f>
        <v>Port Vale</v>
      </c>
      <c r="R112" s="43" t="str">
        <f>INDEX(Odds!F:F,MATCH(Q112,Odds!E:E,0))</f>
        <v>6/1</v>
      </c>
      <c r="S112" s="47">
        <f t="shared" si="12"/>
        <v>0</v>
      </c>
    </row>
    <row r="113" spans="1:19" ht="14.4" thickTop="1" thickBot="1" x14ac:dyDescent="0.3">
      <c r="A113" s="238" t="str">
        <f>Results!B113</f>
        <v>Mark Bunn</v>
      </c>
      <c r="B113" s="254" t="str">
        <f t="shared" si="7"/>
        <v/>
      </c>
      <c r="C113" s="246" t="str">
        <f t="shared" si="8"/>
        <v/>
      </c>
      <c r="D113" s="241" t="str">
        <f t="shared" si="9"/>
        <v/>
      </c>
      <c r="E113" s="255" t="str">
        <f t="shared" si="10"/>
        <v/>
      </c>
      <c r="F113" s="243" t="str">
        <f>IF(I113="","",INDEX(Results!T:T,MATCH(A113,Results!V:V,0)))</f>
        <v/>
      </c>
      <c r="G113" s="244" t="str">
        <f>IF(J113="","",INDEX(Results!AI:AI,MATCH(A113,Results!V:V,0)))</f>
        <v/>
      </c>
      <c r="H113" s="294">
        <f>IF(ISERROR(G113),0,1)</f>
        <v>1</v>
      </c>
      <c r="I113" s="331"/>
      <c r="J113" s="261"/>
      <c r="K113" s="262" t="e">
        <f>INDEX(Odds!G:G,MATCH(I113,Odds!E:E,0))</f>
        <v>#N/A</v>
      </c>
      <c r="L113" s="270" t="e">
        <f>INDEX(Odds!H:H,MATCH(I113,Odds!E:E,0))</f>
        <v>#N/A</v>
      </c>
      <c r="M113" s="264" t="e">
        <f t="shared" si="11"/>
        <v>#N/A</v>
      </c>
      <c r="N113" s="51"/>
      <c r="O113" s="66"/>
      <c r="Q113" s="42" t="str">
        <f>IF(Odds!E113="","",Odds!E113)</f>
        <v>Tranmere</v>
      </c>
      <c r="R113" s="43" t="str">
        <f>INDEX(Odds!F:F,MATCH(Q113,Odds!E:E,0))</f>
        <v>1/1</v>
      </c>
      <c r="S113" s="47">
        <f t="shared" si="12"/>
        <v>0</v>
      </c>
    </row>
    <row r="114" spans="1:19" x14ac:dyDescent="0.25">
      <c r="A114" s="324" t="str">
        <f>A113</f>
        <v>Mark Bunn</v>
      </c>
      <c r="B114" s="245" t="str">
        <f t="shared" si="7"/>
        <v/>
      </c>
      <c r="C114" s="246" t="str">
        <f t="shared" si="8"/>
        <v/>
      </c>
      <c r="D114" s="247" t="str">
        <f t="shared" si="9"/>
        <v/>
      </c>
      <c r="E114" s="248" t="str">
        <f t="shared" si="10"/>
        <v/>
      </c>
      <c r="F114" s="256"/>
      <c r="G114" s="257"/>
      <c r="H114" s="294"/>
      <c r="I114" s="331"/>
      <c r="J114" s="265"/>
      <c r="K114" s="266" t="e">
        <f>INDEX(Odds!G:G,MATCH(I114,Odds!E:E,0))</f>
        <v>#N/A</v>
      </c>
      <c r="L114" s="263" t="e">
        <f>INDEX(Odds!H:H,MATCH(I114,Odds!E:E,0))</f>
        <v>#N/A</v>
      </c>
      <c r="M114" s="264" t="e">
        <f t="shared" si="11"/>
        <v>#N/A</v>
      </c>
      <c r="N114" s="51"/>
      <c r="O114" s="66"/>
      <c r="Q114" s="42" t="str">
        <f>IF(Odds!E114="","",Odds!E114)</f>
        <v>Exeter</v>
      </c>
      <c r="R114" s="43" t="str">
        <f>INDEX(Odds!F:F,MATCH(Q114,Odds!E:E,0))</f>
        <v>2/1</v>
      </c>
      <c r="S114" s="47">
        <f t="shared" si="12"/>
        <v>0</v>
      </c>
    </row>
    <row r="115" spans="1:19" ht="13.8" thickBot="1" x14ac:dyDescent="0.3">
      <c r="A115" s="325" t="str">
        <f>A113</f>
        <v>Mark Bunn</v>
      </c>
      <c r="B115" s="251" t="str">
        <f t="shared" si="7"/>
        <v/>
      </c>
      <c r="C115" s="252" t="str">
        <f t="shared" si="8"/>
        <v/>
      </c>
      <c r="D115" s="253" t="str">
        <f t="shared" si="9"/>
        <v/>
      </c>
      <c r="E115" s="248" t="str">
        <f t="shared" si="10"/>
        <v/>
      </c>
      <c r="F115" s="256"/>
      <c r="G115" s="257"/>
      <c r="H115" s="294"/>
      <c r="I115" s="332"/>
      <c r="J115" s="267"/>
      <c r="K115" s="268" t="e">
        <f>INDEX(Odds!G:G,MATCH(I115,Odds!E:E,0))</f>
        <v>#N/A</v>
      </c>
      <c r="L115" s="263" t="e">
        <f>INDEX(Odds!H:H,MATCH(I115,Odds!E:E,0))</f>
        <v>#N/A</v>
      </c>
      <c r="M115" s="269" t="e">
        <f t="shared" si="11"/>
        <v>#N/A</v>
      </c>
      <c r="N115" s="51"/>
      <c r="O115" s="66"/>
      <c r="Q115" s="42" t="str">
        <f>IF(Odds!E115="","",Odds!E115)</f>
        <v>Crewe</v>
      </c>
      <c r="R115" s="43" t="str">
        <f>INDEX(Odds!F:F,MATCH(Q115,Odds!E:E,0))</f>
        <v>2/1</v>
      </c>
      <c r="S115" s="47">
        <f t="shared" si="12"/>
        <v>0</v>
      </c>
    </row>
    <row r="116" spans="1:19" ht="14.4" thickTop="1" thickBot="1" x14ac:dyDescent="0.3">
      <c r="A116" s="238" t="str">
        <f>Results!B116</f>
        <v>Mark Saunders</v>
      </c>
      <c r="B116" s="254" t="str">
        <f t="shared" si="7"/>
        <v/>
      </c>
      <c r="C116" s="246" t="str">
        <f t="shared" si="8"/>
        <v/>
      </c>
      <c r="D116" s="241" t="str">
        <f t="shared" si="9"/>
        <v/>
      </c>
      <c r="E116" s="255" t="str">
        <f t="shared" si="10"/>
        <v/>
      </c>
      <c r="F116" s="243" t="str">
        <f>IF(I116="","",INDEX(Results!T:T,MATCH(A116,Results!V:V,0)))</f>
        <v/>
      </c>
      <c r="G116" s="244" t="str">
        <f>IF(J116="","",INDEX(Results!AI:AI,MATCH(A116,Results!V:V,0)))</f>
        <v/>
      </c>
      <c r="H116" s="294">
        <f>IF(ISERROR(G116),0,1)</f>
        <v>1</v>
      </c>
      <c r="I116" s="331"/>
      <c r="J116" s="261"/>
      <c r="K116" s="262" t="e">
        <f>INDEX(Odds!G:G,MATCH(I116,Odds!E:E,0))</f>
        <v>#N/A</v>
      </c>
      <c r="L116" s="270" t="e">
        <f>INDEX(Odds!H:H,MATCH(I116,Odds!E:E,0))</f>
        <v>#N/A</v>
      </c>
      <c r="M116" s="264" t="e">
        <f t="shared" si="11"/>
        <v>#N/A</v>
      </c>
      <c r="N116" s="51"/>
      <c r="O116" s="66"/>
      <c r="Q116" s="42" t="str">
        <f>IF(Odds!E116="","",Odds!E116)</f>
        <v>Colchester</v>
      </c>
      <c r="R116" s="43" t="str">
        <f>INDEX(Odds!F:F,MATCH(Q116,Odds!E:E,0))</f>
        <v>23/10</v>
      </c>
      <c r="S116" s="47">
        <f t="shared" si="12"/>
        <v>1</v>
      </c>
    </row>
    <row r="117" spans="1:19" x14ac:dyDescent="0.25">
      <c r="A117" s="324" t="str">
        <f>A116</f>
        <v>Mark Saunders</v>
      </c>
      <c r="B117" s="245" t="str">
        <f t="shared" si="7"/>
        <v/>
      </c>
      <c r="C117" s="246" t="str">
        <f t="shared" si="8"/>
        <v/>
      </c>
      <c r="D117" s="247" t="str">
        <f t="shared" si="9"/>
        <v/>
      </c>
      <c r="E117" s="248" t="str">
        <f t="shared" si="10"/>
        <v/>
      </c>
      <c r="F117" s="256"/>
      <c r="G117" s="257"/>
      <c r="H117" s="294"/>
      <c r="I117" s="331"/>
      <c r="J117" s="265"/>
      <c r="K117" s="266" t="e">
        <f>INDEX(Odds!G:G,MATCH(I117,Odds!E:E,0))</f>
        <v>#N/A</v>
      </c>
      <c r="L117" s="263" t="e">
        <f>INDEX(Odds!H:H,MATCH(I117,Odds!E:E,0))</f>
        <v>#N/A</v>
      </c>
      <c r="M117" s="264" t="e">
        <f t="shared" si="11"/>
        <v>#N/A</v>
      </c>
      <c r="N117" s="51"/>
      <c r="O117" s="66"/>
      <c r="Q117" s="42" t="str">
        <f>IF(Odds!E117="","",Odds!E117)</f>
        <v>Cambridge</v>
      </c>
      <c r="R117" s="43" t="str">
        <f>INDEX(Odds!F:F,MATCH(Q117,Odds!E:E,0))</f>
        <v>21/10</v>
      </c>
      <c r="S117" s="47">
        <f t="shared" si="12"/>
        <v>0</v>
      </c>
    </row>
    <row r="118" spans="1:19" ht="13.8" thickBot="1" x14ac:dyDescent="0.3">
      <c r="A118" s="325" t="str">
        <f>A116</f>
        <v>Mark Saunders</v>
      </c>
      <c r="B118" s="251" t="str">
        <f t="shared" si="7"/>
        <v/>
      </c>
      <c r="C118" s="252" t="str">
        <f t="shared" si="8"/>
        <v/>
      </c>
      <c r="D118" s="253" t="str">
        <f t="shared" si="9"/>
        <v/>
      </c>
      <c r="E118" s="248" t="str">
        <f t="shared" si="10"/>
        <v/>
      </c>
      <c r="F118" s="256"/>
      <c r="G118" s="257"/>
      <c r="H118" s="294"/>
      <c r="I118" s="332"/>
      <c r="J118" s="267"/>
      <c r="K118" s="268" t="e">
        <f>INDEX(Odds!G:G,MATCH(I118,Odds!E:E,0))</f>
        <v>#N/A</v>
      </c>
      <c r="L118" s="263" t="e">
        <f>INDEX(Odds!H:H,MATCH(I118,Odds!E:E,0))</f>
        <v>#N/A</v>
      </c>
      <c r="M118" s="269" t="e">
        <f t="shared" si="11"/>
        <v>#N/A</v>
      </c>
      <c r="N118" s="51"/>
      <c r="O118" s="66"/>
      <c r="Q118" s="42" t="str">
        <f>IF(Odds!E118="","",Odds!E118)</f>
        <v>Mansfield</v>
      </c>
      <c r="R118" s="43" t="str">
        <f>INDEX(Odds!F:F,MATCH(Q118,Odds!E:E,0))</f>
        <v>5/2</v>
      </c>
      <c r="S118" s="47">
        <f t="shared" si="12"/>
        <v>0</v>
      </c>
    </row>
    <row r="119" spans="1:19" ht="14.4" thickTop="1" thickBot="1" x14ac:dyDescent="0.3">
      <c r="A119" s="238" t="str">
        <f>Results!B119</f>
        <v>Martin Molyneux</v>
      </c>
      <c r="B119" s="254" t="str">
        <f t="shared" si="7"/>
        <v/>
      </c>
      <c r="C119" s="246" t="str">
        <f t="shared" si="8"/>
        <v/>
      </c>
      <c r="D119" s="241" t="str">
        <f t="shared" si="9"/>
        <v/>
      </c>
      <c r="E119" s="255" t="str">
        <f t="shared" si="10"/>
        <v/>
      </c>
      <c r="F119" s="243" t="str">
        <f>IF(I119="","",INDEX(Results!T:T,MATCH(A119,Results!V:V,0)))</f>
        <v/>
      </c>
      <c r="G119" s="244" t="str">
        <f>IF(J119="","",INDEX(Results!AI:AI,MATCH(A119,Results!V:V,0)))</f>
        <v/>
      </c>
      <c r="H119" s="294">
        <f>IF(ISERROR(G119),0,1)</f>
        <v>1</v>
      </c>
      <c r="I119" s="331"/>
      <c r="J119" s="261"/>
      <c r="K119" s="262" t="e">
        <f>INDEX(Odds!G:G,MATCH(I119,Odds!E:E,0))</f>
        <v>#N/A</v>
      </c>
      <c r="L119" s="270" t="e">
        <f>INDEX(Odds!H:H,MATCH(I119,Odds!E:E,0))</f>
        <v>#N/A</v>
      </c>
      <c r="M119" s="264" t="e">
        <f t="shared" si="11"/>
        <v>#N/A</v>
      </c>
      <c r="N119" s="51"/>
      <c r="O119" s="66"/>
      <c r="Q119" s="42" t="str">
        <f>IF(Odds!E119="","",Odds!E119)</f>
        <v>Newport</v>
      </c>
      <c r="R119" s="43" t="str">
        <f>INDEX(Odds!F:F,MATCH(Q119,Odds!E:E,0))</f>
        <v>15/13</v>
      </c>
      <c r="S119" s="47">
        <f t="shared" si="12"/>
        <v>0</v>
      </c>
    </row>
    <row r="120" spans="1:19" x14ac:dyDescent="0.25">
      <c r="A120" s="324" t="str">
        <f>A119</f>
        <v>Martin Molyneux</v>
      </c>
      <c r="B120" s="245" t="str">
        <f t="shared" si="7"/>
        <v/>
      </c>
      <c r="C120" s="246" t="str">
        <f t="shared" si="8"/>
        <v/>
      </c>
      <c r="D120" s="247" t="str">
        <f t="shared" si="9"/>
        <v/>
      </c>
      <c r="E120" s="248" t="str">
        <f t="shared" si="10"/>
        <v/>
      </c>
      <c r="F120" s="256"/>
      <c r="G120" s="257"/>
      <c r="H120" s="294"/>
      <c r="I120" s="331"/>
      <c r="J120" s="265"/>
      <c r="K120" s="266" t="e">
        <f>INDEX(Odds!G:G,MATCH(I120,Odds!E:E,0))</f>
        <v>#N/A</v>
      </c>
      <c r="L120" s="263" t="e">
        <f>INDEX(Odds!H:H,MATCH(I120,Odds!E:E,0))</f>
        <v>#N/A</v>
      </c>
      <c r="M120" s="264" t="e">
        <f t="shared" si="11"/>
        <v>#N/A</v>
      </c>
      <c r="N120" s="51"/>
      <c r="O120" s="66"/>
      <c r="Q120" s="42" t="str">
        <f>IF(Odds!E120="","",Odds!E120)</f>
        <v>Northampton</v>
      </c>
      <c r="R120" s="43" t="str">
        <f>INDEX(Odds!F:F,MATCH(Q120,Odds!E:E,0))</f>
        <v>11/4</v>
      </c>
      <c r="S120" s="47">
        <f t="shared" si="12"/>
        <v>1</v>
      </c>
    </row>
    <row r="121" spans="1:19" ht="13.8" thickBot="1" x14ac:dyDescent="0.3">
      <c r="A121" s="325" t="str">
        <f>A119</f>
        <v>Martin Molyneux</v>
      </c>
      <c r="B121" s="251" t="str">
        <f t="shared" si="7"/>
        <v/>
      </c>
      <c r="C121" s="252" t="str">
        <f t="shared" si="8"/>
        <v/>
      </c>
      <c r="D121" s="253" t="str">
        <f t="shared" si="9"/>
        <v/>
      </c>
      <c r="E121" s="248" t="str">
        <f t="shared" si="10"/>
        <v/>
      </c>
      <c r="F121" s="256"/>
      <c r="G121" s="257"/>
      <c r="H121" s="294"/>
      <c r="I121" s="332"/>
      <c r="J121" s="267"/>
      <c r="K121" s="268" t="e">
        <f>INDEX(Odds!G:G,MATCH(I121,Odds!E:E,0))</f>
        <v>#N/A</v>
      </c>
      <c r="L121" s="263" t="e">
        <f>INDEX(Odds!H:H,MATCH(I121,Odds!E:E,0))</f>
        <v>#N/A</v>
      </c>
      <c r="M121" s="269" t="e">
        <f t="shared" si="11"/>
        <v>#N/A</v>
      </c>
      <c r="N121" s="51"/>
      <c r="O121" s="66"/>
      <c r="Q121" s="42" t="str">
        <f>IF(Odds!E121="","",Odds!E121)</f>
        <v>Cheltenham</v>
      </c>
      <c r="R121" s="43" t="str">
        <f>INDEX(Odds!F:F,MATCH(Q121,Odds!E:E,0))</f>
        <v>9/2</v>
      </c>
      <c r="S121" s="47">
        <f t="shared" si="12"/>
        <v>0</v>
      </c>
    </row>
    <row r="122" spans="1:19" ht="14.4" thickTop="1" thickBot="1" x14ac:dyDescent="0.3">
      <c r="A122" s="238" t="str">
        <f>Results!B122</f>
        <v>Martin Tarbuck</v>
      </c>
      <c r="B122" s="254" t="str">
        <f t="shared" si="7"/>
        <v/>
      </c>
      <c r="C122" s="246" t="str">
        <f t="shared" si="8"/>
        <v/>
      </c>
      <c r="D122" s="241" t="str">
        <f t="shared" si="9"/>
        <v/>
      </c>
      <c r="E122" s="255" t="str">
        <f t="shared" si="10"/>
        <v/>
      </c>
      <c r="F122" s="243" t="str">
        <f>IF(I122="","",INDEX(Results!T:T,MATCH(A122,Results!V:V,0)))</f>
        <v/>
      </c>
      <c r="G122" s="244" t="str">
        <f>IF(J122="","",INDEX(Results!AI:AI,MATCH(A122,Results!V:V,0)))</f>
        <v/>
      </c>
      <c r="H122" s="294">
        <f>IF(ISERROR(G122),0,1)</f>
        <v>1</v>
      </c>
      <c r="I122" s="331"/>
      <c r="J122" s="261"/>
      <c r="K122" s="262" t="e">
        <f>INDEX(Odds!G:G,MATCH(I122,Odds!E:E,0))</f>
        <v>#N/A</v>
      </c>
      <c r="L122" s="270" t="e">
        <f>INDEX(Odds!H:H,MATCH(I122,Odds!E:E,0))</f>
        <v>#N/A</v>
      </c>
      <c r="M122" s="264" t="e">
        <f t="shared" si="11"/>
        <v>#N/A</v>
      </c>
      <c r="N122" s="51"/>
      <c r="O122" s="66"/>
      <c r="Q122" s="42" t="str">
        <f>IF(Odds!E122="","",Odds!E122)</f>
        <v>Notts Co</v>
      </c>
      <c r="R122" s="43" t="str">
        <f>INDEX(Odds!F:F,MATCH(Q122,Odds!E:E,0))</f>
        <v>9/5</v>
      </c>
      <c r="S122" s="47">
        <f t="shared" si="12"/>
        <v>0</v>
      </c>
    </row>
    <row r="123" spans="1:19" x14ac:dyDescent="0.25">
      <c r="A123" s="324" t="str">
        <f>A122</f>
        <v>Martin Tarbuck</v>
      </c>
      <c r="B123" s="245" t="str">
        <f t="shared" si="7"/>
        <v/>
      </c>
      <c r="C123" s="246" t="str">
        <f t="shared" si="8"/>
        <v/>
      </c>
      <c r="D123" s="247" t="str">
        <f t="shared" si="9"/>
        <v/>
      </c>
      <c r="E123" s="248" t="str">
        <f t="shared" si="10"/>
        <v/>
      </c>
      <c r="F123" s="256"/>
      <c r="G123" s="257"/>
      <c r="H123" s="294"/>
      <c r="I123" s="331"/>
      <c r="J123" s="265"/>
      <c r="K123" s="266" t="e">
        <f>INDEX(Odds!G:G,MATCH(I123,Odds!E:E,0))</f>
        <v>#N/A</v>
      </c>
      <c r="L123" s="263" t="e">
        <f>INDEX(Odds!H:H,MATCH(I123,Odds!E:E,0))</f>
        <v>#N/A</v>
      </c>
      <c r="M123" s="264" t="e">
        <f t="shared" si="11"/>
        <v>#N/A</v>
      </c>
      <c r="N123" s="51"/>
      <c r="O123" s="66"/>
      <c r="Q123" s="42" t="str">
        <f>IF(Odds!E123="","",Odds!E123)</f>
        <v>Carlisle</v>
      </c>
      <c r="R123" s="43" t="str">
        <f>INDEX(Odds!F:F,MATCH(Q123,Odds!E:E,0))</f>
        <v>19/20</v>
      </c>
      <c r="S123" s="47">
        <f t="shared" si="12"/>
        <v>0</v>
      </c>
    </row>
    <row r="124" spans="1:19" ht="13.8" thickBot="1" x14ac:dyDescent="0.3">
      <c r="A124" s="325" t="str">
        <f>A122</f>
        <v>Martin Tarbuck</v>
      </c>
      <c r="B124" s="251" t="str">
        <f t="shared" si="7"/>
        <v/>
      </c>
      <c r="C124" s="252" t="str">
        <f t="shared" si="8"/>
        <v/>
      </c>
      <c r="D124" s="253" t="str">
        <f t="shared" si="9"/>
        <v/>
      </c>
      <c r="E124" s="248" t="str">
        <f t="shared" si="10"/>
        <v/>
      </c>
      <c r="F124" s="256"/>
      <c r="G124" s="257"/>
      <c r="H124" s="294"/>
      <c r="I124" s="332"/>
      <c r="J124" s="267"/>
      <c r="K124" s="268" t="e">
        <f>INDEX(Odds!G:G,MATCH(I124,Odds!E:E,0))</f>
        <v>#N/A</v>
      </c>
      <c r="L124" s="263" t="e">
        <f>INDEX(Odds!H:H,MATCH(I124,Odds!E:E,0))</f>
        <v>#N/A</v>
      </c>
      <c r="M124" s="269" t="e">
        <f t="shared" si="11"/>
        <v>#N/A</v>
      </c>
      <c r="N124" s="51"/>
      <c r="O124" s="66"/>
      <c r="Q124" s="42" t="str">
        <f>IF(Odds!E124="","",Odds!E124)</f>
        <v>Brighton</v>
      </c>
      <c r="R124" s="43" t="str">
        <f>INDEX(Odds!F:F,MATCH(Q124,Odds!E:E,0))</f>
        <v>17/2</v>
      </c>
      <c r="S124" s="47">
        <f t="shared" si="12"/>
        <v>0</v>
      </c>
    </row>
    <row r="125" spans="1:19" ht="14.4" thickTop="1" thickBot="1" x14ac:dyDescent="0.3">
      <c r="A125" s="238" t="str">
        <f>Results!B125</f>
        <v>Mike Penk</v>
      </c>
      <c r="B125" s="254" t="str">
        <f t="shared" si="7"/>
        <v/>
      </c>
      <c r="C125" s="246" t="str">
        <f t="shared" si="8"/>
        <v/>
      </c>
      <c r="D125" s="241" t="str">
        <f t="shared" si="9"/>
        <v/>
      </c>
      <c r="E125" s="255" t="str">
        <f t="shared" si="10"/>
        <v/>
      </c>
      <c r="F125" s="243" t="str">
        <f>IF(I125="","",INDEX(Results!T:T,MATCH(A125,Results!V:V,0)))</f>
        <v/>
      </c>
      <c r="G125" s="244" t="str">
        <f>IF(J125="","",INDEX(Results!AI:AI,MATCH(A125,Results!V:V,0)))</f>
        <v/>
      </c>
      <c r="H125" s="294">
        <f>IF(ISERROR(G125),0,1)</f>
        <v>1</v>
      </c>
      <c r="I125" s="331"/>
      <c r="J125" s="261"/>
      <c r="K125" s="262" t="e">
        <f>INDEX(Odds!G:G,MATCH(I125,Odds!E:E,0))</f>
        <v>#N/A</v>
      </c>
      <c r="L125" s="270" t="e">
        <f>INDEX(Odds!H:H,MATCH(I125,Odds!E:E,0))</f>
        <v>#N/A</v>
      </c>
      <c r="M125" s="264" t="e">
        <f t="shared" si="11"/>
        <v>#N/A</v>
      </c>
      <c r="N125" s="51"/>
      <c r="O125" s="66"/>
      <c r="Q125" s="42" t="str">
        <f>IF(Odds!E125="","",Odds!E125)</f>
        <v>Watford</v>
      </c>
      <c r="R125" s="43" t="str">
        <f>INDEX(Odds!F:F,MATCH(Q125,Odds!E:E,0))</f>
        <v>15/2</v>
      </c>
      <c r="S125" s="47">
        <f t="shared" si="12"/>
        <v>0</v>
      </c>
    </row>
    <row r="126" spans="1:19" x14ac:dyDescent="0.25">
      <c r="A126" s="324" t="str">
        <f>A125</f>
        <v>Mike Penk</v>
      </c>
      <c r="B126" s="245" t="str">
        <f t="shared" si="7"/>
        <v/>
      </c>
      <c r="C126" s="246" t="str">
        <f t="shared" si="8"/>
        <v/>
      </c>
      <c r="D126" s="247" t="str">
        <f t="shared" si="9"/>
        <v/>
      </c>
      <c r="E126" s="248" t="str">
        <f t="shared" si="10"/>
        <v/>
      </c>
      <c r="F126" s="256"/>
      <c r="G126" s="257"/>
      <c r="H126" s="294"/>
      <c r="I126" s="331"/>
      <c r="J126" s="265"/>
      <c r="K126" s="266" t="e">
        <f>INDEX(Odds!G:G,MATCH(I126,Odds!E:E,0))</f>
        <v>#N/A</v>
      </c>
      <c r="L126" s="263" t="e">
        <f>INDEX(Odds!H:H,MATCH(I126,Odds!E:E,0))</f>
        <v>#N/A</v>
      </c>
      <c r="M126" s="264" t="e">
        <f t="shared" si="11"/>
        <v>#N/A</v>
      </c>
      <c r="N126" s="51"/>
      <c r="O126" s="66"/>
      <c r="Q126" s="42" t="str">
        <f>IF(Odds!E126="","",Odds!E126)</f>
        <v>Man U</v>
      </c>
      <c r="R126" s="43" t="str">
        <f>INDEX(Odds!F:F,MATCH(Q126,Odds!E:E,0))</f>
        <v>3/10</v>
      </c>
      <c r="S126" s="47">
        <f t="shared" si="12"/>
        <v>0</v>
      </c>
    </row>
    <row r="127" spans="1:19" ht="13.8" thickBot="1" x14ac:dyDescent="0.3">
      <c r="A127" s="325" t="str">
        <f>A125</f>
        <v>Mike Penk</v>
      </c>
      <c r="B127" s="251" t="str">
        <f t="shared" si="7"/>
        <v/>
      </c>
      <c r="C127" s="252" t="str">
        <f t="shared" si="8"/>
        <v/>
      </c>
      <c r="D127" s="253" t="str">
        <f t="shared" si="9"/>
        <v/>
      </c>
      <c r="E127" s="248" t="str">
        <f t="shared" si="10"/>
        <v/>
      </c>
      <c r="F127" s="256"/>
      <c r="G127" s="257"/>
      <c r="H127" s="294"/>
      <c r="I127" s="332"/>
      <c r="J127" s="267"/>
      <c r="K127" s="268" t="e">
        <f>INDEX(Odds!G:G,MATCH(I127,Odds!E:E,0))</f>
        <v>#N/A</v>
      </c>
      <c r="L127" s="263" t="e">
        <f>INDEX(Odds!H:H,MATCH(I127,Odds!E:E,0))</f>
        <v>#N/A</v>
      </c>
      <c r="M127" s="269" t="e">
        <f t="shared" si="11"/>
        <v>#N/A</v>
      </c>
      <c r="N127" s="51"/>
      <c r="O127" s="66"/>
      <c r="Q127" s="42" t="str">
        <f>IF(Odds!E127="","",Odds!E127)</f>
        <v>Swansea</v>
      </c>
      <c r="R127" s="43" t="str">
        <f>INDEX(Odds!F:F,MATCH(Q127,Odds!E:E,0))</f>
        <v>7/4</v>
      </c>
      <c r="S127" s="47">
        <f t="shared" si="12"/>
        <v>0</v>
      </c>
    </row>
    <row r="128" spans="1:19" ht="14.4" thickTop="1" thickBot="1" x14ac:dyDescent="0.3">
      <c r="A128" s="238" t="str">
        <f>Results!B128</f>
        <v>Mo Sudell</v>
      </c>
      <c r="B128" s="254" t="str">
        <f t="shared" si="7"/>
        <v/>
      </c>
      <c r="C128" s="246" t="str">
        <f t="shared" si="8"/>
        <v/>
      </c>
      <c r="D128" s="241" t="str">
        <f t="shared" si="9"/>
        <v/>
      </c>
      <c r="E128" s="255" t="str">
        <f t="shared" si="10"/>
        <v/>
      </c>
      <c r="F128" s="243" t="str">
        <f>IF(I128="","",INDEX(Results!T:T,MATCH(A128,Results!V:V,0)))</f>
        <v/>
      </c>
      <c r="G128" s="244" t="str">
        <f>IF(J128="","",INDEX(Results!AI:AI,MATCH(A128,Results!V:V,0)))</f>
        <v/>
      </c>
      <c r="H128" s="294">
        <f>IF(ISERROR(G128),0,1)</f>
        <v>1</v>
      </c>
      <c r="I128" s="331"/>
      <c r="J128" s="261"/>
      <c r="K128" s="262" t="e">
        <f>INDEX(Odds!G:G,MATCH(I128,Odds!E:E,0))</f>
        <v>#N/A</v>
      </c>
      <c r="L128" s="270" t="e">
        <f>INDEX(Odds!H:H,MATCH(I128,Odds!E:E,0))</f>
        <v>#N/A</v>
      </c>
      <c r="M128" s="264" t="e">
        <f t="shared" si="11"/>
        <v>#N/A</v>
      </c>
      <c r="N128" s="51"/>
      <c r="O128" s="66"/>
      <c r="Q128" s="42" t="str">
        <f>IF(Odds!E128="","",Odds!E128)</f>
        <v>Preston</v>
      </c>
      <c r="R128" s="43" t="str">
        <f>INDEX(Odds!F:F,MATCH(Q128,Odds!E:E,0))</f>
        <v>11/4</v>
      </c>
      <c r="S128" s="47">
        <f t="shared" si="12"/>
        <v>0</v>
      </c>
    </row>
    <row r="129" spans="1:19" x14ac:dyDescent="0.25">
      <c r="A129" s="324" t="str">
        <f>A128</f>
        <v>Mo Sudell</v>
      </c>
      <c r="B129" s="245" t="str">
        <f t="shared" si="7"/>
        <v/>
      </c>
      <c r="C129" s="246" t="str">
        <f t="shared" si="8"/>
        <v/>
      </c>
      <c r="D129" s="247" t="str">
        <f t="shared" si="9"/>
        <v/>
      </c>
      <c r="E129" s="248" t="str">
        <f t="shared" si="10"/>
        <v/>
      </c>
      <c r="F129" s="256"/>
      <c r="G129" s="257"/>
      <c r="H129" s="294"/>
      <c r="I129" s="331"/>
      <c r="J129" s="265"/>
      <c r="K129" s="266" t="e">
        <f>INDEX(Odds!G:G,MATCH(I129,Odds!E:E,0))</f>
        <v>#N/A</v>
      </c>
      <c r="L129" s="263" t="e">
        <f>INDEX(Odds!H:H,MATCH(I129,Odds!E:E,0))</f>
        <v>#N/A</v>
      </c>
      <c r="M129" s="264" t="e">
        <f t="shared" si="11"/>
        <v>#N/A</v>
      </c>
      <c r="N129" s="51"/>
      <c r="O129" s="66"/>
      <c r="Q129" s="42" t="str">
        <f>IF(Odds!E129="","",Odds!E129)</f>
        <v>West Brom</v>
      </c>
      <c r="R129" s="43" t="str">
        <f>INDEX(Odds!F:F,MATCH(Q129,Odds!E:E,0))</f>
        <v>9/4</v>
      </c>
      <c r="S129" s="47">
        <f t="shared" si="12"/>
        <v>0</v>
      </c>
    </row>
    <row r="130" spans="1:19" ht="13.8" thickBot="1" x14ac:dyDescent="0.3">
      <c r="A130" s="325" t="str">
        <f>A128</f>
        <v>Mo Sudell</v>
      </c>
      <c r="B130" s="251" t="str">
        <f t="shared" si="7"/>
        <v/>
      </c>
      <c r="C130" s="252" t="str">
        <f t="shared" si="8"/>
        <v/>
      </c>
      <c r="D130" s="253" t="str">
        <f t="shared" si="9"/>
        <v/>
      </c>
      <c r="E130" s="248" t="str">
        <f t="shared" si="10"/>
        <v/>
      </c>
      <c r="F130" s="256"/>
      <c r="G130" s="257"/>
      <c r="H130" s="294"/>
      <c r="I130" s="332"/>
      <c r="J130" s="267"/>
      <c r="K130" s="268" t="e">
        <f>INDEX(Odds!G:G,MATCH(I130,Odds!E:E,0))</f>
        <v>#N/A</v>
      </c>
      <c r="L130" s="263" t="e">
        <f>INDEX(Odds!H:H,MATCH(I130,Odds!E:E,0))</f>
        <v>#N/A</v>
      </c>
      <c r="M130" s="269" t="e">
        <f t="shared" si="11"/>
        <v>#N/A</v>
      </c>
      <c r="N130" s="51"/>
      <c r="O130" s="66"/>
      <c r="Q130" s="42" t="str">
        <f>IF(Odds!E130="","",Odds!E130)</f>
        <v>Bolton</v>
      </c>
      <c r="R130" s="43" t="str">
        <f>INDEX(Odds!F:F,MATCH(Q130,Odds!E:E,0))</f>
        <v>/</v>
      </c>
      <c r="S130" s="47">
        <f t="shared" si="12"/>
        <v>0</v>
      </c>
    </row>
    <row r="131" spans="1:19" ht="14.4" thickTop="1" thickBot="1" x14ac:dyDescent="0.3">
      <c r="A131" s="238" t="str">
        <f>Results!B131</f>
        <v>Nick Blocksidge</v>
      </c>
      <c r="B131" s="254" t="str">
        <f t="shared" ref="B131:B184" si="13">IF(I131="","",I131)</f>
        <v/>
      </c>
      <c r="C131" s="246" t="str">
        <f t="shared" ref="C131:C184" si="14">IF(I131="","",J131)</f>
        <v/>
      </c>
      <c r="D131" s="241" t="str">
        <f t="shared" ref="D131:D184" si="15">IF(I131="","",K131)</f>
        <v/>
      </c>
      <c r="E131" s="255" t="str">
        <f t="shared" ref="E131:E184" si="16">IF(I131="","",IF(L131=1,"Correct",""))</f>
        <v/>
      </c>
      <c r="F131" s="243" t="str">
        <f>IF(I131="","",INDEX(Results!T:T,MATCH(A131,Results!V:V,0)))</f>
        <v/>
      </c>
      <c r="G131" s="244" t="str">
        <f>IF(J131="","",INDEX(Results!AI:AI,MATCH(A131,Results!V:V,0)))</f>
        <v/>
      </c>
      <c r="H131" s="294">
        <f>IF(ISERROR(G131),0,1)</f>
        <v>1</v>
      </c>
      <c r="I131" s="331"/>
      <c r="J131" s="261"/>
      <c r="K131" s="262" t="e">
        <f>INDEX(Odds!G:G,MATCH(I131,Odds!E:E,0))</f>
        <v>#N/A</v>
      </c>
      <c r="L131" s="270" t="e">
        <f>INDEX(Odds!H:H,MATCH(I131,Odds!E:E,0))</f>
        <v>#N/A</v>
      </c>
      <c r="M131" s="264" t="e">
        <f t="shared" si="11"/>
        <v>#N/A</v>
      </c>
      <c r="N131" s="51"/>
      <c r="O131" s="66"/>
      <c r="Q131" s="42" t="str">
        <f>IF(Odds!E131="","",Odds!E131)</f>
        <v>Bristol C</v>
      </c>
      <c r="R131" s="43" t="str">
        <f>INDEX(Odds!F:F,MATCH(Q131,Odds!E:E,0))</f>
        <v>7/5</v>
      </c>
      <c r="S131" s="47">
        <f t="shared" si="12"/>
        <v>0</v>
      </c>
    </row>
    <row r="132" spans="1:19" x14ac:dyDescent="0.25">
      <c r="A132" s="324" t="str">
        <f>A131</f>
        <v>Nick Blocksidge</v>
      </c>
      <c r="B132" s="245" t="str">
        <f t="shared" si="13"/>
        <v/>
      </c>
      <c r="C132" s="246" t="str">
        <f t="shared" si="14"/>
        <v/>
      </c>
      <c r="D132" s="247" t="str">
        <f t="shared" si="15"/>
        <v/>
      </c>
      <c r="E132" s="248" t="str">
        <f t="shared" si="16"/>
        <v/>
      </c>
      <c r="F132" s="256"/>
      <c r="G132" s="257"/>
      <c r="H132" s="294"/>
      <c r="I132" s="331"/>
      <c r="J132" s="265"/>
      <c r="K132" s="266" t="e">
        <f>INDEX(Odds!G:G,MATCH(I132,Odds!E:E,0))</f>
        <v>#N/A</v>
      </c>
      <c r="L132" s="263" t="e">
        <f>INDEX(Odds!H:H,MATCH(I132,Odds!E:E,0))</f>
        <v>#N/A</v>
      </c>
      <c r="M132" s="264" t="e">
        <f t="shared" si="11"/>
        <v>#N/A</v>
      </c>
      <c r="N132" s="51"/>
      <c r="O132" s="66"/>
      <c r="Q132" s="42" t="str">
        <f>IF(Odds!E132="","",Odds!E132)</f>
        <v>Leeds</v>
      </c>
      <c r="R132" s="43" t="str">
        <f>INDEX(Odds!F:F,MATCH(Q132,Odds!E:E,0))</f>
        <v>9/13</v>
      </c>
      <c r="S132" s="47">
        <f t="shared" si="12"/>
        <v>0</v>
      </c>
    </row>
    <row r="133" spans="1:19" ht="13.8" thickBot="1" x14ac:dyDescent="0.3">
      <c r="A133" s="325" t="str">
        <f>A131</f>
        <v>Nick Blocksidge</v>
      </c>
      <c r="B133" s="251" t="str">
        <f t="shared" si="13"/>
        <v/>
      </c>
      <c r="C133" s="252" t="str">
        <f t="shared" si="14"/>
        <v/>
      </c>
      <c r="D133" s="253" t="str">
        <f t="shared" si="15"/>
        <v/>
      </c>
      <c r="E133" s="248" t="str">
        <f t="shared" si="16"/>
        <v/>
      </c>
      <c r="F133" s="256"/>
      <c r="G133" s="257"/>
      <c r="H133" s="294"/>
      <c r="I133" s="332"/>
      <c r="J133" s="267"/>
      <c r="K133" s="268" t="e">
        <f>INDEX(Odds!G:G,MATCH(I133,Odds!E:E,0))</f>
        <v>#N/A</v>
      </c>
      <c r="L133" s="263" t="e">
        <f>INDEX(Odds!H:H,MATCH(I133,Odds!E:E,0))</f>
        <v>#N/A</v>
      </c>
      <c r="M133" s="269" t="e">
        <f t="shared" ref="M133:M184" si="17">K133*L133</f>
        <v>#N/A</v>
      </c>
      <c r="N133" s="51"/>
      <c r="O133" s="66"/>
      <c r="Q133" s="42" t="str">
        <f>IF(Odds!E133="","",Odds!E133)</f>
        <v>Birmingham</v>
      </c>
      <c r="R133" s="43" t="str">
        <f>INDEX(Odds!F:F,MATCH(Q133,Odds!E:E,0))</f>
        <v>13/8</v>
      </c>
      <c r="S133" s="47">
        <f t="shared" si="12"/>
        <v>0</v>
      </c>
    </row>
    <row r="134" spans="1:19" ht="14.4" thickTop="1" thickBot="1" x14ac:dyDescent="0.3">
      <c r="A134" s="238" t="str">
        <f>Results!B134</f>
        <v>Nigel Heyes</v>
      </c>
      <c r="B134" s="254" t="str">
        <f t="shared" si="13"/>
        <v/>
      </c>
      <c r="C134" s="246" t="str">
        <f t="shared" si="14"/>
        <v/>
      </c>
      <c r="D134" s="241" t="str">
        <f t="shared" si="15"/>
        <v/>
      </c>
      <c r="E134" s="255" t="str">
        <f t="shared" si="16"/>
        <v/>
      </c>
      <c r="F134" s="243" t="str">
        <f>IF(I134="","",INDEX(Results!T:T,MATCH(A134,Results!V:V,0)))</f>
        <v/>
      </c>
      <c r="G134" s="244" t="str">
        <f>IF(J134="","",INDEX(Results!AI:AI,MATCH(A134,Results!V:V,0)))</f>
        <v/>
      </c>
      <c r="H134" s="294">
        <f>IF(ISERROR(G134),0,1)</f>
        <v>1</v>
      </c>
      <c r="I134" s="331"/>
      <c r="J134" s="261"/>
      <c r="K134" s="262" t="e">
        <f>INDEX(Odds!G:G,MATCH(I134,Odds!E:E,0))</f>
        <v>#N/A</v>
      </c>
      <c r="L134" s="270" t="e">
        <f>INDEX(Odds!H:H,MATCH(I134,Odds!E:E,0))</f>
        <v>#N/A</v>
      </c>
      <c r="M134" s="264" t="e">
        <f t="shared" si="17"/>
        <v>#N/A</v>
      </c>
      <c r="N134" s="51"/>
      <c r="O134" s="66"/>
      <c r="Q134" s="42" t="str">
        <f>IF(Odds!E134="","",Odds!E134)</f>
        <v>Middlesbro</v>
      </c>
      <c r="R134" s="43" t="str">
        <f>INDEX(Odds!F:F,MATCH(Q134,Odds!E:E,0))</f>
        <v>11/13</v>
      </c>
      <c r="S134" s="47">
        <f t="shared" si="12"/>
        <v>1</v>
      </c>
    </row>
    <row r="135" spans="1:19" x14ac:dyDescent="0.25">
      <c r="A135" s="324" t="str">
        <f>A134</f>
        <v>Nigel Heyes</v>
      </c>
      <c r="B135" s="245" t="str">
        <f t="shared" si="13"/>
        <v/>
      </c>
      <c r="C135" s="246" t="str">
        <f t="shared" si="14"/>
        <v/>
      </c>
      <c r="D135" s="247" t="str">
        <f t="shared" si="15"/>
        <v/>
      </c>
      <c r="E135" s="248" t="str">
        <f t="shared" si="16"/>
        <v/>
      </c>
      <c r="F135" s="256"/>
      <c r="G135" s="257"/>
      <c r="H135" s="294"/>
      <c r="I135" s="331"/>
      <c r="J135" s="265"/>
      <c r="K135" s="266" t="e">
        <f>INDEX(Odds!G:G,MATCH(I135,Odds!E:E,0))</f>
        <v>#N/A</v>
      </c>
      <c r="L135" s="263" t="e">
        <f>INDEX(Odds!H:H,MATCH(I135,Odds!E:E,0))</f>
        <v>#N/A</v>
      </c>
      <c r="M135" s="264" t="e">
        <f t="shared" si="17"/>
        <v>#N/A</v>
      </c>
      <c r="N135" s="51"/>
      <c r="O135" s="66"/>
      <c r="Q135" s="42" t="str">
        <f>IF(Odds!E135="","",Odds!E135)</f>
        <v>QPR</v>
      </c>
      <c r="R135" s="43" t="str">
        <f>INDEX(Odds!F:F,MATCH(Q135,Odds!E:E,0))</f>
        <v>7/2</v>
      </c>
      <c r="S135" s="47">
        <f t="shared" si="12"/>
        <v>1</v>
      </c>
    </row>
    <row r="136" spans="1:19" ht="13.8" thickBot="1" x14ac:dyDescent="0.3">
      <c r="A136" s="325" t="str">
        <f>A134</f>
        <v>Nigel Heyes</v>
      </c>
      <c r="B136" s="251" t="str">
        <f t="shared" si="13"/>
        <v/>
      </c>
      <c r="C136" s="252" t="str">
        <f t="shared" si="14"/>
        <v/>
      </c>
      <c r="D136" s="253" t="str">
        <f t="shared" si="15"/>
        <v/>
      </c>
      <c r="E136" s="248" t="str">
        <f t="shared" si="16"/>
        <v/>
      </c>
      <c r="F136" s="256"/>
      <c r="G136" s="257"/>
      <c r="H136" s="294"/>
      <c r="I136" s="332"/>
      <c r="J136" s="267"/>
      <c r="K136" s="268" t="e">
        <f>INDEX(Odds!G:G,MATCH(I136,Odds!E:E,0))</f>
        <v>#N/A</v>
      </c>
      <c r="L136" s="263" t="e">
        <f>INDEX(Odds!H:H,MATCH(I136,Odds!E:E,0))</f>
        <v>#N/A</v>
      </c>
      <c r="M136" s="269" t="e">
        <f t="shared" si="17"/>
        <v>#N/A</v>
      </c>
      <c r="N136" s="51"/>
      <c r="O136" s="66"/>
      <c r="Q136" s="42" t="str">
        <f>IF(Odds!E136="","",Odds!E136)</f>
        <v>Sheff U</v>
      </c>
      <c r="R136" s="43" t="str">
        <f>INDEX(Odds!F:F,MATCH(Q136,Odds!E:E,0))</f>
        <v>21/20</v>
      </c>
      <c r="S136" s="47">
        <f t="shared" si="12"/>
        <v>0</v>
      </c>
    </row>
    <row r="137" spans="1:19" ht="14.4" thickTop="1" thickBot="1" x14ac:dyDescent="0.3">
      <c r="A137" s="238" t="str">
        <f>Results!B137</f>
        <v>Oscar Jackson</v>
      </c>
      <c r="B137" s="254" t="str">
        <f t="shared" si="13"/>
        <v/>
      </c>
      <c r="C137" s="246" t="str">
        <f t="shared" si="14"/>
        <v/>
      </c>
      <c r="D137" s="241" t="str">
        <f t="shared" si="15"/>
        <v/>
      </c>
      <c r="E137" s="255" t="str">
        <f t="shared" si="16"/>
        <v/>
      </c>
      <c r="F137" s="243" t="str">
        <f>IF(I137="","",INDEX(Results!T:T,MATCH(A137,Results!V:V,0)))</f>
        <v/>
      </c>
      <c r="G137" s="244" t="str">
        <f>IF(J137="","",INDEX(Results!AI:AI,MATCH(A137,Results!V:V,0)))</f>
        <v/>
      </c>
      <c r="H137" s="294">
        <f>IF(ISERROR(G137),0,1)</f>
        <v>1</v>
      </c>
      <c r="I137" s="331"/>
      <c r="J137" s="261"/>
      <c r="K137" s="262" t="e">
        <f>INDEX(Odds!G:G,MATCH(I137,Odds!E:E,0))</f>
        <v>#N/A</v>
      </c>
      <c r="L137" s="270" t="e">
        <f>INDEX(Odds!H:H,MATCH(I137,Odds!E:E,0))</f>
        <v>#N/A</v>
      </c>
      <c r="M137" s="264" t="e">
        <f t="shared" si="17"/>
        <v>#N/A</v>
      </c>
      <c r="N137" s="51"/>
      <c r="O137" s="66"/>
      <c r="Q137" s="42" t="str">
        <f>IF(Odds!E137="","",Odds!E137)</f>
        <v>Norwich</v>
      </c>
      <c r="R137" s="43" t="str">
        <f>INDEX(Odds!F:F,MATCH(Q137,Odds!E:E,0))</f>
        <v>2/1</v>
      </c>
      <c r="S137" s="47">
        <f t="shared" si="12"/>
        <v>1</v>
      </c>
    </row>
    <row r="138" spans="1:19" x14ac:dyDescent="0.25">
      <c r="A138" s="324" t="str">
        <f>A137</f>
        <v>Oscar Jackson</v>
      </c>
      <c r="B138" s="245" t="str">
        <f t="shared" si="13"/>
        <v/>
      </c>
      <c r="C138" s="246" t="str">
        <f t="shared" si="14"/>
        <v/>
      </c>
      <c r="D138" s="247" t="str">
        <f t="shared" si="15"/>
        <v/>
      </c>
      <c r="E138" s="248" t="str">
        <f t="shared" si="16"/>
        <v/>
      </c>
      <c r="F138" s="256"/>
      <c r="G138" s="257"/>
      <c r="H138" s="294"/>
      <c r="I138" s="331"/>
      <c r="J138" s="265"/>
      <c r="K138" s="266" t="e">
        <f>INDEX(Odds!G:G,MATCH(I138,Odds!E:E,0))</f>
        <v>#N/A</v>
      </c>
      <c r="L138" s="263" t="e">
        <f>INDEX(Odds!H:H,MATCH(I138,Odds!E:E,0))</f>
        <v>#N/A</v>
      </c>
      <c r="M138" s="264" t="e">
        <f t="shared" si="17"/>
        <v>#N/A</v>
      </c>
      <c r="N138" s="51"/>
      <c r="O138" s="66"/>
      <c r="Q138" s="42" t="str">
        <f>IF(Odds!E138="","",Odds!E138)</f>
        <v>Millwall</v>
      </c>
      <c r="R138" s="43" t="str">
        <f>INDEX(Odds!F:F,MATCH(Q138,Odds!E:E,0))</f>
        <v>21/10</v>
      </c>
      <c r="S138" s="47">
        <f t="shared" si="12"/>
        <v>0</v>
      </c>
    </row>
    <row r="139" spans="1:19" ht="13.8" thickBot="1" x14ac:dyDescent="0.3">
      <c r="A139" s="325" t="str">
        <f>A137</f>
        <v>Oscar Jackson</v>
      </c>
      <c r="B139" s="251" t="str">
        <f t="shared" si="13"/>
        <v/>
      </c>
      <c r="C139" s="252" t="str">
        <f t="shared" si="14"/>
        <v/>
      </c>
      <c r="D139" s="253" t="str">
        <f t="shared" si="15"/>
        <v/>
      </c>
      <c r="E139" s="248" t="str">
        <f t="shared" si="16"/>
        <v/>
      </c>
      <c r="F139" s="256"/>
      <c r="G139" s="257"/>
      <c r="H139" s="294"/>
      <c r="I139" s="332"/>
      <c r="J139" s="267"/>
      <c r="K139" s="268" t="e">
        <f>INDEX(Odds!G:G,MATCH(I139,Odds!E:E,0))</f>
        <v>#N/A</v>
      </c>
      <c r="L139" s="263" t="e">
        <f>INDEX(Odds!H:H,MATCH(I139,Odds!E:E,0))</f>
        <v>#N/A</v>
      </c>
      <c r="M139" s="269" t="e">
        <f t="shared" si="17"/>
        <v>#N/A</v>
      </c>
      <c r="N139" s="51"/>
      <c r="O139" s="66"/>
      <c r="Q139" s="48" t="str">
        <f>IF(Odds!E139="","",Odds!E139)</f>
        <v/>
      </c>
      <c r="R139" s="49" t="str">
        <f>INDEX(Odds!F:F,MATCH(Q139,Odds!E:E,0))</f>
        <v/>
      </c>
      <c r="S139" s="50" t="e">
        <f t="shared" si="12"/>
        <v>#N/A</v>
      </c>
    </row>
    <row r="140" spans="1:19" ht="14.4" thickTop="1" thickBot="1" x14ac:dyDescent="0.3">
      <c r="A140" s="238" t="str">
        <f>Results!B140</f>
        <v>Paul Adderley</v>
      </c>
      <c r="B140" s="254" t="str">
        <f t="shared" si="13"/>
        <v/>
      </c>
      <c r="C140" s="246" t="str">
        <f t="shared" si="14"/>
        <v/>
      </c>
      <c r="D140" s="241" t="str">
        <f t="shared" si="15"/>
        <v/>
      </c>
      <c r="E140" s="255" t="str">
        <f t="shared" si="16"/>
        <v/>
      </c>
      <c r="F140" s="243" t="str">
        <f>IF(I140="","",INDEX(Results!T:T,MATCH(A140,Results!V:V,0)))</f>
        <v/>
      </c>
      <c r="G140" s="244" t="str">
        <f>IF(J140="","",INDEX(Results!AI:AI,MATCH(A140,Results!V:V,0)))</f>
        <v/>
      </c>
      <c r="H140" s="294">
        <f>IF(ISERROR(G140),0,1)</f>
        <v>1</v>
      </c>
      <c r="I140" s="331"/>
      <c r="J140" s="261"/>
      <c r="K140" s="262" t="e">
        <f>INDEX(Odds!G:G,MATCH(I140,Odds!E:E,0))</f>
        <v>#N/A</v>
      </c>
      <c r="L140" s="270" t="e">
        <f>INDEX(Odds!H:H,MATCH(I140,Odds!E:E,0))</f>
        <v>#N/A</v>
      </c>
      <c r="M140" s="264" t="e">
        <f t="shared" si="17"/>
        <v>#N/A</v>
      </c>
      <c r="N140" s="51"/>
      <c r="O140" s="66"/>
    </row>
    <row r="141" spans="1:19" x14ac:dyDescent="0.25">
      <c r="A141" s="324" t="str">
        <f>A140</f>
        <v>Paul Adderley</v>
      </c>
      <c r="B141" s="245" t="str">
        <f t="shared" si="13"/>
        <v/>
      </c>
      <c r="C141" s="246" t="str">
        <f t="shared" si="14"/>
        <v/>
      </c>
      <c r="D141" s="247" t="str">
        <f t="shared" si="15"/>
        <v/>
      </c>
      <c r="E141" s="248" t="str">
        <f t="shared" si="16"/>
        <v/>
      </c>
      <c r="F141" s="256"/>
      <c r="G141" s="257"/>
      <c r="H141" s="294"/>
      <c r="I141" s="331"/>
      <c r="J141" s="265"/>
      <c r="K141" s="266" t="e">
        <f>INDEX(Odds!G:G,MATCH(I141,Odds!E:E,0))</f>
        <v>#N/A</v>
      </c>
      <c r="L141" s="263" t="e">
        <f>INDEX(Odds!H:H,MATCH(I141,Odds!E:E,0))</f>
        <v>#N/A</v>
      </c>
      <c r="M141" s="264" t="e">
        <f t="shared" si="17"/>
        <v>#N/A</v>
      </c>
      <c r="N141" s="51"/>
      <c r="O141" s="66"/>
    </row>
    <row r="142" spans="1:19" ht="13.8" thickBot="1" x14ac:dyDescent="0.3">
      <c r="A142" s="325" t="str">
        <f>A140</f>
        <v>Paul Adderley</v>
      </c>
      <c r="B142" s="251" t="str">
        <f t="shared" si="13"/>
        <v/>
      </c>
      <c r="C142" s="252" t="str">
        <f t="shared" si="14"/>
        <v/>
      </c>
      <c r="D142" s="253" t="str">
        <f t="shared" si="15"/>
        <v/>
      </c>
      <c r="E142" s="248" t="str">
        <f t="shared" si="16"/>
        <v/>
      </c>
      <c r="F142" s="256"/>
      <c r="G142" s="257"/>
      <c r="H142" s="294"/>
      <c r="I142" s="332"/>
      <c r="J142" s="267"/>
      <c r="K142" s="268" t="e">
        <f>INDEX(Odds!G:G,MATCH(I142,Odds!E:E,0))</f>
        <v>#N/A</v>
      </c>
      <c r="L142" s="263" t="e">
        <f>INDEX(Odds!H:H,MATCH(I142,Odds!E:E,0))</f>
        <v>#N/A</v>
      </c>
      <c r="M142" s="269" t="e">
        <f t="shared" si="17"/>
        <v>#N/A</v>
      </c>
      <c r="N142" s="51"/>
      <c r="O142" s="66"/>
    </row>
    <row r="143" spans="1:19" ht="14.4" thickTop="1" thickBot="1" x14ac:dyDescent="0.3">
      <c r="A143" s="238" t="str">
        <f>Results!B143</f>
        <v>Paul Allen</v>
      </c>
      <c r="B143" s="254" t="str">
        <f t="shared" si="13"/>
        <v/>
      </c>
      <c r="C143" s="246" t="str">
        <f t="shared" si="14"/>
        <v/>
      </c>
      <c r="D143" s="241" t="str">
        <f t="shared" si="15"/>
        <v/>
      </c>
      <c r="E143" s="255" t="str">
        <f t="shared" si="16"/>
        <v/>
      </c>
      <c r="F143" s="243" t="str">
        <f>IF(I143="","",INDEX(Results!T:T,MATCH(A143,Results!V:V,0)))</f>
        <v/>
      </c>
      <c r="G143" s="244" t="str">
        <f>IF(J143="","",INDEX(Results!AI:AI,MATCH(A143,Results!V:V,0)))</f>
        <v/>
      </c>
      <c r="H143" s="294">
        <f>IF(ISERROR(G143),0,1)</f>
        <v>1</v>
      </c>
      <c r="I143" s="331"/>
      <c r="J143" s="261"/>
      <c r="K143" s="262" t="e">
        <f>INDEX(Odds!G:G,MATCH(I143,Odds!E:E,0))</f>
        <v>#N/A</v>
      </c>
      <c r="L143" s="270" t="e">
        <f>INDEX(Odds!H:H,MATCH(I143,Odds!E:E,0))</f>
        <v>#N/A</v>
      </c>
      <c r="M143" s="264" t="e">
        <f t="shared" si="17"/>
        <v>#N/A</v>
      </c>
      <c r="N143" s="51"/>
      <c r="O143" s="66"/>
    </row>
    <row r="144" spans="1:19" x14ac:dyDescent="0.25">
      <c r="A144" s="324" t="str">
        <f>A143</f>
        <v>Paul Allen</v>
      </c>
      <c r="B144" s="245" t="str">
        <f t="shared" si="13"/>
        <v/>
      </c>
      <c r="C144" s="246" t="str">
        <f t="shared" si="14"/>
        <v/>
      </c>
      <c r="D144" s="247" t="str">
        <f t="shared" si="15"/>
        <v/>
      </c>
      <c r="E144" s="248" t="str">
        <f t="shared" si="16"/>
        <v/>
      </c>
      <c r="F144" s="256"/>
      <c r="G144" s="257"/>
      <c r="H144" s="294"/>
      <c r="I144" s="331"/>
      <c r="J144" s="265"/>
      <c r="K144" s="266" t="e">
        <f>INDEX(Odds!G:G,MATCH(I144,Odds!E:E,0))</f>
        <v>#N/A</v>
      </c>
      <c r="L144" s="263" t="e">
        <f>INDEX(Odds!H:H,MATCH(I144,Odds!E:E,0))</f>
        <v>#N/A</v>
      </c>
      <c r="M144" s="264" t="e">
        <f t="shared" si="17"/>
        <v>#N/A</v>
      </c>
      <c r="N144" s="51"/>
      <c r="O144" s="66"/>
    </row>
    <row r="145" spans="1:15" ht="13.8" thickBot="1" x14ac:dyDescent="0.3">
      <c r="A145" s="325" t="str">
        <f>A143</f>
        <v>Paul Allen</v>
      </c>
      <c r="B145" s="251" t="str">
        <f t="shared" si="13"/>
        <v/>
      </c>
      <c r="C145" s="252" t="str">
        <f t="shared" si="14"/>
        <v/>
      </c>
      <c r="D145" s="253" t="str">
        <f t="shared" si="15"/>
        <v/>
      </c>
      <c r="E145" s="248" t="str">
        <f t="shared" si="16"/>
        <v/>
      </c>
      <c r="F145" s="256"/>
      <c r="G145" s="257"/>
      <c r="H145" s="294"/>
      <c r="I145" s="332"/>
      <c r="J145" s="267"/>
      <c r="K145" s="268" t="e">
        <f>INDEX(Odds!G:G,MATCH(I145,Odds!E:E,0))</f>
        <v>#N/A</v>
      </c>
      <c r="L145" s="263" t="e">
        <f>INDEX(Odds!H:H,MATCH(I145,Odds!E:E,0))</f>
        <v>#N/A</v>
      </c>
      <c r="M145" s="269" t="e">
        <f t="shared" si="17"/>
        <v>#N/A</v>
      </c>
      <c r="N145" s="51"/>
      <c r="O145" s="66"/>
    </row>
    <row r="146" spans="1:15" ht="14.4" thickTop="1" thickBot="1" x14ac:dyDescent="0.3">
      <c r="A146" s="238" t="str">
        <f>Results!B146</f>
        <v>Paul Barnes</v>
      </c>
      <c r="B146" s="254" t="str">
        <f t="shared" si="13"/>
        <v/>
      </c>
      <c r="C146" s="246" t="str">
        <f t="shared" si="14"/>
        <v/>
      </c>
      <c r="D146" s="241" t="str">
        <f t="shared" si="15"/>
        <v/>
      </c>
      <c r="E146" s="255" t="str">
        <f t="shared" si="16"/>
        <v/>
      </c>
      <c r="F146" s="243" t="str">
        <f>IF(I146="","",INDEX(Results!T:T,MATCH(A146,Results!V:V,0)))</f>
        <v/>
      </c>
      <c r="G146" s="244" t="str">
        <f>IF(J146="","",INDEX(Results!AI:AI,MATCH(A146,Results!V:V,0)))</f>
        <v/>
      </c>
      <c r="H146" s="294">
        <f>IF(ISERROR(G146),0,1)</f>
        <v>1</v>
      </c>
      <c r="I146" s="331"/>
      <c r="J146" s="261"/>
      <c r="K146" s="262" t="e">
        <f>INDEX(Odds!G:G,MATCH(I146,Odds!E:E,0))</f>
        <v>#N/A</v>
      </c>
      <c r="L146" s="270" t="e">
        <f>INDEX(Odds!H:H,MATCH(I146,Odds!E:E,0))</f>
        <v>#N/A</v>
      </c>
      <c r="M146" s="264" t="e">
        <f t="shared" si="17"/>
        <v>#N/A</v>
      </c>
      <c r="N146" s="51"/>
      <c r="O146" s="66"/>
    </row>
    <row r="147" spans="1:15" x14ac:dyDescent="0.25">
      <c r="A147" s="324" t="str">
        <f>A146</f>
        <v>Paul Barnes</v>
      </c>
      <c r="B147" s="245" t="str">
        <f t="shared" si="13"/>
        <v/>
      </c>
      <c r="C147" s="246" t="str">
        <f t="shared" si="14"/>
        <v/>
      </c>
      <c r="D147" s="247" t="str">
        <f t="shared" si="15"/>
        <v/>
      </c>
      <c r="E147" s="248" t="str">
        <f t="shared" si="16"/>
        <v/>
      </c>
      <c r="F147" s="256"/>
      <c r="G147" s="257"/>
      <c r="H147" s="294"/>
      <c r="I147" s="331"/>
      <c r="J147" s="265"/>
      <c r="K147" s="266" t="e">
        <f>INDEX(Odds!G:G,MATCH(I147,Odds!E:E,0))</f>
        <v>#N/A</v>
      </c>
      <c r="L147" s="263" t="e">
        <f>INDEX(Odds!H:H,MATCH(I147,Odds!E:E,0))</f>
        <v>#N/A</v>
      </c>
      <c r="M147" s="264" t="e">
        <f t="shared" si="17"/>
        <v>#N/A</v>
      </c>
      <c r="N147" s="51"/>
      <c r="O147" s="66"/>
    </row>
    <row r="148" spans="1:15" ht="13.8" thickBot="1" x14ac:dyDescent="0.3">
      <c r="A148" s="325" t="str">
        <f>A146</f>
        <v>Paul Barnes</v>
      </c>
      <c r="B148" s="251" t="str">
        <f t="shared" si="13"/>
        <v/>
      </c>
      <c r="C148" s="252" t="str">
        <f t="shared" si="14"/>
        <v/>
      </c>
      <c r="D148" s="253" t="str">
        <f t="shared" si="15"/>
        <v/>
      </c>
      <c r="E148" s="248" t="str">
        <f t="shared" si="16"/>
        <v/>
      </c>
      <c r="F148" s="256"/>
      <c r="G148" s="257"/>
      <c r="H148" s="294"/>
      <c r="I148" s="332"/>
      <c r="J148" s="267"/>
      <c r="K148" s="268" t="e">
        <f>INDEX(Odds!G:G,MATCH(I148,Odds!E:E,0))</f>
        <v>#N/A</v>
      </c>
      <c r="L148" s="263" t="e">
        <f>INDEX(Odds!H:H,MATCH(I148,Odds!E:E,0))</f>
        <v>#N/A</v>
      </c>
      <c r="M148" s="269" t="e">
        <f t="shared" si="17"/>
        <v>#N/A</v>
      </c>
      <c r="N148" s="51"/>
      <c r="O148" s="66"/>
    </row>
    <row r="149" spans="1:15" ht="14.4" thickTop="1" thickBot="1" x14ac:dyDescent="0.3">
      <c r="A149" s="238" t="str">
        <f>Results!B149</f>
        <v>Paul Fairhurst</v>
      </c>
      <c r="B149" s="254" t="str">
        <f t="shared" si="13"/>
        <v/>
      </c>
      <c r="C149" s="246" t="str">
        <f t="shared" si="14"/>
        <v/>
      </c>
      <c r="D149" s="241" t="str">
        <f t="shared" si="15"/>
        <v/>
      </c>
      <c r="E149" s="255" t="str">
        <f t="shared" si="16"/>
        <v/>
      </c>
      <c r="F149" s="243" t="str">
        <f>IF(I149="","",INDEX(Results!T:T,MATCH(A149,Results!V:V,0)))</f>
        <v/>
      </c>
      <c r="G149" s="244" t="str">
        <f>IF(J149="","",INDEX(Results!AI:AI,MATCH(A149,Results!V:V,0)))</f>
        <v/>
      </c>
      <c r="H149" s="294">
        <f>IF(ISERROR(G149),0,1)</f>
        <v>1</v>
      </c>
      <c r="I149" s="331"/>
      <c r="J149" s="261"/>
      <c r="K149" s="262" t="e">
        <f>INDEX(Odds!G:G,MATCH(I149,Odds!E:E,0))</f>
        <v>#N/A</v>
      </c>
      <c r="L149" s="270" t="e">
        <f>INDEX(Odds!H:H,MATCH(I149,Odds!E:E,0))</f>
        <v>#N/A</v>
      </c>
      <c r="M149" s="264" t="e">
        <f t="shared" si="17"/>
        <v>#N/A</v>
      </c>
      <c r="N149" s="51"/>
      <c r="O149" s="66"/>
    </row>
    <row r="150" spans="1:15" x14ac:dyDescent="0.25">
      <c r="A150" s="324" t="str">
        <f>A149</f>
        <v>Paul Fairhurst</v>
      </c>
      <c r="B150" s="245" t="str">
        <f t="shared" si="13"/>
        <v/>
      </c>
      <c r="C150" s="246" t="str">
        <f t="shared" si="14"/>
        <v/>
      </c>
      <c r="D150" s="247" t="str">
        <f t="shared" si="15"/>
        <v/>
      </c>
      <c r="E150" s="248" t="str">
        <f t="shared" si="16"/>
        <v/>
      </c>
      <c r="F150" s="256"/>
      <c r="G150" s="257"/>
      <c r="H150" s="294"/>
      <c r="I150" s="331"/>
      <c r="J150" s="265"/>
      <c r="K150" s="266" t="e">
        <f>INDEX(Odds!G:G,MATCH(I150,Odds!E:E,0))</f>
        <v>#N/A</v>
      </c>
      <c r="L150" s="263" t="e">
        <f>INDEX(Odds!H:H,MATCH(I150,Odds!E:E,0))</f>
        <v>#N/A</v>
      </c>
      <c r="M150" s="264" t="e">
        <f t="shared" si="17"/>
        <v>#N/A</v>
      </c>
      <c r="N150" s="51"/>
      <c r="O150" s="66"/>
    </row>
    <row r="151" spans="1:15" ht="13.8" thickBot="1" x14ac:dyDescent="0.3">
      <c r="A151" s="325" t="str">
        <f>A149</f>
        <v>Paul Fairhurst</v>
      </c>
      <c r="B151" s="251" t="str">
        <f t="shared" si="13"/>
        <v/>
      </c>
      <c r="C151" s="252" t="str">
        <f t="shared" si="14"/>
        <v/>
      </c>
      <c r="D151" s="253" t="str">
        <f t="shared" si="15"/>
        <v/>
      </c>
      <c r="E151" s="248" t="str">
        <f t="shared" si="16"/>
        <v/>
      </c>
      <c r="F151" s="256"/>
      <c r="G151" s="257"/>
      <c r="H151" s="294"/>
      <c r="I151" s="332"/>
      <c r="J151" s="267"/>
      <c r="K151" s="268" t="e">
        <f>INDEX(Odds!G:G,MATCH(I151,Odds!E:E,0))</f>
        <v>#N/A</v>
      </c>
      <c r="L151" s="263" t="e">
        <f>INDEX(Odds!H:H,MATCH(I151,Odds!E:E,0))</f>
        <v>#N/A</v>
      </c>
      <c r="M151" s="269" t="e">
        <f t="shared" si="17"/>
        <v>#N/A</v>
      </c>
      <c r="N151" s="51"/>
      <c r="O151" s="66"/>
    </row>
    <row r="152" spans="1:15" ht="14.4" thickTop="1" thickBot="1" x14ac:dyDescent="0.3">
      <c r="A152" s="238" t="str">
        <f>Results!B152</f>
        <v>Paul Fiddler</v>
      </c>
      <c r="B152" s="254" t="str">
        <f t="shared" si="13"/>
        <v/>
      </c>
      <c r="C152" s="246" t="str">
        <f t="shared" si="14"/>
        <v/>
      </c>
      <c r="D152" s="241" t="str">
        <f t="shared" si="15"/>
        <v/>
      </c>
      <c r="E152" s="255" t="str">
        <f t="shared" si="16"/>
        <v/>
      </c>
      <c r="F152" s="243" t="str">
        <f>IF(I152="","",INDEX(Results!T:T,MATCH(A152,Results!V:V,0)))</f>
        <v/>
      </c>
      <c r="G152" s="244" t="str">
        <f>IF(J152="","",INDEX(Results!AI:AI,MATCH(A152,Results!V:V,0)))</f>
        <v/>
      </c>
      <c r="H152" s="294">
        <f>IF(ISERROR(G152),0,1)</f>
        <v>1</v>
      </c>
      <c r="I152" s="331"/>
      <c r="J152" s="261"/>
      <c r="K152" s="262" t="e">
        <f>INDEX(Odds!G:G,MATCH(I152,Odds!E:E,0))</f>
        <v>#N/A</v>
      </c>
      <c r="L152" s="270" t="e">
        <f>INDEX(Odds!H:H,MATCH(I152,Odds!E:E,0))</f>
        <v>#N/A</v>
      </c>
      <c r="M152" s="264" t="e">
        <f t="shared" si="17"/>
        <v>#N/A</v>
      </c>
      <c r="N152" s="51"/>
      <c r="O152" s="66"/>
    </row>
    <row r="153" spans="1:15" ht="14.25" customHeight="1" x14ac:dyDescent="0.25">
      <c r="A153" s="324" t="str">
        <f>A152</f>
        <v>Paul Fiddler</v>
      </c>
      <c r="B153" s="245" t="str">
        <f t="shared" si="13"/>
        <v/>
      </c>
      <c r="C153" s="246" t="str">
        <f t="shared" si="14"/>
        <v/>
      </c>
      <c r="D153" s="247" t="str">
        <f t="shared" si="15"/>
        <v/>
      </c>
      <c r="E153" s="248" t="str">
        <f t="shared" si="16"/>
        <v/>
      </c>
      <c r="F153" s="256"/>
      <c r="G153" s="257"/>
      <c r="H153" s="294"/>
      <c r="I153" s="331"/>
      <c r="J153" s="265"/>
      <c r="K153" s="266" t="e">
        <f>INDEX(Odds!G:G,MATCH(I153,Odds!E:E,0))</f>
        <v>#N/A</v>
      </c>
      <c r="L153" s="263" t="e">
        <f>INDEX(Odds!H:H,MATCH(I153,Odds!E:E,0))</f>
        <v>#N/A</v>
      </c>
      <c r="M153" s="264" t="e">
        <f t="shared" si="17"/>
        <v>#N/A</v>
      </c>
      <c r="N153" s="51"/>
      <c r="O153" s="66"/>
    </row>
    <row r="154" spans="1:15" ht="13.8" thickBot="1" x14ac:dyDescent="0.3">
      <c r="A154" s="325" t="str">
        <f>A152</f>
        <v>Paul Fiddler</v>
      </c>
      <c r="B154" s="251" t="str">
        <f t="shared" si="13"/>
        <v/>
      </c>
      <c r="C154" s="252" t="str">
        <f t="shared" si="14"/>
        <v/>
      </c>
      <c r="D154" s="253" t="str">
        <f t="shared" si="15"/>
        <v/>
      </c>
      <c r="E154" s="248" t="str">
        <f t="shared" si="16"/>
        <v/>
      </c>
      <c r="F154" s="256"/>
      <c r="G154" s="257"/>
      <c r="H154" s="294"/>
      <c r="I154" s="332"/>
      <c r="J154" s="267"/>
      <c r="K154" s="268" t="e">
        <f>INDEX(Odds!G:G,MATCH(I154,Odds!E:E,0))</f>
        <v>#N/A</v>
      </c>
      <c r="L154" s="263" t="e">
        <f>INDEX(Odds!H:H,MATCH(I154,Odds!E:E,0))</f>
        <v>#N/A</v>
      </c>
      <c r="M154" s="269" t="e">
        <f t="shared" si="17"/>
        <v>#N/A</v>
      </c>
      <c r="N154" s="51"/>
      <c r="O154" s="66"/>
    </row>
    <row r="155" spans="1:15" ht="14.4" thickTop="1" thickBot="1" x14ac:dyDescent="0.3">
      <c r="A155" s="238" t="str">
        <f>Results!B155</f>
        <v>Paul Ridgeway</v>
      </c>
      <c r="B155" s="254" t="str">
        <f t="shared" si="13"/>
        <v/>
      </c>
      <c r="C155" s="246" t="str">
        <f t="shared" si="14"/>
        <v/>
      </c>
      <c r="D155" s="241" t="str">
        <f t="shared" si="15"/>
        <v/>
      </c>
      <c r="E155" s="255" t="str">
        <f t="shared" si="16"/>
        <v/>
      </c>
      <c r="F155" s="243" t="str">
        <f>IF(I155="","",INDEX(Results!T:T,MATCH(A155,Results!V:V,0)))</f>
        <v/>
      </c>
      <c r="G155" s="244" t="str">
        <f>IF(J155="","",INDEX(Results!AI:AI,MATCH(A155,Results!V:V,0)))</f>
        <v/>
      </c>
      <c r="H155" s="294">
        <f>IF(ISERROR(G155),0,1)</f>
        <v>1</v>
      </c>
      <c r="I155" s="331"/>
      <c r="J155" s="261"/>
      <c r="K155" s="262" t="e">
        <f>INDEX(Odds!G:G,MATCH(I155,Odds!E:E,0))</f>
        <v>#N/A</v>
      </c>
      <c r="L155" s="270" t="e">
        <f>INDEX(Odds!H:H,MATCH(I155,Odds!E:E,0))</f>
        <v>#N/A</v>
      </c>
      <c r="M155" s="264" t="e">
        <f t="shared" si="17"/>
        <v>#N/A</v>
      </c>
      <c r="N155" s="51"/>
      <c r="O155" s="66"/>
    </row>
    <row r="156" spans="1:15" x14ac:dyDescent="0.25">
      <c r="A156" s="324" t="str">
        <f>A155</f>
        <v>Paul Ridgeway</v>
      </c>
      <c r="B156" s="245" t="str">
        <f t="shared" si="13"/>
        <v/>
      </c>
      <c r="C156" s="246" t="str">
        <f t="shared" si="14"/>
        <v/>
      </c>
      <c r="D156" s="247" t="str">
        <f t="shared" si="15"/>
        <v/>
      </c>
      <c r="E156" s="248" t="str">
        <f t="shared" si="16"/>
        <v/>
      </c>
      <c r="F156" s="256"/>
      <c r="G156" s="257"/>
      <c r="H156" s="294"/>
      <c r="I156" s="331"/>
      <c r="J156" s="265"/>
      <c r="K156" s="266" t="e">
        <f>INDEX(Odds!G:G,MATCH(I156,Odds!E:E,0))</f>
        <v>#N/A</v>
      </c>
      <c r="L156" s="263" t="e">
        <f>INDEX(Odds!H:H,MATCH(I156,Odds!E:E,0))</f>
        <v>#N/A</v>
      </c>
      <c r="M156" s="264" t="e">
        <f t="shared" si="17"/>
        <v>#N/A</v>
      </c>
      <c r="N156" s="51"/>
      <c r="O156" s="66"/>
    </row>
    <row r="157" spans="1:15" ht="13.8" thickBot="1" x14ac:dyDescent="0.3">
      <c r="A157" s="325" t="str">
        <f>A155</f>
        <v>Paul Ridgeway</v>
      </c>
      <c r="B157" s="251" t="str">
        <f t="shared" si="13"/>
        <v/>
      </c>
      <c r="C157" s="252" t="str">
        <f t="shared" si="14"/>
        <v/>
      </c>
      <c r="D157" s="253" t="str">
        <f t="shared" si="15"/>
        <v/>
      </c>
      <c r="E157" s="248" t="str">
        <f t="shared" si="16"/>
        <v/>
      </c>
      <c r="F157" s="256"/>
      <c r="G157" s="257"/>
      <c r="H157" s="294"/>
      <c r="I157" s="332"/>
      <c r="J157" s="267"/>
      <c r="K157" s="268" t="e">
        <f>INDEX(Odds!G:G,MATCH(I157,Odds!E:E,0))</f>
        <v>#N/A</v>
      </c>
      <c r="L157" s="263" t="e">
        <f>INDEX(Odds!H:H,MATCH(I157,Odds!E:E,0))</f>
        <v>#N/A</v>
      </c>
      <c r="M157" s="269" t="e">
        <f t="shared" si="17"/>
        <v>#N/A</v>
      </c>
      <c r="N157" s="51"/>
      <c r="O157" s="66"/>
    </row>
    <row r="158" spans="1:15" ht="14.4" thickTop="1" thickBot="1" x14ac:dyDescent="0.3">
      <c r="A158" s="238" t="str">
        <f>Results!B158</f>
        <v>Pete Baron</v>
      </c>
      <c r="B158" s="254" t="str">
        <f t="shared" si="13"/>
        <v/>
      </c>
      <c r="C158" s="246" t="str">
        <f t="shared" si="14"/>
        <v/>
      </c>
      <c r="D158" s="241" t="str">
        <f t="shared" si="15"/>
        <v/>
      </c>
      <c r="E158" s="255" t="str">
        <f t="shared" si="16"/>
        <v/>
      </c>
      <c r="F158" s="243" t="str">
        <f>IF(I158="","",INDEX(Results!T:T,MATCH(A158,Results!V:V,0)))</f>
        <v/>
      </c>
      <c r="G158" s="244" t="str">
        <f>IF(J158="","",INDEX(Results!AI:AI,MATCH(A158,Results!V:V,0)))</f>
        <v/>
      </c>
      <c r="H158" s="294">
        <f>IF(ISERROR(G158),0,1)</f>
        <v>1</v>
      </c>
      <c r="I158" s="331"/>
      <c r="J158" s="261"/>
      <c r="K158" s="262" t="e">
        <f>INDEX(Odds!G:G,MATCH(I158,Odds!E:E,0))</f>
        <v>#N/A</v>
      </c>
      <c r="L158" s="270" t="e">
        <f>INDEX(Odds!H:H,MATCH(I158,Odds!E:E,0))</f>
        <v>#N/A</v>
      </c>
      <c r="M158" s="264" t="e">
        <f t="shared" si="17"/>
        <v>#N/A</v>
      </c>
      <c r="N158" s="51"/>
      <c r="O158" s="66"/>
    </row>
    <row r="159" spans="1:15" x14ac:dyDescent="0.25">
      <c r="A159" s="324" t="str">
        <f>A158</f>
        <v>Pete Baron</v>
      </c>
      <c r="B159" s="245" t="str">
        <f t="shared" si="13"/>
        <v/>
      </c>
      <c r="C159" s="246" t="str">
        <f t="shared" si="14"/>
        <v/>
      </c>
      <c r="D159" s="247" t="str">
        <f t="shared" si="15"/>
        <v/>
      </c>
      <c r="E159" s="248" t="str">
        <f t="shared" si="16"/>
        <v/>
      </c>
      <c r="F159" s="256"/>
      <c r="G159" s="257"/>
      <c r="H159" s="294"/>
      <c r="I159" s="331"/>
      <c r="J159" s="265"/>
      <c r="K159" s="266" t="e">
        <f>INDEX(Odds!G:G,MATCH(I159,Odds!E:E,0))</f>
        <v>#N/A</v>
      </c>
      <c r="L159" s="263" t="e">
        <f>INDEX(Odds!H:H,MATCH(I159,Odds!E:E,0))</f>
        <v>#N/A</v>
      </c>
      <c r="M159" s="264" t="e">
        <f t="shared" si="17"/>
        <v>#N/A</v>
      </c>
      <c r="N159" s="51"/>
      <c r="O159" s="66"/>
    </row>
    <row r="160" spans="1:15" ht="13.8" thickBot="1" x14ac:dyDescent="0.3">
      <c r="A160" s="325" t="str">
        <f>A158</f>
        <v>Pete Baron</v>
      </c>
      <c r="B160" s="251" t="str">
        <f t="shared" si="13"/>
        <v/>
      </c>
      <c r="C160" s="252" t="str">
        <f t="shared" si="14"/>
        <v/>
      </c>
      <c r="D160" s="253" t="str">
        <f t="shared" si="15"/>
        <v/>
      </c>
      <c r="E160" s="248" t="str">
        <f t="shared" si="16"/>
        <v/>
      </c>
      <c r="F160" s="256"/>
      <c r="G160" s="257"/>
      <c r="H160" s="294"/>
      <c r="I160" s="332"/>
      <c r="J160" s="267"/>
      <c r="K160" s="268" t="e">
        <f>INDEX(Odds!G:G,MATCH(I160,Odds!E:E,0))</f>
        <v>#N/A</v>
      </c>
      <c r="L160" s="263" t="e">
        <f>INDEX(Odds!H:H,MATCH(I160,Odds!E:E,0))</f>
        <v>#N/A</v>
      </c>
      <c r="M160" s="269" t="e">
        <f t="shared" si="17"/>
        <v>#N/A</v>
      </c>
      <c r="N160" s="51"/>
      <c r="O160" s="66"/>
    </row>
    <row r="161" spans="1:15" ht="14.4" thickTop="1" thickBot="1" x14ac:dyDescent="0.3">
      <c r="A161" s="238" t="str">
        <f>Results!B161</f>
        <v>Phil Brown</v>
      </c>
      <c r="B161" s="254" t="str">
        <f t="shared" si="13"/>
        <v/>
      </c>
      <c r="C161" s="246" t="str">
        <f t="shared" si="14"/>
        <v/>
      </c>
      <c r="D161" s="241" t="str">
        <f t="shared" si="15"/>
        <v/>
      </c>
      <c r="E161" s="255" t="str">
        <f t="shared" si="16"/>
        <v/>
      </c>
      <c r="F161" s="243" t="str">
        <f>IF(I161="","",INDEX(Results!T:T,MATCH(A161,Results!V:V,0)))</f>
        <v/>
      </c>
      <c r="G161" s="244" t="str">
        <f>IF(J161="","",INDEX(Results!AI:AI,MATCH(A161,Results!V:V,0)))</f>
        <v/>
      </c>
      <c r="H161" s="294">
        <f>IF(ISERROR(G161),0,1)</f>
        <v>1</v>
      </c>
      <c r="I161" s="331"/>
      <c r="J161" s="261"/>
      <c r="K161" s="262" t="e">
        <f>INDEX(Odds!G:G,MATCH(I161,Odds!E:E,0))</f>
        <v>#N/A</v>
      </c>
      <c r="L161" s="270" t="e">
        <f>INDEX(Odds!H:H,MATCH(I161,Odds!E:E,0))</f>
        <v>#N/A</v>
      </c>
      <c r="M161" s="264" t="e">
        <f t="shared" si="17"/>
        <v>#N/A</v>
      </c>
      <c r="N161" s="51"/>
      <c r="O161" s="66"/>
    </row>
    <row r="162" spans="1:15" x14ac:dyDescent="0.25">
      <c r="A162" s="324" t="str">
        <f>A161</f>
        <v>Phil Brown</v>
      </c>
      <c r="B162" s="245" t="str">
        <f t="shared" si="13"/>
        <v/>
      </c>
      <c r="C162" s="246" t="str">
        <f t="shared" si="14"/>
        <v/>
      </c>
      <c r="D162" s="247" t="str">
        <f t="shared" si="15"/>
        <v/>
      </c>
      <c r="E162" s="248" t="str">
        <f t="shared" si="16"/>
        <v/>
      </c>
      <c r="F162" s="256"/>
      <c r="G162" s="257"/>
      <c r="H162" s="294"/>
      <c r="I162" s="331"/>
      <c r="J162" s="265"/>
      <c r="K162" s="266" t="e">
        <f>INDEX(Odds!G:G,MATCH(I162,Odds!E:E,0))</f>
        <v>#N/A</v>
      </c>
      <c r="L162" s="263" t="e">
        <f>INDEX(Odds!H:H,MATCH(I162,Odds!E:E,0))</f>
        <v>#N/A</v>
      </c>
      <c r="M162" s="264" t="e">
        <f t="shared" si="17"/>
        <v>#N/A</v>
      </c>
      <c r="N162" s="51"/>
      <c r="O162" s="66"/>
    </row>
    <row r="163" spans="1:15" ht="13.8" thickBot="1" x14ac:dyDescent="0.3">
      <c r="A163" s="325" t="str">
        <f>A161</f>
        <v>Phil Brown</v>
      </c>
      <c r="B163" s="251" t="str">
        <f t="shared" si="13"/>
        <v/>
      </c>
      <c r="C163" s="252" t="str">
        <f t="shared" si="14"/>
        <v/>
      </c>
      <c r="D163" s="253" t="str">
        <f t="shared" si="15"/>
        <v/>
      </c>
      <c r="E163" s="248" t="str">
        <f t="shared" si="16"/>
        <v/>
      </c>
      <c r="F163" s="256"/>
      <c r="G163" s="257"/>
      <c r="H163" s="294"/>
      <c r="I163" s="332"/>
      <c r="J163" s="267"/>
      <c r="K163" s="268" t="e">
        <f>INDEX(Odds!G:G,MATCH(I163,Odds!E:E,0))</f>
        <v>#N/A</v>
      </c>
      <c r="L163" s="263" t="e">
        <f>INDEX(Odds!H:H,MATCH(I163,Odds!E:E,0))</f>
        <v>#N/A</v>
      </c>
      <c r="M163" s="269" t="e">
        <f t="shared" si="17"/>
        <v>#N/A</v>
      </c>
      <c r="N163" s="51"/>
      <c r="O163" s="66"/>
    </row>
    <row r="164" spans="1:15" ht="14.4" thickTop="1" thickBot="1" x14ac:dyDescent="0.3">
      <c r="A164" s="238" t="str">
        <f>Results!B164</f>
        <v>Phil Miller</v>
      </c>
      <c r="B164" s="254" t="str">
        <f t="shared" si="13"/>
        <v/>
      </c>
      <c r="C164" s="246" t="str">
        <f t="shared" si="14"/>
        <v/>
      </c>
      <c r="D164" s="241" t="str">
        <f t="shared" si="15"/>
        <v/>
      </c>
      <c r="E164" s="255" t="str">
        <f t="shared" si="16"/>
        <v/>
      </c>
      <c r="F164" s="243" t="str">
        <f>IF(I164="","",INDEX(Results!T:T,MATCH(A164,Results!V:V,0)))</f>
        <v/>
      </c>
      <c r="G164" s="244" t="str">
        <f>IF(J164="","",INDEX(Results!AI:AI,MATCH(A164,Results!V:V,0)))</f>
        <v/>
      </c>
      <c r="H164" s="294">
        <f>IF(ISERROR(G164),0,1)</f>
        <v>1</v>
      </c>
      <c r="I164" s="331"/>
      <c r="J164" s="261"/>
      <c r="K164" s="262" t="e">
        <f>INDEX(Odds!G:G,MATCH(I164,Odds!E:E,0))</f>
        <v>#N/A</v>
      </c>
      <c r="L164" s="270" t="e">
        <f>INDEX(Odds!H:H,MATCH(I164,Odds!E:E,0))</f>
        <v>#N/A</v>
      </c>
      <c r="M164" s="264" t="e">
        <f t="shared" si="17"/>
        <v>#N/A</v>
      </c>
      <c r="N164" s="51"/>
      <c r="O164" s="66"/>
    </row>
    <row r="165" spans="1:15" x14ac:dyDescent="0.25">
      <c r="A165" s="324" t="str">
        <f>A164</f>
        <v>Phil Miller</v>
      </c>
      <c r="B165" s="245" t="str">
        <f t="shared" si="13"/>
        <v/>
      </c>
      <c r="C165" s="246" t="str">
        <f t="shared" si="14"/>
        <v/>
      </c>
      <c r="D165" s="247" t="str">
        <f t="shared" si="15"/>
        <v/>
      </c>
      <c r="E165" s="248" t="str">
        <f t="shared" si="16"/>
        <v/>
      </c>
      <c r="F165" s="256"/>
      <c r="G165" s="257"/>
      <c r="H165" s="294"/>
      <c r="I165" s="331"/>
      <c r="J165" s="265"/>
      <c r="K165" s="266" t="e">
        <f>INDEX(Odds!G:G,MATCH(I165,Odds!E:E,0))</f>
        <v>#N/A</v>
      </c>
      <c r="L165" s="263" t="e">
        <f>INDEX(Odds!H:H,MATCH(I165,Odds!E:E,0))</f>
        <v>#N/A</v>
      </c>
      <c r="M165" s="264" t="e">
        <f t="shared" si="17"/>
        <v>#N/A</v>
      </c>
      <c r="N165" s="51"/>
      <c r="O165" s="66"/>
    </row>
    <row r="166" spans="1:15" ht="13.8" thickBot="1" x14ac:dyDescent="0.3">
      <c r="A166" s="325" t="str">
        <f>A164</f>
        <v>Phil Miller</v>
      </c>
      <c r="B166" s="251" t="str">
        <f t="shared" si="13"/>
        <v/>
      </c>
      <c r="C166" s="252" t="str">
        <f t="shared" si="14"/>
        <v/>
      </c>
      <c r="D166" s="253" t="str">
        <f t="shared" si="15"/>
        <v/>
      </c>
      <c r="E166" s="248" t="str">
        <f t="shared" si="16"/>
        <v/>
      </c>
      <c r="F166" s="256"/>
      <c r="G166" s="257"/>
      <c r="H166" s="294"/>
      <c r="I166" s="332"/>
      <c r="J166" s="267"/>
      <c r="K166" s="268" t="e">
        <f>INDEX(Odds!G:G,MATCH(I166,Odds!E:E,0))</f>
        <v>#N/A</v>
      </c>
      <c r="L166" s="263" t="e">
        <f>INDEX(Odds!H:H,MATCH(I166,Odds!E:E,0))</f>
        <v>#N/A</v>
      </c>
      <c r="M166" s="269" t="e">
        <f t="shared" si="17"/>
        <v>#N/A</v>
      </c>
      <c r="N166" s="51"/>
      <c r="O166" s="66"/>
    </row>
    <row r="167" spans="1:15" ht="13.5" customHeight="1" thickTop="1" thickBot="1" x14ac:dyDescent="0.3">
      <c r="A167" s="238" t="str">
        <f>Results!B167</f>
        <v>Rob England</v>
      </c>
      <c r="B167" s="254" t="str">
        <f t="shared" si="13"/>
        <v/>
      </c>
      <c r="C167" s="246" t="str">
        <f t="shared" si="14"/>
        <v/>
      </c>
      <c r="D167" s="241" t="str">
        <f t="shared" si="15"/>
        <v/>
      </c>
      <c r="E167" s="255" t="str">
        <f t="shared" si="16"/>
        <v/>
      </c>
      <c r="F167" s="243" t="str">
        <f>IF(I167="","",INDEX(Results!T:T,MATCH(A167,Results!V:V,0)))</f>
        <v/>
      </c>
      <c r="G167" s="244" t="str">
        <f>IF(J167="","",INDEX(Results!AI:AI,MATCH(A167,Results!V:V,0)))</f>
        <v/>
      </c>
      <c r="H167" s="294">
        <f>IF(ISERROR(G167),0,1)</f>
        <v>1</v>
      </c>
      <c r="I167" s="331"/>
      <c r="J167" s="261"/>
      <c r="K167" s="262" t="e">
        <f>INDEX(Odds!G:G,MATCH(I167,Odds!E:E,0))</f>
        <v>#N/A</v>
      </c>
      <c r="L167" s="270" t="e">
        <f>INDEX(Odds!H:H,MATCH(I167,Odds!E:E,0))</f>
        <v>#N/A</v>
      </c>
      <c r="M167" s="264" t="e">
        <f t="shared" si="17"/>
        <v>#N/A</v>
      </c>
      <c r="N167" s="51"/>
      <c r="O167" s="66"/>
    </row>
    <row r="168" spans="1:15" x14ac:dyDescent="0.25">
      <c r="A168" s="324" t="str">
        <f>A167</f>
        <v>Rob England</v>
      </c>
      <c r="B168" s="245" t="str">
        <f t="shared" si="13"/>
        <v/>
      </c>
      <c r="C168" s="246" t="str">
        <f t="shared" si="14"/>
        <v/>
      </c>
      <c r="D168" s="247" t="str">
        <f t="shared" si="15"/>
        <v/>
      </c>
      <c r="E168" s="248" t="str">
        <f t="shared" si="16"/>
        <v/>
      </c>
      <c r="F168" s="256"/>
      <c r="G168" s="257"/>
      <c r="H168" s="294"/>
      <c r="I168" s="331"/>
      <c r="J168" s="265"/>
      <c r="K168" s="266" t="e">
        <f>INDEX(Odds!G:G,MATCH(I168,Odds!E:E,0))</f>
        <v>#N/A</v>
      </c>
      <c r="L168" s="263" t="e">
        <f>INDEX(Odds!H:H,MATCH(I168,Odds!E:E,0))</f>
        <v>#N/A</v>
      </c>
      <c r="M168" s="264" t="e">
        <f t="shared" si="17"/>
        <v>#N/A</v>
      </c>
      <c r="N168" s="51"/>
      <c r="O168" s="66"/>
    </row>
    <row r="169" spans="1:15" ht="13.8" thickBot="1" x14ac:dyDescent="0.3">
      <c r="A169" s="325" t="str">
        <f>A167</f>
        <v>Rob England</v>
      </c>
      <c r="B169" s="251" t="str">
        <f t="shared" si="13"/>
        <v/>
      </c>
      <c r="C169" s="252" t="str">
        <f t="shared" si="14"/>
        <v/>
      </c>
      <c r="D169" s="253" t="str">
        <f t="shared" si="15"/>
        <v/>
      </c>
      <c r="E169" s="248" t="str">
        <f t="shared" si="16"/>
        <v/>
      </c>
      <c r="F169" s="256"/>
      <c r="G169" s="257"/>
      <c r="H169" s="294"/>
      <c r="I169" s="332"/>
      <c r="J169" s="267"/>
      <c r="K169" s="268" t="e">
        <f>INDEX(Odds!G:G,MATCH(I169,Odds!E:E,0))</f>
        <v>#N/A</v>
      </c>
      <c r="L169" s="263" t="e">
        <f>INDEX(Odds!H:H,MATCH(I169,Odds!E:E,0))</f>
        <v>#N/A</v>
      </c>
      <c r="M169" s="269" t="e">
        <f t="shared" si="17"/>
        <v>#N/A</v>
      </c>
      <c r="N169" s="51"/>
      <c r="O169" s="66"/>
    </row>
    <row r="170" spans="1:15" ht="14.4" thickTop="1" thickBot="1" x14ac:dyDescent="0.3">
      <c r="A170" s="238" t="str">
        <f>Results!B170</f>
        <v>Sally Williams</v>
      </c>
      <c r="B170" s="245" t="str">
        <f t="shared" si="13"/>
        <v/>
      </c>
      <c r="C170" s="246" t="str">
        <f t="shared" si="14"/>
        <v/>
      </c>
      <c r="D170" s="241" t="str">
        <f t="shared" si="15"/>
        <v/>
      </c>
      <c r="E170" s="255" t="str">
        <f t="shared" si="16"/>
        <v/>
      </c>
      <c r="F170" s="243" t="str">
        <f>IF(I170="","",INDEX(Results!T:T,MATCH(A170,Results!V:V,0)))</f>
        <v/>
      </c>
      <c r="G170" s="244" t="str">
        <f>IF(J170="","",INDEX(Results!AI:AI,MATCH(A170,Results!V:V,0)))</f>
        <v/>
      </c>
      <c r="H170" s="294">
        <f>IF(ISERROR(G170),0,1)</f>
        <v>1</v>
      </c>
      <c r="I170" s="331"/>
      <c r="J170" s="261"/>
      <c r="K170" s="262" t="e">
        <f>INDEX(Odds!G:G,MATCH(I170,Odds!E:E,0))</f>
        <v>#N/A</v>
      </c>
      <c r="L170" s="270" t="e">
        <f>INDEX(Odds!H:H,MATCH(I170,Odds!E:E,0))</f>
        <v>#N/A</v>
      </c>
      <c r="M170" s="264" t="e">
        <f t="shared" si="17"/>
        <v>#N/A</v>
      </c>
      <c r="N170" s="51"/>
      <c r="O170" s="66"/>
    </row>
    <row r="171" spans="1:15" x14ac:dyDescent="0.25">
      <c r="A171" s="324" t="str">
        <f>A170</f>
        <v>Sally Williams</v>
      </c>
      <c r="B171" s="245" t="str">
        <f t="shared" si="13"/>
        <v/>
      </c>
      <c r="C171" s="246" t="str">
        <f t="shared" si="14"/>
        <v/>
      </c>
      <c r="D171" s="247" t="str">
        <f t="shared" si="15"/>
        <v/>
      </c>
      <c r="E171" s="248" t="str">
        <f t="shared" si="16"/>
        <v/>
      </c>
      <c r="F171" s="256"/>
      <c r="G171" s="257"/>
      <c r="H171" s="294"/>
      <c r="I171" s="331"/>
      <c r="J171" s="265"/>
      <c r="K171" s="266" t="e">
        <f>INDEX(Odds!G:G,MATCH(I171,Odds!E:E,0))</f>
        <v>#N/A</v>
      </c>
      <c r="L171" s="263" t="e">
        <f>INDEX(Odds!H:H,MATCH(I171,Odds!E:E,0))</f>
        <v>#N/A</v>
      </c>
      <c r="M171" s="264" t="e">
        <f t="shared" si="17"/>
        <v>#N/A</v>
      </c>
      <c r="N171" s="51"/>
      <c r="O171" s="66"/>
    </row>
    <row r="172" spans="1:15" ht="13.8" thickBot="1" x14ac:dyDescent="0.3">
      <c r="A172" s="325" t="str">
        <f>A170</f>
        <v>Sally Williams</v>
      </c>
      <c r="B172" s="251" t="str">
        <f t="shared" si="13"/>
        <v/>
      </c>
      <c r="C172" s="252" t="str">
        <f t="shared" si="14"/>
        <v/>
      </c>
      <c r="D172" s="253" t="str">
        <f t="shared" si="15"/>
        <v/>
      </c>
      <c r="E172" s="248" t="str">
        <f t="shared" si="16"/>
        <v/>
      </c>
      <c r="F172" s="256"/>
      <c r="G172" s="257"/>
      <c r="H172" s="294"/>
      <c r="I172" s="332"/>
      <c r="J172" s="267"/>
      <c r="K172" s="268" t="e">
        <f>INDEX(Odds!G:G,MATCH(I172,Odds!E:E,0))</f>
        <v>#N/A</v>
      </c>
      <c r="L172" s="263" t="e">
        <f>INDEX(Odds!H:H,MATCH(I172,Odds!E:E,0))</f>
        <v>#N/A</v>
      </c>
      <c r="M172" s="269" t="e">
        <f t="shared" si="17"/>
        <v>#N/A</v>
      </c>
      <c r="N172" s="51"/>
      <c r="O172" s="66"/>
    </row>
    <row r="173" spans="1:15" ht="14.4" thickTop="1" thickBot="1" x14ac:dyDescent="0.3">
      <c r="A173" s="238" t="str">
        <f>Results!B173</f>
        <v>Simon Greenhalgh</v>
      </c>
      <c r="B173" s="245" t="str">
        <f t="shared" si="13"/>
        <v/>
      </c>
      <c r="C173" s="246" t="str">
        <f t="shared" si="14"/>
        <v/>
      </c>
      <c r="D173" s="241" t="str">
        <f t="shared" si="15"/>
        <v/>
      </c>
      <c r="E173" s="255" t="str">
        <f t="shared" si="16"/>
        <v/>
      </c>
      <c r="F173" s="243" t="str">
        <f>IF(I173="","",INDEX(Results!T:T,MATCH(A173,Results!V:V,0)))</f>
        <v/>
      </c>
      <c r="G173" s="244" t="str">
        <f>IF(J173="","",INDEX(Results!AI:AI,MATCH(A173,Results!V:V,0)))</f>
        <v/>
      </c>
      <c r="H173" s="294">
        <f>IF(ISERROR(G173),0,1)</f>
        <v>1</v>
      </c>
      <c r="I173" s="331"/>
      <c r="J173" s="261"/>
      <c r="K173" s="262" t="e">
        <f>INDEX(Odds!G:G,MATCH(I173,Odds!E:E,0))</f>
        <v>#N/A</v>
      </c>
      <c r="L173" s="270" t="e">
        <f>INDEX(Odds!H:H,MATCH(I173,Odds!E:E,0))</f>
        <v>#N/A</v>
      </c>
      <c r="M173" s="264" t="e">
        <f t="shared" si="17"/>
        <v>#N/A</v>
      </c>
      <c r="N173" s="51"/>
      <c r="O173" s="66"/>
    </row>
    <row r="174" spans="1:15" x14ac:dyDescent="0.25">
      <c r="A174" s="324" t="str">
        <f>A173</f>
        <v>Simon Greenhalgh</v>
      </c>
      <c r="B174" s="245" t="str">
        <f t="shared" si="13"/>
        <v/>
      </c>
      <c r="C174" s="246" t="str">
        <f t="shared" si="14"/>
        <v/>
      </c>
      <c r="D174" s="247" t="str">
        <f t="shared" si="15"/>
        <v/>
      </c>
      <c r="E174" s="248" t="str">
        <f t="shared" si="16"/>
        <v/>
      </c>
      <c r="F174" s="256"/>
      <c r="G174" s="257"/>
      <c r="H174" s="294"/>
      <c r="I174" s="331"/>
      <c r="J174" s="265"/>
      <c r="K174" s="266" t="e">
        <f>INDEX(Odds!G:G,MATCH(I174,Odds!E:E,0))</f>
        <v>#N/A</v>
      </c>
      <c r="L174" s="263" t="e">
        <f>INDEX(Odds!H:H,MATCH(I174,Odds!E:E,0))</f>
        <v>#N/A</v>
      </c>
      <c r="M174" s="264" t="e">
        <f t="shared" si="17"/>
        <v>#N/A</v>
      </c>
      <c r="N174" s="51"/>
      <c r="O174" s="66"/>
    </row>
    <row r="175" spans="1:15" ht="13.8" thickBot="1" x14ac:dyDescent="0.3">
      <c r="A175" s="325" t="str">
        <f>A173</f>
        <v>Simon Greenhalgh</v>
      </c>
      <c r="B175" s="251" t="str">
        <f t="shared" si="13"/>
        <v/>
      </c>
      <c r="C175" s="252" t="str">
        <f t="shared" si="14"/>
        <v/>
      </c>
      <c r="D175" s="253" t="str">
        <f t="shared" si="15"/>
        <v/>
      </c>
      <c r="E175" s="248" t="str">
        <f t="shared" si="16"/>
        <v/>
      </c>
      <c r="F175" s="256"/>
      <c r="G175" s="257"/>
      <c r="H175" s="294"/>
      <c r="I175" s="332"/>
      <c r="J175" s="267"/>
      <c r="K175" s="268" t="e">
        <f>INDEX(Odds!G:G,MATCH(I175,Odds!E:E,0))</f>
        <v>#N/A</v>
      </c>
      <c r="L175" s="263" t="e">
        <f>INDEX(Odds!H:H,MATCH(I175,Odds!E:E,0))</f>
        <v>#N/A</v>
      </c>
      <c r="M175" s="269" t="e">
        <f t="shared" si="17"/>
        <v>#N/A</v>
      </c>
      <c r="N175" s="51"/>
      <c r="O175" s="66"/>
    </row>
    <row r="176" spans="1:15" ht="14.4" thickTop="1" thickBot="1" x14ac:dyDescent="0.3">
      <c r="A176" s="238" t="str">
        <f>Results!B176</f>
        <v>Ste Bentley</v>
      </c>
      <c r="B176" s="245" t="str">
        <f t="shared" si="13"/>
        <v/>
      </c>
      <c r="C176" s="246" t="str">
        <f t="shared" si="14"/>
        <v/>
      </c>
      <c r="D176" s="241" t="str">
        <f t="shared" si="15"/>
        <v/>
      </c>
      <c r="E176" s="255" t="str">
        <f t="shared" si="16"/>
        <v/>
      </c>
      <c r="F176" s="243" t="str">
        <f>IF(I176="","",INDEX(Results!T:T,MATCH(A176,Results!V:V,0)))</f>
        <v/>
      </c>
      <c r="G176" s="244" t="str">
        <f>IF(J176="","",INDEX(Results!AI:AI,MATCH(A176,Results!V:V,0)))</f>
        <v/>
      </c>
      <c r="H176" s="294">
        <f>IF(ISERROR(G176),0,1)</f>
        <v>1</v>
      </c>
      <c r="I176" s="331"/>
      <c r="J176" s="261"/>
      <c r="K176" s="262" t="e">
        <f>INDEX(Odds!G:G,MATCH(I176,Odds!E:E,0))</f>
        <v>#N/A</v>
      </c>
      <c r="L176" s="270" t="e">
        <f>INDEX(Odds!H:H,MATCH(I176,Odds!E:E,0))</f>
        <v>#N/A</v>
      </c>
      <c r="M176" s="264" t="e">
        <f t="shared" si="17"/>
        <v>#N/A</v>
      </c>
      <c r="N176" s="51"/>
      <c r="O176" s="66"/>
    </row>
    <row r="177" spans="1:15" x14ac:dyDescent="0.25">
      <c r="A177" s="324" t="str">
        <f>A176</f>
        <v>Ste Bentley</v>
      </c>
      <c r="B177" s="245" t="str">
        <f t="shared" si="13"/>
        <v/>
      </c>
      <c r="C177" s="246" t="str">
        <f t="shared" si="14"/>
        <v/>
      </c>
      <c r="D177" s="247" t="str">
        <f t="shared" si="15"/>
        <v/>
      </c>
      <c r="E177" s="248" t="str">
        <f t="shared" si="16"/>
        <v/>
      </c>
      <c r="F177" s="256"/>
      <c r="G177" s="257"/>
      <c r="H177" s="294"/>
      <c r="I177" s="331"/>
      <c r="J177" s="265"/>
      <c r="K177" s="266" t="e">
        <f>INDEX(Odds!G:G,MATCH(I177,Odds!E:E,0))</f>
        <v>#N/A</v>
      </c>
      <c r="L177" s="263" t="e">
        <f>INDEX(Odds!H:H,MATCH(I177,Odds!E:E,0))</f>
        <v>#N/A</v>
      </c>
      <c r="M177" s="264" t="e">
        <f t="shared" si="17"/>
        <v>#N/A</v>
      </c>
      <c r="N177" s="51"/>
      <c r="O177" s="66"/>
    </row>
    <row r="178" spans="1:15" ht="13.8" thickBot="1" x14ac:dyDescent="0.3">
      <c r="A178" s="325" t="str">
        <f>A176</f>
        <v>Ste Bentley</v>
      </c>
      <c r="B178" s="251" t="str">
        <f t="shared" si="13"/>
        <v/>
      </c>
      <c r="C178" s="252" t="str">
        <f t="shared" si="14"/>
        <v/>
      </c>
      <c r="D178" s="253" t="str">
        <f t="shared" si="15"/>
        <v/>
      </c>
      <c r="E178" s="248" t="str">
        <f t="shared" si="16"/>
        <v/>
      </c>
      <c r="F178" s="256"/>
      <c r="G178" s="257"/>
      <c r="H178" s="294"/>
      <c r="I178" s="332"/>
      <c r="J178" s="267"/>
      <c r="K178" s="268" t="e">
        <f>INDEX(Odds!G:G,MATCH(I178,Odds!E:E,0))</f>
        <v>#N/A</v>
      </c>
      <c r="L178" s="263" t="e">
        <f>INDEX(Odds!H:H,MATCH(I178,Odds!E:E,0))</f>
        <v>#N/A</v>
      </c>
      <c r="M178" s="269" t="e">
        <f t="shared" si="17"/>
        <v>#N/A</v>
      </c>
      <c r="N178" s="51"/>
      <c r="O178" s="66"/>
    </row>
    <row r="179" spans="1:15" ht="14.4" thickTop="1" thickBot="1" x14ac:dyDescent="0.3">
      <c r="A179" s="238" t="str">
        <f>Results!B179</f>
        <v>Stephen Barr</v>
      </c>
      <c r="B179" s="245" t="str">
        <f t="shared" si="13"/>
        <v/>
      </c>
      <c r="C179" s="246" t="str">
        <f t="shared" si="14"/>
        <v/>
      </c>
      <c r="D179" s="241" t="str">
        <f t="shared" si="15"/>
        <v/>
      </c>
      <c r="E179" s="255" t="str">
        <f t="shared" si="16"/>
        <v/>
      </c>
      <c r="F179" s="243" t="str">
        <f>IF(I179="","",INDEX(Results!T:T,MATCH(A179,Results!V:V,0)))</f>
        <v/>
      </c>
      <c r="G179" s="244" t="str">
        <f>IF(J179="","",INDEX(Results!AI:AI,MATCH(A179,Results!V:V,0)))</f>
        <v/>
      </c>
      <c r="H179" s="294">
        <f>IF(ISERROR(G179),0,1)</f>
        <v>1</v>
      </c>
      <c r="I179" s="331"/>
      <c r="J179" s="261"/>
      <c r="K179" s="262" t="e">
        <f>INDEX(Odds!G:G,MATCH(I179,Odds!E:E,0))</f>
        <v>#N/A</v>
      </c>
      <c r="L179" s="270" t="e">
        <f>INDEX(Odds!H:H,MATCH(I179,Odds!E:E,0))</f>
        <v>#N/A</v>
      </c>
      <c r="M179" s="264" t="e">
        <f t="shared" si="17"/>
        <v>#N/A</v>
      </c>
      <c r="N179" s="51"/>
      <c r="O179" s="66"/>
    </row>
    <row r="180" spans="1:15" x14ac:dyDescent="0.25">
      <c r="A180" s="324" t="str">
        <f>A179</f>
        <v>Stephen Barr</v>
      </c>
      <c r="B180" s="245" t="str">
        <f t="shared" si="13"/>
        <v/>
      </c>
      <c r="C180" s="246" t="str">
        <f t="shared" si="14"/>
        <v/>
      </c>
      <c r="D180" s="247" t="str">
        <f t="shared" si="15"/>
        <v/>
      </c>
      <c r="E180" s="248" t="str">
        <f t="shared" si="16"/>
        <v/>
      </c>
      <c r="F180" s="256"/>
      <c r="G180" s="257"/>
      <c r="H180" s="294"/>
      <c r="I180" s="331"/>
      <c r="J180" s="265"/>
      <c r="K180" s="266" t="e">
        <f>INDEX(Odds!G:G,MATCH(I180,Odds!E:E,0))</f>
        <v>#N/A</v>
      </c>
      <c r="L180" s="263" t="e">
        <f>INDEX(Odds!H:H,MATCH(I180,Odds!E:E,0))</f>
        <v>#N/A</v>
      </c>
      <c r="M180" s="264" t="e">
        <f t="shared" si="17"/>
        <v>#N/A</v>
      </c>
      <c r="N180" s="51"/>
      <c r="O180" s="66"/>
    </row>
    <row r="181" spans="1:15" ht="13.8" thickBot="1" x14ac:dyDescent="0.3">
      <c r="A181" s="325" t="str">
        <f>A179</f>
        <v>Stephen Barr</v>
      </c>
      <c r="B181" s="251" t="str">
        <f t="shared" si="13"/>
        <v/>
      </c>
      <c r="C181" s="252" t="str">
        <f t="shared" si="14"/>
        <v/>
      </c>
      <c r="D181" s="253" t="str">
        <f t="shared" si="15"/>
        <v/>
      </c>
      <c r="E181" s="248" t="str">
        <f t="shared" si="16"/>
        <v/>
      </c>
      <c r="F181" s="256"/>
      <c r="G181" s="257"/>
      <c r="H181" s="294"/>
      <c r="I181" s="332"/>
      <c r="J181" s="267"/>
      <c r="K181" s="268" t="e">
        <f>INDEX(Odds!G:G,MATCH(I181,Odds!E:E,0))</f>
        <v>#N/A</v>
      </c>
      <c r="L181" s="263" t="e">
        <f>INDEX(Odds!H:H,MATCH(I181,Odds!E:E,0))</f>
        <v>#N/A</v>
      </c>
      <c r="M181" s="269" t="e">
        <f t="shared" si="17"/>
        <v>#N/A</v>
      </c>
      <c r="N181" s="51"/>
      <c r="O181" s="66"/>
    </row>
    <row r="182" spans="1:15" ht="14.4" thickTop="1" thickBot="1" x14ac:dyDescent="0.3">
      <c r="A182" s="238" t="str">
        <f>Results!B182</f>
        <v>Stephen Troop</v>
      </c>
      <c r="B182" s="245" t="str">
        <f t="shared" si="13"/>
        <v/>
      </c>
      <c r="C182" s="246" t="str">
        <f t="shared" si="14"/>
        <v/>
      </c>
      <c r="D182" s="241" t="str">
        <f t="shared" si="15"/>
        <v/>
      </c>
      <c r="E182" s="255" t="str">
        <f t="shared" si="16"/>
        <v/>
      </c>
      <c r="F182" s="243" t="str">
        <f>IF(I182="","",INDEX(Results!T:T,MATCH(A182,Results!V:V,0)))</f>
        <v/>
      </c>
      <c r="G182" s="244" t="str">
        <f>IF(J182="","",INDEX(Results!AI:AI,MATCH(A182,Results!V:V,0)))</f>
        <v/>
      </c>
      <c r="H182" s="294">
        <f>IF(ISERROR(G182),0,1)</f>
        <v>1</v>
      </c>
      <c r="I182" s="331"/>
      <c r="J182" s="261"/>
      <c r="K182" s="262" t="e">
        <f>INDEX(Odds!G:G,MATCH(I182,Odds!E:E,0))</f>
        <v>#N/A</v>
      </c>
      <c r="L182" s="270" t="e">
        <f>INDEX(Odds!H:H,MATCH(I182,Odds!E:E,0))</f>
        <v>#N/A</v>
      </c>
      <c r="M182" s="264" t="e">
        <f t="shared" si="17"/>
        <v>#N/A</v>
      </c>
      <c r="N182" s="51"/>
      <c r="O182" s="66"/>
    </row>
    <row r="183" spans="1:15" x14ac:dyDescent="0.25">
      <c r="A183" s="324" t="str">
        <f>A182</f>
        <v>Stephen Troop</v>
      </c>
      <c r="B183" s="245" t="str">
        <f t="shared" si="13"/>
        <v/>
      </c>
      <c r="C183" s="246" t="str">
        <f t="shared" si="14"/>
        <v/>
      </c>
      <c r="D183" s="247" t="str">
        <f t="shared" si="15"/>
        <v/>
      </c>
      <c r="E183" s="248" t="str">
        <f t="shared" si="16"/>
        <v/>
      </c>
      <c r="F183" s="256"/>
      <c r="G183" s="257"/>
      <c r="H183" s="294"/>
      <c r="I183" s="331"/>
      <c r="J183" s="265"/>
      <c r="K183" s="266" t="e">
        <f>INDEX(Odds!G:G,MATCH(I183,Odds!E:E,0))</f>
        <v>#N/A</v>
      </c>
      <c r="L183" s="263" t="e">
        <f>INDEX(Odds!H:H,MATCH(I183,Odds!E:E,0))</f>
        <v>#N/A</v>
      </c>
      <c r="M183" s="264" t="e">
        <f t="shared" si="17"/>
        <v>#N/A</v>
      </c>
      <c r="N183" s="51"/>
      <c r="O183" s="66"/>
    </row>
    <row r="184" spans="1:15" ht="13.8" thickBot="1" x14ac:dyDescent="0.3">
      <c r="A184" s="325" t="str">
        <f>A182</f>
        <v>Stephen Troop</v>
      </c>
      <c r="B184" s="251" t="str">
        <f t="shared" si="13"/>
        <v/>
      </c>
      <c r="C184" s="252" t="str">
        <f t="shared" si="14"/>
        <v/>
      </c>
      <c r="D184" s="253" t="str">
        <f t="shared" si="15"/>
        <v/>
      </c>
      <c r="E184" s="258" t="str">
        <f t="shared" si="16"/>
        <v/>
      </c>
      <c r="F184" s="259"/>
      <c r="G184" s="260"/>
      <c r="H184" s="294"/>
      <c r="I184" s="332"/>
      <c r="J184" s="267"/>
      <c r="K184" s="268" t="e">
        <f>INDEX(Odds!G:G,MATCH(I184,Odds!E:E,0))</f>
        <v>#N/A</v>
      </c>
      <c r="L184" s="271" t="e">
        <f>INDEX(Odds!H:H,MATCH(I184,Odds!E:E,0))</f>
        <v>#N/A</v>
      </c>
      <c r="M184" s="269" t="e">
        <f t="shared" si="17"/>
        <v>#N/A</v>
      </c>
      <c r="N184" s="51"/>
      <c r="O184" s="66"/>
    </row>
    <row r="185" spans="1:15" ht="14.4" thickTop="1" thickBot="1" x14ac:dyDescent="0.3">
      <c r="A185" s="238" t="str">
        <f>Results!B185</f>
        <v>Steve Baxter</v>
      </c>
      <c r="B185" s="245" t="str">
        <f t="shared" ref="B185:B196" si="18">IF(I185="","",I185)</f>
        <v/>
      </c>
      <c r="C185" s="246" t="str">
        <f t="shared" ref="C185:C196" si="19">IF(I185="","",J185)</f>
        <v/>
      </c>
      <c r="D185" s="241" t="str">
        <f t="shared" ref="D185:D196" si="20">IF(I185="","",K185)</f>
        <v/>
      </c>
      <c r="E185" s="255" t="str">
        <f t="shared" ref="E185:E196" si="21">IF(I185="","",IF(L185=1,"Correct",""))</f>
        <v/>
      </c>
      <c r="F185" s="243" t="str">
        <f>IF(I185="","",INDEX(Results!T:T,MATCH(A185,Results!V:V,0)))</f>
        <v/>
      </c>
      <c r="G185" s="244" t="str">
        <f>IF(J185="","",INDEX(Results!AI:AI,MATCH(A185,Results!V:V,0)))</f>
        <v/>
      </c>
      <c r="H185" s="294">
        <f>IF(ISERROR(G185),0,1)</f>
        <v>1</v>
      </c>
      <c r="I185" s="331"/>
      <c r="J185" s="261"/>
      <c r="K185" s="262" t="e">
        <f>INDEX(Odds!G:G,MATCH(I185,Odds!E:E,0))</f>
        <v>#N/A</v>
      </c>
      <c r="L185" s="270" t="e">
        <f>INDEX(Odds!H:H,MATCH(I185,Odds!E:E,0))</f>
        <v>#N/A</v>
      </c>
      <c r="M185" s="264" t="e">
        <f t="shared" ref="M185:M196" si="22">K185*L185</f>
        <v>#N/A</v>
      </c>
      <c r="N185" s="51"/>
      <c r="O185" s="66"/>
    </row>
    <row r="186" spans="1:15" x14ac:dyDescent="0.25">
      <c r="A186" s="324" t="str">
        <f>A185</f>
        <v>Steve Baxter</v>
      </c>
      <c r="B186" s="245" t="str">
        <f t="shared" si="18"/>
        <v/>
      </c>
      <c r="C186" s="246" t="str">
        <f t="shared" si="19"/>
        <v/>
      </c>
      <c r="D186" s="247" t="str">
        <f t="shared" si="20"/>
        <v/>
      </c>
      <c r="E186" s="248" t="str">
        <f t="shared" si="21"/>
        <v/>
      </c>
      <c r="F186" s="256"/>
      <c r="G186" s="257"/>
      <c r="H186" s="294"/>
      <c r="I186" s="331"/>
      <c r="J186" s="265"/>
      <c r="K186" s="266" t="e">
        <f>INDEX(Odds!G:G,MATCH(I186,Odds!E:E,0))</f>
        <v>#N/A</v>
      </c>
      <c r="L186" s="263" t="e">
        <f>INDEX(Odds!H:H,MATCH(I186,Odds!E:E,0))</f>
        <v>#N/A</v>
      </c>
      <c r="M186" s="264" t="e">
        <f t="shared" si="22"/>
        <v>#N/A</v>
      </c>
      <c r="N186" s="51"/>
      <c r="O186" s="66"/>
    </row>
    <row r="187" spans="1:15" ht="13.8" thickBot="1" x14ac:dyDescent="0.3">
      <c r="A187" s="325" t="str">
        <f>A185</f>
        <v>Steve Baxter</v>
      </c>
      <c r="B187" s="251" t="str">
        <f t="shared" si="18"/>
        <v/>
      </c>
      <c r="C187" s="252" t="str">
        <f t="shared" si="19"/>
        <v/>
      </c>
      <c r="D187" s="253" t="str">
        <f t="shared" si="20"/>
        <v/>
      </c>
      <c r="E187" s="258" t="str">
        <f t="shared" si="21"/>
        <v/>
      </c>
      <c r="F187" s="259"/>
      <c r="G187" s="260"/>
      <c r="H187" s="294"/>
      <c r="I187" s="332"/>
      <c r="J187" s="267"/>
      <c r="K187" s="268" t="e">
        <f>INDEX(Odds!G:G,MATCH(I187,Odds!E:E,0))</f>
        <v>#N/A</v>
      </c>
      <c r="L187" s="271" t="e">
        <f>INDEX(Odds!H:H,MATCH(I187,Odds!E:E,0))</f>
        <v>#N/A</v>
      </c>
      <c r="M187" s="269" t="e">
        <f t="shared" si="22"/>
        <v>#N/A</v>
      </c>
      <c r="N187" s="51"/>
      <c r="O187" s="66"/>
    </row>
    <row r="188" spans="1:15" ht="14.4" thickTop="1" thickBot="1" x14ac:dyDescent="0.3">
      <c r="A188" s="238" t="str">
        <f>Results!B188</f>
        <v>Steve Carter</v>
      </c>
      <c r="B188" s="245" t="str">
        <f t="shared" si="18"/>
        <v/>
      </c>
      <c r="C188" s="246" t="str">
        <f t="shared" si="19"/>
        <v/>
      </c>
      <c r="D188" s="241" t="str">
        <f t="shared" si="20"/>
        <v/>
      </c>
      <c r="E188" s="255" t="str">
        <f t="shared" si="21"/>
        <v/>
      </c>
      <c r="F188" s="243" t="str">
        <f>IF(I188="","",INDEX(Results!T:T,MATCH(A188,Results!V:V,0)))</f>
        <v/>
      </c>
      <c r="G188" s="244" t="str">
        <f>IF(J188="","",INDEX(Results!AI:AI,MATCH(A188,Results!V:V,0)))</f>
        <v/>
      </c>
      <c r="H188" s="294">
        <f>IF(ISERROR(G188),0,1)</f>
        <v>1</v>
      </c>
      <c r="I188" s="331"/>
      <c r="J188" s="261"/>
      <c r="K188" s="262" t="e">
        <f>INDEX(Odds!G:G,MATCH(I188,Odds!E:E,0))</f>
        <v>#N/A</v>
      </c>
      <c r="L188" s="270" t="e">
        <f>INDEX(Odds!H:H,MATCH(I188,Odds!E:E,0))</f>
        <v>#N/A</v>
      </c>
      <c r="M188" s="264" t="e">
        <f t="shared" si="22"/>
        <v>#N/A</v>
      </c>
      <c r="N188" s="51"/>
      <c r="O188" s="66"/>
    </row>
    <row r="189" spans="1:15" x14ac:dyDescent="0.25">
      <c r="A189" s="324" t="str">
        <f>A188</f>
        <v>Steve Carter</v>
      </c>
      <c r="B189" s="245" t="str">
        <f t="shared" si="18"/>
        <v/>
      </c>
      <c r="C189" s="246" t="str">
        <f t="shared" si="19"/>
        <v/>
      </c>
      <c r="D189" s="247" t="str">
        <f t="shared" si="20"/>
        <v/>
      </c>
      <c r="E189" s="248" t="str">
        <f t="shared" si="21"/>
        <v/>
      </c>
      <c r="F189" s="256"/>
      <c r="G189" s="257"/>
      <c r="H189" s="294"/>
      <c r="I189" s="331"/>
      <c r="J189" s="265"/>
      <c r="K189" s="266" t="e">
        <f>INDEX(Odds!G:G,MATCH(I189,Odds!E:E,0))</f>
        <v>#N/A</v>
      </c>
      <c r="L189" s="263" t="e">
        <f>INDEX(Odds!H:H,MATCH(I189,Odds!E:E,0))</f>
        <v>#N/A</v>
      </c>
      <c r="M189" s="264" t="e">
        <f t="shared" si="22"/>
        <v>#N/A</v>
      </c>
      <c r="N189" s="51"/>
      <c r="O189" s="66"/>
    </row>
    <row r="190" spans="1:15" ht="13.8" thickBot="1" x14ac:dyDescent="0.3">
      <c r="A190" s="325" t="str">
        <f>A188</f>
        <v>Steve Carter</v>
      </c>
      <c r="B190" s="251" t="str">
        <f t="shared" si="18"/>
        <v/>
      </c>
      <c r="C190" s="252" t="str">
        <f t="shared" si="19"/>
        <v/>
      </c>
      <c r="D190" s="253" t="str">
        <f t="shared" si="20"/>
        <v/>
      </c>
      <c r="E190" s="258" t="str">
        <f t="shared" si="21"/>
        <v/>
      </c>
      <c r="F190" s="259"/>
      <c r="G190" s="260"/>
      <c r="H190" s="294"/>
      <c r="I190" s="332"/>
      <c r="J190" s="267"/>
      <c r="K190" s="268" t="e">
        <f>INDEX(Odds!G:G,MATCH(I190,Odds!E:E,0))</f>
        <v>#N/A</v>
      </c>
      <c r="L190" s="271" t="e">
        <f>INDEX(Odds!H:H,MATCH(I190,Odds!E:E,0))</f>
        <v>#N/A</v>
      </c>
      <c r="M190" s="269" t="e">
        <f t="shared" si="22"/>
        <v>#N/A</v>
      </c>
      <c r="N190" s="51"/>
      <c r="O190" s="66"/>
    </row>
    <row r="191" spans="1:15" ht="14.4" thickTop="1" thickBot="1" x14ac:dyDescent="0.3">
      <c r="A191" s="238" t="str">
        <f>Results!B191</f>
        <v>Tom Robinson</v>
      </c>
      <c r="B191" s="245" t="str">
        <f t="shared" si="18"/>
        <v/>
      </c>
      <c r="C191" s="246" t="str">
        <f t="shared" si="19"/>
        <v/>
      </c>
      <c r="D191" s="241" t="str">
        <f t="shared" si="20"/>
        <v/>
      </c>
      <c r="E191" s="255" t="str">
        <f t="shared" si="21"/>
        <v/>
      </c>
      <c r="F191" s="243" t="str">
        <f>IF(I191="","",INDEX(Results!T:T,MATCH(A191,Results!V:V,0)))</f>
        <v/>
      </c>
      <c r="G191" s="244" t="str">
        <f>IF(J191="","",INDEX(Results!AI:AI,MATCH(A191,Results!V:V,0)))</f>
        <v/>
      </c>
      <c r="H191" s="294">
        <f>IF(ISERROR(G191),0,1)</f>
        <v>1</v>
      </c>
      <c r="I191" s="331"/>
      <c r="J191" s="261"/>
      <c r="K191" s="262" t="e">
        <f>INDEX(Odds!G:G,MATCH(I191,Odds!E:E,0))</f>
        <v>#N/A</v>
      </c>
      <c r="L191" s="270" t="e">
        <f>INDEX(Odds!H:H,MATCH(I191,Odds!E:E,0))</f>
        <v>#N/A</v>
      </c>
      <c r="M191" s="264" t="e">
        <f t="shared" si="22"/>
        <v>#N/A</v>
      </c>
      <c r="N191" s="51"/>
      <c r="O191" s="66"/>
    </row>
    <row r="192" spans="1:15" x14ac:dyDescent="0.25">
      <c r="A192" s="324" t="str">
        <f>A191</f>
        <v>Tom Robinson</v>
      </c>
      <c r="B192" s="245" t="str">
        <f t="shared" si="18"/>
        <v/>
      </c>
      <c r="C192" s="246" t="str">
        <f t="shared" si="19"/>
        <v/>
      </c>
      <c r="D192" s="247" t="str">
        <f t="shared" si="20"/>
        <v/>
      </c>
      <c r="E192" s="248" t="str">
        <f t="shared" si="21"/>
        <v/>
      </c>
      <c r="F192" s="256"/>
      <c r="G192" s="257"/>
      <c r="H192" s="294"/>
      <c r="I192" s="331"/>
      <c r="J192" s="265"/>
      <c r="K192" s="266" t="e">
        <f>INDEX(Odds!G:G,MATCH(I192,Odds!E:E,0))</f>
        <v>#N/A</v>
      </c>
      <c r="L192" s="263" t="e">
        <f>INDEX(Odds!H:H,MATCH(I192,Odds!E:E,0))</f>
        <v>#N/A</v>
      </c>
      <c r="M192" s="264" t="e">
        <f t="shared" si="22"/>
        <v>#N/A</v>
      </c>
      <c r="N192" s="51"/>
      <c r="O192" s="66"/>
    </row>
    <row r="193" spans="1:15" ht="13.8" thickBot="1" x14ac:dyDescent="0.3">
      <c r="A193" s="325" t="str">
        <f>A191</f>
        <v>Tom Robinson</v>
      </c>
      <c r="B193" s="251" t="str">
        <f t="shared" si="18"/>
        <v/>
      </c>
      <c r="C193" s="252" t="str">
        <f t="shared" si="19"/>
        <v/>
      </c>
      <c r="D193" s="253" t="str">
        <f t="shared" si="20"/>
        <v/>
      </c>
      <c r="E193" s="258" t="str">
        <f t="shared" si="21"/>
        <v/>
      </c>
      <c r="F193" s="259"/>
      <c r="G193" s="260"/>
      <c r="H193" s="294"/>
      <c r="I193" s="332"/>
      <c r="J193" s="267"/>
      <c r="K193" s="268" t="e">
        <f>INDEX(Odds!G:G,MATCH(I193,Odds!E:E,0))</f>
        <v>#N/A</v>
      </c>
      <c r="L193" s="271" t="e">
        <f>INDEX(Odds!H:H,MATCH(I193,Odds!E:E,0))</f>
        <v>#N/A</v>
      </c>
      <c r="M193" s="269" t="e">
        <f t="shared" si="22"/>
        <v>#N/A</v>
      </c>
      <c r="N193" s="51"/>
      <c r="O193" s="66"/>
    </row>
    <row r="194" spans="1:15" ht="14.4" thickTop="1" thickBot="1" x14ac:dyDescent="0.3">
      <c r="A194" s="238" t="str">
        <f>Results!B194</f>
        <v>Vinny Topping</v>
      </c>
      <c r="B194" s="245" t="str">
        <f t="shared" si="18"/>
        <v/>
      </c>
      <c r="C194" s="246" t="str">
        <f t="shared" si="19"/>
        <v/>
      </c>
      <c r="D194" s="241" t="str">
        <f t="shared" si="20"/>
        <v/>
      </c>
      <c r="E194" s="255" t="str">
        <f t="shared" si="21"/>
        <v/>
      </c>
      <c r="F194" s="243" t="str">
        <f>IF(I194="","",INDEX(Results!T:T,MATCH(A194,Results!V:V,0)))</f>
        <v/>
      </c>
      <c r="G194" s="244" t="str">
        <f>IF(J194="","",INDEX(Results!AI:AI,MATCH(A194,Results!V:V,0)))</f>
        <v/>
      </c>
      <c r="H194" s="294">
        <f>IF(ISERROR(G194),0,1)</f>
        <v>1</v>
      </c>
      <c r="I194" s="331"/>
      <c r="J194" s="261"/>
      <c r="K194" s="262" t="e">
        <f>INDEX(Odds!G:G,MATCH(I194,Odds!E:E,0))</f>
        <v>#N/A</v>
      </c>
      <c r="L194" s="270" t="e">
        <f>INDEX(Odds!H:H,MATCH(I194,Odds!E:E,0))</f>
        <v>#N/A</v>
      </c>
      <c r="M194" s="264" t="e">
        <f t="shared" si="22"/>
        <v>#N/A</v>
      </c>
      <c r="N194" s="51"/>
      <c r="O194" s="66"/>
    </row>
    <row r="195" spans="1:15" x14ac:dyDescent="0.25">
      <c r="A195" s="324" t="str">
        <f>A194</f>
        <v>Vinny Topping</v>
      </c>
      <c r="B195" s="245" t="str">
        <f t="shared" si="18"/>
        <v/>
      </c>
      <c r="C195" s="246" t="str">
        <f t="shared" si="19"/>
        <v/>
      </c>
      <c r="D195" s="247" t="str">
        <f t="shared" si="20"/>
        <v/>
      </c>
      <c r="E195" s="248" t="str">
        <f t="shared" si="21"/>
        <v/>
      </c>
      <c r="F195" s="256"/>
      <c r="G195" s="257"/>
      <c r="H195" s="294"/>
      <c r="I195" s="331"/>
      <c r="J195" s="265"/>
      <c r="K195" s="266" t="e">
        <f>INDEX(Odds!G:G,MATCH(I195,Odds!E:E,0))</f>
        <v>#N/A</v>
      </c>
      <c r="L195" s="263" t="e">
        <f>INDEX(Odds!H:H,MATCH(I195,Odds!E:E,0))</f>
        <v>#N/A</v>
      </c>
      <c r="M195" s="264" t="e">
        <f t="shared" si="22"/>
        <v>#N/A</v>
      </c>
      <c r="N195" s="51"/>
      <c r="O195" s="66"/>
    </row>
    <row r="196" spans="1:15" ht="13.8" thickBot="1" x14ac:dyDescent="0.3">
      <c r="A196" s="325" t="str">
        <f>A194</f>
        <v>Vinny Topping</v>
      </c>
      <c r="B196" s="251" t="str">
        <f t="shared" si="18"/>
        <v/>
      </c>
      <c r="C196" s="252" t="str">
        <f t="shared" si="19"/>
        <v/>
      </c>
      <c r="D196" s="253" t="str">
        <f t="shared" si="20"/>
        <v/>
      </c>
      <c r="E196" s="258" t="str">
        <f t="shared" si="21"/>
        <v/>
      </c>
      <c r="F196" s="259"/>
      <c r="G196" s="260"/>
      <c r="H196" s="294"/>
      <c r="I196" s="332"/>
      <c r="J196" s="267"/>
      <c r="K196" s="268" t="e">
        <f>INDEX(Odds!G:G,MATCH(I196,Odds!E:E,0))</f>
        <v>#N/A</v>
      </c>
      <c r="L196" s="271" t="e">
        <f>INDEX(Odds!H:H,MATCH(I196,Odds!E:E,0))</f>
        <v>#N/A</v>
      </c>
      <c r="M196" s="269" t="e">
        <f t="shared" si="22"/>
        <v>#N/A</v>
      </c>
      <c r="N196" s="51"/>
      <c r="O196" s="66"/>
    </row>
    <row r="197" spans="1:15" ht="13.8" thickTop="1" x14ac:dyDescent="0.25"/>
    <row r="298" spans="28:28" x14ac:dyDescent="0.25">
      <c r="AB298" s="9" t="s">
        <v>22</v>
      </c>
    </row>
    <row r="299" spans="28:28" x14ac:dyDescent="0.25">
      <c r="AB299" s="9" t="s">
        <v>34</v>
      </c>
    </row>
    <row r="300" spans="28:28" x14ac:dyDescent="0.25">
      <c r="AB300" s="9" t="s">
        <v>21</v>
      </c>
    </row>
  </sheetData>
  <sheetCalcPr fullCalcOnLoad="1"/>
  <autoFilter ref="A1:M196"/>
  <dataValidations count="1">
    <dataValidation type="list" allowBlank="1" showInputMessage="1" showErrorMessage="1" sqref="I2:I196">
      <formula1>choices</formula1>
    </dataValidation>
  </dataValidations>
  <hyperlinks>
    <hyperlink ref="A1" location="Menu!A1" display="Player"/>
  </hyperlinks>
  <printOptions horizontalCentered="1" verticalCentered="1" gridLines="1"/>
  <pageMargins left="0" right="0" top="0" bottom="0" header="0" footer="0"/>
  <pageSetup paperSize="9" scale="59" fitToHeight="5" orientation="portrait" r:id="rId1"/>
  <headerFooter alignWithMargins="0"/>
  <rowBreaks count="4" manualBreakCount="4">
    <brk id="1" max="16383" man="1"/>
    <brk id="49" max="16383" man="1"/>
    <brk id="97" max="16383" man="1"/>
    <brk id="14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Y199"/>
  <sheetViews>
    <sheetView topLeftCell="L1" zoomScaleNormal="100" workbookViewId="0">
      <pane ySplit="1" topLeftCell="A37" activePane="bottomLeft" state="frozen"/>
      <selection activeCell="I2" sqref="I2"/>
      <selection pane="bottomLeft" activeCell="T2" sqref="T2:U66"/>
    </sheetView>
  </sheetViews>
  <sheetFormatPr defaultRowHeight="13.2" x14ac:dyDescent="0.25"/>
  <cols>
    <col min="1" max="1" width="9.109375" style="3" customWidth="1"/>
    <col min="2" max="2" width="21.44140625" style="1" customWidth="1"/>
    <col min="3" max="3" width="19.6640625" style="1" customWidth="1"/>
    <col min="4" max="4" width="9.109375" style="2" customWidth="1"/>
    <col min="5" max="5" width="7.5546875" style="3" customWidth="1"/>
    <col min="6" max="6" width="9.33203125" style="1" customWidth="1"/>
    <col min="7" max="7" width="6.33203125" style="1" customWidth="1"/>
    <col min="8" max="8" width="9.109375" style="3" customWidth="1"/>
    <col min="9" max="9" width="16.109375" style="272" bestFit="1" customWidth="1"/>
    <col min="10" max="12" width="8.5546875" style="3" bestFit="1" customWidth="1"/>
    <col min="13" max="18" width="8.5546875" style="1" bestFit="1" customWidth="1"/>
    <col min="19" max="20" width="8.5546875" style="3" bestFit="1" customWidth="1"/>
    <col min="21" max="21" width="6.5546875" style="1" bestFit="1" customWidth="1"/>
    <col min="22" max="22" width="22.109375" style="1" bestFit="1" customWidth="1"/>
    <col min="23" max="27" width="9.109375" style="1" customWidth="1"/>
    <col min="28" max="35" width="8.6640625" style="1" customWidth="1"/>
    <col min="36" max="36" width="22.109375" style="1" bestFit="1" customWidth="1"/>
    <col min="37" max="77" width="9.109375" style="1" customWidth="1"/>
  </cols>
  <sheetData>
    <row r="1" spans="1:77" s="307" customFormat="1" ht="16.5" customHeight="1" x14ac:dyDescent="0.25">
      <c r="A1" s="496" t="s">
        <v>31</v>
      </c>
      <c r="B1" s="298"/>
      <c r="C1" s="292" t="s">
        <v>7</v>
      </c>
      <c r="D1" s="299" t="s">
        <v>8</v>
      </c>
      <c r="E1" s="297" t="s">
        <v>9</v>
      </c>
      <c r="F1" s="165" t="s">
        <v>15</v>
      </c>
      <c r="G1" s="298" t="s">
        <v>11</v>
      </c>
      <c r="H1" s="297" t="s">
        <v>10</v>
      </c>
      <c r="I1" s="300" t="s">
        <v>137</v>
      </c>
      <c r="J1" s="301" t="s">
        <v>179</v>
      </c>
      <c r="K1" s="301" t="s">
        <v>180</v>
      </c>
      <c r="L1" s="301" t="s">
        <v>181</v>
      </c>
      <c r="M1" s="302" t="s">
        <v>0</v>
      </c>
      <c r="N1" s="302" t="s">
        <v>1</v>
      </c>
      <c r="O1" s="302" t="s">
        <v>2</v>
      </c>
      <c r="P1" s="302" t="s">
        <v>3</v>
      </c>
      <c r="Q1" s="302" t="s">
        <v>4</v>
      </c>
      <c r="R1" s="302" t="s">
        <v>5</v>
      </c>
      <c r="S1" s="303" t="s">
        <v>12</v>
      </c>
      <c r="T1" s="303" t="s">
        <v>6</v>
      </c>
      <c r="U1" s="302" t="s">
        <v>14</v>
      </c>
      <c r="V1" s="137" t="s">
        <v>137</v>
      </c>
      <c r="W1" s="304" t="s">
        <v>15</v>
      </c>
      <c r="X1" s="305" t="s">
        <v>182</v>
      </c>
      <c r="Y1" s="306" t="s">
        <v>183</v>
      </c>
      <c r="Z1" s="306" t="s">
        <v>184</v>
      </c>
      <c r="AA1" s="306" t="s">
        <v>185</v>
      </c>
      <c r="AB1" s="302" t="s">
        <v>0</v>
      </c>
      <c r="AC1" s="302" t="s">
        <v>1</v>
      </c>
      <c r="AD1" s="302" t="s">
        <v>2</v>
      </c>
      <c r="AE1" s="302" t="s">
        <v>3</v>
      </c>
      <c r="AF1" s="302" t="s">
        <v>4</v>
      </c>
      <c r="AG1" s="302" t="s">
        <v>5</v>
      </c>
      <c r="AH1" s="303" t="s">
        <v>12</v>
      </c>
      <c r="AI1" s="303" t="s">
        <v>6</v>
      </c>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298"/>
      <c r="BX1" s="298"/>
      <c r="BY1" s="298"/>
    </row>
    <row r="2" spans="1:77" x14ac:dyDescent="0.25">
      <c r="A2" s="3">
        <v>1</v>
      </c>
      <c r="B2" s="229" t="str">
        <f>$V2</f>
        <v>Aaron Sudell</v>
      </c>
      <c r="C2" s="228" t="str">
        <f>Picks!B2</f>
        <v/>
      </c>
      <c r="D2" s="229" t="str">
        <f>Picks!C2</f>
        <v/>
      </c>
      <c r="E2" s="229" t="str">
        <f>Picks!D2</f>
        <v/>
      </c>
      <c r="F2" s="230">
        <v>1</v>
      </c>
      <c r="G2" s="228" t="e">
        <f>Picks!M2</f>
        <v>#N/A</v>
      </c>
      <c r="H2" s="229" t="e">
        <f t="shared" ref="H2:H33" si="0">+((E2-1)*G2*F2*A$2)</f>
        <v>#VALUE!</v>
      </c>
      <c r="I2" s="273" t="str">
        <f>IF(V2="","",V2)</f>
        <v>Aaron Sudell</v>
      </c>
      <c r="J2" s="226" t="e">
        <f>H2</f>
        <v>#VALUE!</v>
      </c>
      <c r="K2" s="226" t="e">
        <f>H3</f>
        <v>#VALUE!</v>
      </c>
      <c r="L2" s="226" t="e">
        <f>H4</f>
        <v>#VALUE!</v>
      </c>
      <c r="M2" s="226" t="e">
        <f t="shared" ref="M2:M31" si="1">IF(J2=0,0,1)+J2</f>
        <v>#VALUE!</v>
      </c>
      <c r="N2" s="226" t="e">
        <f t="shared" ref="N2:N31" si="2">IF(K2=0,0,1)+K2</f>
        <v>#VALUE!</v>
      </c>
      <c r="O2" s="226" t="e">
        <f t="shared" ref="O2:O65" si="3">IF(L2=0,0,1)+L2</f>
        <v>#VALUE!</v>
      </c>
      <c r="P2" s="226" t="e">
        <f>IF(K2=0,0,(M2*K2)+M2)</f>
        <v>#VALUE!</v>
      </c>
      <c r="Q2" s="226" t="e">
        <f>IF(L2=0,0,(N2*L2)+N2)</f>
        <v>#VALUE!</v>
      </c>
      <c r="R2" s="226" t="e">
        <f>IF(J2=0,0,(O2*J2)+O2)</f>
        <v>#VALUE!</v>
      </c>
      <c r="S2" s="226" t="e">
        <f>IF(L2=0,0,(P2*L2)+P2)</f>
        <v>#VALUE!</v>
      </c>
      <c r="T2" s="226" t="e">
        <f>SUM(M2:S2)-(IF(W2=1,A$2*1,0))-(IF(W2=2,A$2*3,0))-(IF(W2=3,A$2*7,0))</f>
        <v>#VALUE!</v>
      </c>
      <c r="U2" s="225" t="e">
        <f>SUM(G2:G4)</f>
        <v>#N/A</v>
      </c>
      <c r="V2" s="139" t="s">
        <v>331</v>
      </c>
      <c r="W2" s="227">
        <f>SUM(F2:F4)</f>
        <v>3</v>
      </c>
      <c r="X2" s="229" t="e">
        <f t="shared" ref="X2:X33" si="4">+((E2-1)*F2*A$2)</f>
        <v>#VALUE!</v>
      </c>
      <c r="Y2" s="226" t="e">
        <f>X2</f>
        <v>#VALUE!</v>
      </c>
      <c r="Z2" s="226" t="e">
        <f>X3</f>
        <v>#VALUE!</v>
      </c>
      <c r="AA2" s="226" t="e">
        <f>X4</f>
        <v>#VALUE!</v>
      </c>
      <c r="AB2" s="226" t="e">
        <f>IF(Y2=0,0,1)+Y2</f>
        <v>#VALUE!</v>
      </c>
      <c r="AC2" s="236" t="e">
        <f>IF(Z2=0,0,1)+Z2</f>
        <v>#VALUE!</v>
      </c>
      <c r="AD2" s="226" t="e">
        <f>IF(AA2=0,0,1)+AA2</f>
        <v>#VALUE!</v>
      </c>
      <c r="AE2" s="226" t="e">
        <f>IF(Z2=0,0,(AB2*Z2)+AB2)</f>
        <v>#VALUE!</v>
      </c>
      <c r="AF2" s="226" t="e">
        <f>IF(AA2=0,0,(AC2*AA2)+AC2)</f>
        <v>#VALUE!</v>
      </c>
      <c r="AG2" s="226" t="e">
        <f>IF(Y2=0,0,(AD2*Y2)+AD2)</f>
        <v>#VALUE!</v>
      </c>
      <c r="AH2" s="226" t="e">
        <f>IF(AA2=0,0,(AE2*AA2)+AE2)</f>
        <v>#VALUE!</v>
      </c>
      <c r="AI2" s="226" t="e">
        <f>SUM(AB2:AH2)-7</f>
        <v>#VALUE!</v>
      </c>
      <c r="AJ2" s="274" t="str">
        <f>$V2</f>
        <v>Aaron Sudell</v>
      </c>
    </row>
    <row r="3" spans="1:77" x14ac:dyDescent="0.25">
      <c r="B3" s="231"/>
      <c r="C3" s="231" t="str">
        <f>Picks!B3</f>
        <v/>
      </c>
      <c r="D3" s="232" t="str">
        <f>Picks!C3</f>
        <v/>
      </c>
      <c r="E3" s="229" t="str">
        <f>Picks!D3</f>
        <v/>
      </c>
      <c r="F3" s="230">
        <v>1</v>
      </c>
      <c r="G3" s="228" t="e">
        <f>Picks!M3</f>
        <v>#N/A</v>
      </c>
      <c r="H3" s="229" t="e">
        <f t="shared" si="0"/>
        <v>#VALUE!</v>
      </c>
      <c r="I3" s="273" t="str">
        <f t="shared" ref="I3:I66" si="5">IF(V3="","",V3)</f>
        <v>Alan Rogers</v>
      </c>
      <c r="J3" s="237">
        <f>H5</f>
        <v>0</v>
      </c>
      <c r="K3" s="237">
        <f>H6</f>
        <v>0</v>
      </c>
      <c r="L3" s="237">
        <f>H7</f>
        <v>0</v>
      </c>
      <c r="M3" s="226">
        <f t="shared" si="1"/>
        <v>0</v>
      </c>
      <c r="N3" s="226">
        <f t="shared" si="2"/>
        <v>0</v>
      </c>
      <c r="O3" s="226">
        <f t="shared" si="3"/>
        <v>0</v>
      </c>
      <c r="P3" s="226">
        <f t="shared" ref="P3:P66" si="6">IF(K3=0,0,(M3*K3)+M3)</f>
        <v>0</v>
      </c>
      <c r="Q3" s="226">
        <f t="shared" ref="Q3:Q66" si="7">IF(L3=0,0,(N3*L3)+N3)</f>
        <v>0</v>
      </c>
      <c r="R3" s="226">
        <f t="shared" ref="R3:R66" si="8">IF(J3=0,0,(O3*J3)+O3)</f>
        <v>0</v>
      </c>
      <c r="S3" s="226">
        <f>IF(L3=0,0,(P3*L3)+P3)</f>
        <v>0</v>
      </c>
      <c r="T3" s="226">
        <f t="shared" ref="T3:T66" si="9">SUM(M3:S3)-(IF(W3=1,A$2*1,0))-(IF(W3=2,A$2*3,0))-(IF(W3=3,A$2*7,0))</f>
        <v>-7</v>
      </c>
      <c r="U3" s="225">
        <f>SUM(G5:G7)</f>
        <v>0</v>
      </c>
      <c r="V3" s="143" t="s">
        <v>344</v>
      </c>
      <c r="W3" s="227">
        <f>SUM(F5:F7)</f>
        <v>3</v>
      </c>
      <c r="X3" s="229" t="e">
        <f t="shared" si="4"/>
        <v>#VALUE!</v>
      </c>
      <c r="Y3" s="226">
        <f>X5</f>
        <v>3</v>
      </c>
      <c r="Z3" s="226">
        <f>X6</f>
        <v>2</v>
      </c>
      <c r="AA3" s="226">
        <f>X7</f>
        <v>2.5</v>
      </c>
      <c r="AB3" s="226">
        <f t="shared" ref="AB3:AB66" si="10">IF(Y3=0,0,1)+Y3</f>
        <v>4</v>
      </c>
      <c r="AC3" s="236">
        <f t="shared" ref="AC3:AC66" si="11">IF(Z3=0,0,1)+Z3</f>
        <v>3</v>
      </c>
      <c r="AD3" s="226">
        <f t="shared" ref="AD3:AD66" si="12">IF(AA3=0,0,1)+AA3</f>
        <v>3.5</v>
      </c>
      <c r="AE3" s="226">
        <f>IF(Z3=0,0,(AB3*Z3)+AB3)</f>
        <v>12</v>
      </c>
      <c r="AF3" s="226">
        <f>IF(AA3=0,0,(AC3*AA3)+AC3)</f>
        <v>10.5</v>
      </c>
      <c r="AG3" s="226">
        <f>IF(Y3=0,0,(AD3*Y3)+AD3)</f>
        <v>14</v>
      </c>
      <c r="AH3" s="226">
        <f>IF(AA3=0,0,(AE3*AA3)+AE3)</f>
        <v>42</v>
      </c>
      <c r="AI3" s="226">
        <f>SUM(AB3:AH3)-7</f>
        <v>82</v>
      </c>
      <c r="AJ3" s="274" t="str">
        <f t="shared" ref="AJ3:AJ66" si="13">$V3</f>
        <v>Alan Rogers</v>
      </c>
    </row>
    <row r="4" spans="1:77" ht="13.8" thickBot="1" x14ac:dyDescent="0.3">
      <c r="B4" s="233"/>
      <c r="C4" s="233" t="str">
        <f>Picks!B4</f>
        <v/>
      </c>
      <c r="D4" s="234" t="str">
        <f>Picks!C4</f>
        <v/>
      </c>
      <c r="E4" s="234" t="str">
        <f>Picks!D4</f>
        <v/>
      </c>
      <c r="F4" s="276">
        <v>1</v>
      </c>
      <c r="G4" s="233" t="e">
        <f>Picks!M4</f>
        <v>#N/A</v>
      </c>
      <c r="H4" s="234" t="e">
        <f t="shared" si="0"/>
        <v>#VALUE!</v>
      </c>
      <c r="I4" s="273" t="str">
        <f t="shared" si="5"/>
        <v>Alfie Davies</v>
      </c>
      <c r="J4" s="226">
        <f>H8</f>
        <v>0</v>
      </c>
      <c r="K4" s="226">
        <f>H9</f>
        <v>0.84615384615384626</v>
      </c>
      <c r="L4" s="226">
        <f>H10</f>
        <v>0</v>
      </c>
      <c r="M4" s="226">
        <f t="shared" si="1"/>
        <v>0</v>
      </c>
      <c r="N4" s="226">
        <f t="shared" si="2"/>
        <v>1.8461538461538463</v>
      </c>
      <c r="O4" s="226">
        <f t="shared" si="3"/>
        <v>0</v>
      </c>
      <c r="P4" s="226">
        <f t="shared" si="6"/>
        <v>0</v>
      </c>
      <c r="Q4" s="226">
        <f t="shared" si="7"/>
        <v>0</v>
      </c>
      <c r="R4" s="226">
        <f t="shared" si="8"/>
        <v>0</v>
      </c>
      <c r="S4" s="226">
        <f t="shared" ref="S4:S66" si="14">IF(L4=0,0,(P4*L4)+P4)</f>
        <v>0</v>
      </c>
      <c r="T4" s="226">
        <f t="shared" si="9"/>
        <v>-5.1538461538461533</v>
      </c>
      <c r="U4" s="225">
        <f>SUM(G8:G10)</f>
        <v>1</v>
      </c>
      <c r="V4" s="139" t="s">
        <v>463</v>
      </c>
      <c r="W4" s="227">
        <f>SUM(F8:F10)</f>
        <v>3</v>
      </c>
      <c r="X4" s="229" t="e">
        <f t="shared" si="4"/>
        <v>#VALUE!</v>
      </c>
      <c r="Y4" s="226">
        <f>X8</f>
        <v>1.4</v>
      </c>
      <c r="Z4" s="226">
        <f>X9</f>
        <v>0.84615384615384626</v>
      </c>
      <c r="AA4" s="226">
        <f>X10</f>
        <v>1.7999999999999998</v>
      </c>
      <c r="AB4" s="226">
        <f t="shared" si="10"/>
        <v>2.4</v>
      </c>
      <c r="AC4" s="236">
        <f t="shared" si="11"/>
        <v>1.8461538461538463</v>
      </c>
      <c r="AD4" s="226">
        <f t="shared" si="12"/>
        <v>2.8</v>
      </c>
      <c r="AE4" s="226">
        <f t="shared" ref="AE4:AE66" si="15">IF(Z4=0,0,(AB4*Z4)+AB4)</f>
        <v>4.430769230769231</v>
      </c>
      <c r="AF4" s="226">
        <f t="shared" ref="AF4:AF66" si="16">IF(AA4=0,0,(AC4*AA4)+AC4)</f>
        <v>5.1692307692307686</v>
      </c>
      <c r="AG4" s="226">
        <f t="shared" ref="AG4:AG66" si="17">IF(Y4=0,0,(AD4*Y4)+AD4)</f>
        <v>6.7199999999999989</v>
      </c>
      <c r="AH4" s="226">
        <f t="shared" ref="AH4:AH66" si="18">IF(AA4=0,0,(AE4*AA4)+AE4)</f>
        <v>12.406153846153845</v>
      </c>
      <c r="AI4" s="226">
        <f t="shared" ref="AI4:AI66" si="19">SUM(AB4:AH4)-7</f>
        <v>28.772307692307692</v>
      </c>
      <c r="AJ4" s="274" t="str">
        <f t="shared" si="13"/>
        <v>Alfie Davies</v>
      </c>
    </row>
    <row r="5" spans="1:77" x14ac:dyDescent="0.25">
      <c r="B5" s="228" t="str">
        <f>$V3</f>
        <v>Alan Rogers</v>
      </c>
      <c r="C5" s="228" t="str">
        <f>Picks!B5</f>
        <v>Everton draw</v>
      </c>
      <c r="D5" s="229" t="str">
        <f>Picks!C5</f>
        <v>3/1</v>
      </c>
      <c r="E5" s="229">
        <f>Picks!D5</f>
        <v>4</v>
      </c>
      <c r="F5" s="230">
        <v>1</v>
      </c>
      <c r="G5" s="228">
        <f>Picks!M5</f>
        <v>0</v>
      </c>
      <c r="H5" s="229">
        <f t="shared" si="0"/>
        <v>0</v>
      </c>
      <c r="I5" s="273" t="str">
        <f t="shared" si="5"/>
        <v>Alick Rocca</v>
      </c>
      <c r="J5" s="237">
        <f>H11</f>
        <v>2.4</v>
      </c>
      <c r="K5" s="237">
        <f>H12</f>
        <v>2.4</v>
      </c>
      <c r="L5" s="237">
        <f>H13</f>
        <v>0</v>
      </c>
      <c r="M5" s="226">
        <f t="shared" si="1"/>
        <v>3.4</v>
      </c>
      <c r="N5" s="226">
        <f t="shared" si="2"/>
        <v>3.4</v>
      </c>
      <c r="O5" s="226">
        <f t="shared" si="3"/>
        <v>0</v>
      </c>
      <c r="P5" s="226">
        <f t="shared" si="6"/>
        <v>11.56</v>
      </c>
      <c r="Q5" s="226">
        <f t="shared" si="7"/>
        <v>0</v>
      </c>
      <c r="R5" s="226">
        <f t="shared" si="8"/>
        <v>0</v>
      </c>
      <c r="S5" s="226">
        <f t="shared" si="14"/>
        <v>0</v>
      </c>
      <c r="T5" s="226">
        <f t="shared" si="9"/>
        <v>11.36</v>
      </c>
      <c r="U5" s="225">
        <f>SUM(G11:G13)</f>
        <v>2</v>
      </c>
      <c r="V5" s="139" t="s">
        <v>367</v>
      </c>
      <c r="W5" s="227">
        <f>SUM(F11:F13)</f>
        <v>3</v>
      </c>
      <c r="X5" s="229">
        <f t="shared" si="4"/>
        <v>3</v>
      </c>
      <c r="Y5" s="226">
        <f>X11</f>
        <v>2.4</v>
      </c>
      <c r="Z5" s="226">
        <f>X12</f>
        <v>2.4</v>
      </c>
      <c r="AA5" s="226">
        <f>X13</f>
        <v>2.6</v>
      </c>
      <c r="AB5" s="226">
        <f t="shared" si="10"/>
        <v>3.4</v>
      </c>
      <c r="AC5" s="236">
        <f t="shared" si="11"/>
        <v>3.4</v>
      </c>
      <c r="AD5" s="226">
        <f t="shared" si="12"/>
        <v>3.6</v>
      </c>
      <c r="AE5" s="226">
        <f t="shared" si="15"/>
        <v>11.56</v>
      </c>
      <c r="AF5" s="226">
        <f t="shared" si="16"/>
        <v>12.24</v>
      </c>
      <c r="AG5" s="226">
        <f t="shared" si="17"/>
        <v>12.24</v>
      </c>
      <c r="AH5" s="226">
        <f t="shared" si="18"/>
        <v>41.616</v>
      </c>
      <c r="AI5" s="226">
        <f t="shared" si="19"/>
        <v>81.056000000000012</v>
      </c>
      <c r="AJ5" s="274" t="str">
        <f t="shared" si="13"/>
        <v>Alick Rocca</v>
      </c>
    </row>
    <row r="6" spans="1:77" x14ac:dyDescent="0.25">
      <c r="B6" s="228"/>
      <c r="C6" s="228" t="str">
        <f>Picks!B6</f>
        <v>Crewe</v>
      </c>
      <c r="D6" s="229" t="str">
        <f>Picks!C6</f>
        <v>2/1</v>
      </c>
      <c r="E6" s="229">
        <f>Picks!D6</f>
        <v>3</v>
      </c>
      <c r="F6" s="230">
        <v>1</v>
      </c>
      <c r="G6" s="228">
        <f>Picks!M6</f>
        <v>0</v>
      </c>
      <c r="H6" s="229">
        <f t="shared" si="0"/>
        <v>0</v>
      </c>
      <c r="I6" s="273" t="str">
        <f t="shared" si="5"/>
        <v>Andy Charleston</v>
      </c>
      <c r="J6" s="237">
        <f>H14</f>
        <v>0</v>
      </c>
      <c r="K6" s="237">
        <f>H15</f>
        <v>1.1000000000000001</v>
      </c>
      <c r="L6" s="237">
        <f>H16</f>
        <v>1.2999999999999998</v>
      </c>
      <c r="M6" s="226">
        <f t="shared" si="1"/>
        <v>0</v>
      </c>
      <c r="N6" s="226">
        <f t="shared" si="2"/>
        <v>2.1</v>
      </c>
      <c r="O6" s="226">
        <f t="shared" si="3"/>
        <v>2.2999999999999998</v>
      </c>
      <c r="P6" s="226">
        <f t="shared" si="6"/>
        <v>0</v>
      </c>
      <c r="Q6" s="226">
        <f t="shared" si="7"/>
        <v>4.83</v>
      </c>
      <c r="R6" s="226">
        <f t="shared" si="8"/>
        <v>0</v>
      </c>
      <c r="S6" s="226">
        <f t="shared" si="14"/>
        <v>0</v>
      </c>
      <c r="T6" s="226">
        <f t="shared" si="9"/>
        <v>2.2300000000000004</v>
      </c>
      <c r="U6" s="225">
        <f>SUM(G14:G16)</f>
        <v>2</v>
      </c>
      <c r="V6" s="139" t="s">
        <v>338</v>
      </c>
      <c r="W6" s="227">
        <f>SUM(F14:F16)</f>
        <v>3</v>
      </c>
      <c r="X6" s="229">
        <f t="shared" si="4"/>
        <v>2</v>
      </c>
      <c r="Y6" s="226">
        <f>X14</f>
        <v>0.35000000000000009</v>
      </c>
      <c r="Z6" s="226">
        <f>X15</f>
        <v>1.1000000000000001</v>
      </c>
      <c r="AA6" s="226">
        <f>X16</f>
        <v>1.2999999999999998</v>
      </c>
      <c r="AB6" s="226">
        <f t="shared" si="10"/>
        <v>1.35</v>
      </c>
      <c r="AC6" s="236">
        <f t="shared" si="11"/>
        <v>2.1</v>
      </c>
      <c r="AD6" s="226">
        <f t="shared" si="12"/>
        <v>2.2999999999999998</v>
      </c>
      <c r="AE6" s="226">
        <f t="shared" si="15"/>
        <v>2.8350000000000004</v>
      </c>
      <c r="AF6" s="226">
        <f t="shared" si="16"/>
        <v>4.83</v>
      </c>
      <c r="AG6" s="226">
        <f t="shared" si="17"/>
        <v>3.105</v>
      </c>
      <c r="AH6" s="226">
        <f t="shared" si="18"/>
        <v>6.5205000000000002</v>
      </c>
      <c r="AI6" s="226">
        <f t="shared" si="19"/>
        <v>16.040500000000002</v>
      </c>
      <c r="AJ6" s="274" t="str">
        <f t="shared" si="13"/>
        <v>Andy Charleston</v>
      </c>
    </row>
    <row r="7" spans="1:77" ht="13.8" thickBot="1" x14ac:dyDescent="0.3">
      <c r="B7" s="233"/>
      <c r="C7" s="233" t="str">
        <f>Picks!B7</f>
        <v>Mansfield</v>
      </c>
      <c r="D7" s="234" t="str">
        <f>Picks!C7</f>
        <v>5/2</v>
      </c>
      <c r="E7" s="234">
        <f>Picks!D7</f>
        <v>3.5</v>
      </c>
      <c r="F7" s="276">
        <v>1</v>
      </c>
      <c r="G7" s="233">
        <f>Picks!M7</f>
        <v>0</v>
      </c>
      <c r="H7" s="234">
        <f t="shared" si="0"/>
        <v>0</v>
      </c>
      <c r="I7" s="273" t="str">
        <f t="shared" si="5"/>
        <v>Andy White</v>
      </c>
      <c r="J7" s="226">
        <f>H17</f>
        <v>0</v>
      </c>
      <c r="K7" s="226">
        <f>H18</f>
        <v>0</v>
      </c>
      <c r="L7" s="226">
        <f>H19</f>
        <v>1.375</v>
      </c>
      <c r="M7" s="226">
        <f t="shared" si="1"/>
        <v>0</v>
      </c>
      <c r="N7" s="226">
        <f t="shared" si="2"/>
        <v>0</v>
      </c>
      <c r="O7" s="226">
        <f t="shared" si="3"/>
        <v>2.375</v>
      </c>
      <c r="P7" s="226">
        <f t="shared" si="6"/>
        <v>0</v>
      </c>
      <c r="Q7" s="226">
        <f t="shared" si="7"/>
        <v>0</v>
      </c>
      <c r="R7" s="226">
        <f t="shared" si="8"/>
        <v>0</v>
      </c>
      <c r="S7" s="226">
        <f t="shared" si="14"/>
        <v>0</v>
      </c>
      <c r="T7" s="226">
        <f t="shared" si="9"/>
        <v>-4.625</v>
      </c>
      <c r="U7" s="225">
        <f>SUM(G17:G19)</f>
        <v>1</v>
      </c>
      <c r="V7" s="139" t="s">
        <v>332</v>
      </c>
      <c r="W7" s="227">
        <f>SUM(F17:F19)</f>
        <v>3</v>
      </c>
      <c r="X7" s="229">
        <f t="shared" si="4"/>
        <v>2.5</v>
      </c>
      <c r="Y7" s="226">
        <f>X17</f>
        <v>4.8</v>
      </c>
      <c r="Z7" s="226">
        <f>X18</f>
        <v>1.7999999999999998</v>
      </c>
      <c r="AA7" s="226">
        <f>X19</f>
        <v>1.375</v>
      </c>
      <c r="AB7" s="226">
        <f t="shared" si="10"/>
        <v>5.8</v>
      </c>
      <c r="AC7" s="236">
        <f t="shared" si="11"/>
        <v>2.8</v>
      </c>
      <c r="AD7" s="226">
        <f t="shared" si="12"/>
        <v>2.375</v>
      </c>
      <c r="AE7" s="226">
        <f t="shared" si="15"/>
        <v>16.239999999999998</v>
      </c>
      <c r="AF7" s="226">
        <f t="shared" si="16"/>
        <v>6.6499999999999995</v>
      </c>
      <c r="AG7" s="226">
        <f t="shared" si="17"/>
        <v>13.775</v>
      </c>
      <c r="AH7" s="226">
        <f t="shared" si="18"/>
        <v>38.569999999999993</v>
      </c>
      <c r="AI7" s="226">
        <f t="shared" si="19"/>
        <v>79.20999999999998</v>
      </c>
      <c r="AJ7" s="274" t="str">
        <f t="shared" si="13"/>
        <v>Andy White</v>
      </c>
    </row>
    <row r="8" spans="1:77" x14ac:dyDescent="0.25">
      <c r="B8" s="231" t="str">
        <f>$V4</f>
        <v>Alfie Davies</v>
      </c>
      <c r="C8" s="231" t="str">
        <f>Picks!B8</f>
        <v>Bristol C</v>
      </c>
      <c r="D8" s="232" t="str">
        <f>Picks!C8</f>
        <v>7/5</v>
      </c>
      <c r="E8" s="229">
        <f>Picks!D8</f>
        <v>2.4</v>
      </c>
      <c r="F8" s="230">
        <v>1</v>
      </c>
      <c r="G8" s="228">
        <f>Picks!M8</f>
        <v>0</v>
      </c>
      <c r="H8" s="229">
        <f t="shared" si="0"/>
        <v>0</v>
      </c>
      <c r="I8" s="273" t="str">
        <f t="shared" si="5"/>
        <v>Antony Robinson</v>
      </c>
      <c r="J8" s="226">
        <f>H20</f>
        <v>0</v>
      </c>
      <c r="K8" s="226">
        <f>H21</f>
        <v>1.2999999999999998</v>
      </c>
      <c r="L8" s="226">
        <f>H22</f>
        <v>2</v>
      </c>
      <c r="M8" s="226">
        <f t="shared" si="1"/>
        <v>0</v>
      </c>
      <c r="N8" s="226">
        <f t="shared" si="2"/>
        <v>2.2999999999999998</v>
      </c>
      <c r="O8" s="226">
        <f t="shared" si="3"/>
        <v>3</v>
      </c>
      <c r="P8" s="226">
        <f t="shared" si="6"/>
        <v>0</v>
      </c>
      <c r="Q8" s="226">
        <f t="shared" si="7"/>
        <v>6.8999999999999995</v>
      </c>
      <c r="R8" s="226">
        <f t="shared" si="8"/>
        <v>0</v>
      </c>
      <c r="S8" s="226">
        <f t="shared" si="14"/>
        <v>0</v>
      </c>
      <c r="T8" s="226">
        <f t="shared" si="9"/>
        <v>5.1999999999999993</v>
      </c>
      <c r="U8" s="225">
        <f>SUM(G20:G22)</f>
        <v>2</v>
      </c>
      <c r="V8" s="139" t="s">
        <v>366</v>
      </c>
      <c r="W8" s="227">
        <f>SUM(F20:F22)</f>
        <v>3</v>
      </c>
      <c r="X8" s="229">
        <f t="shared" si="4"/>
        <v>1.4</v>
      </c>
      <c r="Y8" s="226">
        <f>X20</f>
        <v>2.5</v>
      </c>
      <c r="Z8" s="226">
        <f>X21</f>
        <v>1.2999999999999998</v>
      </c>
      <c r="AA8" s="226">
        <f>X22</f>
        <v>2</v>
      </c>
      <c r="AB8" s="226">
        <f t="shared" si="10"/>
        <v>3.5</v>
      </c>
      <c r="AC8" s="236">
        <f t="shared" si="11"/>
        <v>2.2999999999999998</v>
      </c>
      <c r="AD8" s="226">
        <f t="shared" si="12"/>
        <v>3</v>
      </c>
      <c r="AE8" s="226">
        <f t="shared" si="15"/>
        <v>8.0499999999999989</v>
      </c>
      <c r="AF8" s="226">
        <f t="shared" si="16"/>
        <v>6.8999999999999995</v>
      </c>
      <c r="AG8" s="226">
        <f t="shared" si="17"/>
        <v>10.5</v>
      </c>
      <c r="AH8" s="226">
        <f t="shared" si="18"/>
        <v>24.15</v>
      </c>
      <c r="AI8" s="226">
        <f t="shared" si="19"/>
        <v>51.4</v>
      </c>
      <c r="AJ8" s="274" t="str">
        <f t="shared" si="13"/>
        <v>Antony Robinson</v>
      </c>
    </row>
    <row r="9" spans="1:77" x14ac:dyDescent="0.25">
      <c r="B9" s="228"/>
      <c r="C9" s="228" t="str">
        <f>Picks!B9</f>
        <v>Middlesbro</v>
      </c>
      <c r="D9" s="229" t="str">
        <f>Picks!C9</f>
        <v>11/13</v>
      </c>
      <c r="E9" s="229">
        <f>Picks!D9</f>
        <v>1.8461538461538463</v>
      </c>
      <c r="F9" s="230">
        <v>1</v>
      </c>
      <c r="G9" s="228">
        <f>Picks!M9</f>
        <v>1</v>
      </c>
      <c r="H9" s="229">
        <f t="shared" si="0"/>
        <v>0.84615384615384626</v>
      </c>
      <c r="I9" s="273" t="str">
        <f t="shared" si="5"/>
        <v>Ashley Houghton</v>
      </c>
      <c r="J9" s="237">
        <f>H23</f>
        <v>0.75</v>
      </c>
      <c r="K9" s="237">
        <f>H24</f>
        <v>0</v>
      </c>
      <c r="L9" s="237">
        <f>H25</f>
        <v>0.44444444444444442</v>
      </c>
      <c r="M9" s="226">
        <f t="shared" si="1"/>
        <v>1.75</v>
      </c>
      <c r="N9" s="226">
        <f t="shared" si="2"/>
        <v>0</v>
      </c>
      <c r="O9" s="226">
        <f t="shared" si="3"/>
        <v>1.4444444444444444</v>
      </c>
      <c r="P9" s="226">
        <f t="shared" si="6"/>
        <v>0</v>
      </c>
      <c r="Q9" s="226">
        <f t="shared" si="7"/>
        <v>0</v>
      </c>
      <c r="R9" s="226">
        <f t="shared" si="8"/>
        <v>2.5277777777777777</v>
      </c>
      <c r="S9" s="226">
        <f t="shared" si="14"/>
        <v>0</v>
      </c>
      <c r="T9" s="226">
        <f t="shared" si="9"/>
        <v>-1.2777777777777777</v>
      </c>
      <c r="U9" s="225">
        <f>SUM(G23:G25)</f>
        <v>2</v>
      </c>
      <c r="V9" s="139" t="s">
        <v>457</v>
      </c>
      <c r="W9" s="227">
        <f>SUM(F23:F25)</f>
        <v>3</v>
      </c>
      <c r="X9" s="229">
        <f t="shared" si="4"/>
        <v>0.84615384615384626</v>
      </c>
      <c r="Y9" s="226">
        <f>X23</f>
        <v>0.75</v>
      </c>
      <c r="Z9" s="226">
        <f>X24</f>
        <v>1.25</v>
      </c>
      <c r="AA9" s="226">
        <f>X25</f>
        <v>0.44444444444444442</v>
      </c>
      <c r="AB9" s="226">
        <f t="shared" si="10"/>
        <v>1.75</v>
      </c>
      <c r="AC9" s="236">
        <f t="shared" si="11"/>
        <v>2.25</v>
      </c>
      <c r="AD9" s="226">
        <f t="shared" si="12"/>
        <v>1.4444444444444444</v>
      </c>
      <c r="AE9" s="226">
        <f t="shared" si="15"/>
        <v>3.9375</v>
      </c>
      <c r="AF9" s="226">
        <f t="shared" si="16"/>
        <v>3.25</v>
      </c>
      <c r="AG9" s="226">
        <f t="shared" si="17"/>
        <v>2.5277777777777777</v>
      </c>
      <c r="AH9" s="226">
        <f t="shared" si="18"/>
        <v>5.6875</v>
      </c>
      <c r="AI9" s="226">
        <f t="shared" si="19"/>
        <v>13.847222222222221</v>
      </c>
      <c r="AJ9" s="274" t="str">
        <f t="shared" si="13"/>
        <v>Ashley Houghton</v>
      </c>
    </row>
    <row r="10" spans="1:77" ht="13.8" thickBot="1" x14ac:dyDescent="0.3">
      <c r="B10" s="233"/>
      <c r="C10" s="233" t="str">
        <f>Picks!B10</f>
        <v>Cardiff</v>
      </c>
      <c r="D10" s="234" t="str">
        <f>Picks!C10</f>
        <v>9/5</v>
      </c>
      <c r="E10" s="234">
        <f>Picks!D10</f>
        <v>2.8</v>
      </c>
      <c r="F10" s="276">
        <v>1</v>
      </c>
      <c r="G10" s="233">
        <f>Picks!M10</f>
        <v>0</v>
      </c>
      <c r="H10" s="234">
        <f t="shared" si="0"/>
        <v>0</v>
      </c>
      <c r="I10" s="273" t="str">
        <f t="shared" si="5"/>
        <v>Barry Birchall</v>
      </c>
      <c r="J10" s="226">
        <f>H26</f>
        <v>0</v>
      </c>
      <c r="K10" s="226">
        <f>H27</f>
        <v>0</v>
      </c>
      <c r="L10" s="226">
        <f>H28</f>
        <v>0</v>
      </c>
      <c r="M10" s="226">
        <f t="shared" si="1"/>
        <v>0</v>
      </c>
      <c r="N10" s="226">
        <f t="shared" si="2"/>
        <v>0</v>
      </c>
      <c r="O10" s="226">
        <f t="shared" si="3"/>
        <v>0</v>
      </c>
      <c r="P10" s="226">
        <f t="shared" si="6"/>
        <v>0</v>
      </c>
      <c r="Q10" s="226">
        <f t="shared" si="7"/>
        <v>0</v>
      </c>
      <c r="R10" s="226">
        <f t="shared" si="8"/>
        <v>0</v>
      </c>
      <c r="S10" s="226">
        <f t="shared" si="14"/>
        <v>0</v>
      </c>
      <c r="T10" s="226">
        <f t="shared" si="9"/>
        <v>-7</v>
      </c>
      <c r="U10" s="225">
        <f>SUM(G26:G28)</f>
        <v>0</v>
      </c>
      <c r="V10" s="142" t="s">
        <v>322</v>
      </c>
      <c r="W10" s="227">
        <f>SUM(F26:F28)</f>
        <v>3</v>
      </c>
      <c r="X10" s="229">
        <f t="shared" si="4"/>
        <v>1.7999999999999998</v>
      </c>
      <c r="Y10" s="226">
        <f>X26</f>
        <v>3</v>
      </c>
      <c r="Z10" s="226">
        <f>X27</f>
        <v>0.5714285714285714</v>
      </c>
      <c r="AA10" s="226">
        <f>X28</f>
        <v>1.4545454545454546</v>
      </c>
      <c r="AB10" s="226">
        <f t="shared" si="10"/>
        <v>4</v>
      </c>
      <c r="AC10" s="236">
        <f t="shared" si="11"/>
        <v>1.5714285714285714</v>
      </c>
      <c r="AD10" s="226">
        <f t="shared" si="12"/>
        <v>2.4545454545454546</v>
      </c>
      <c r="AE10" s="226">
        <f t="shared" si="15"/>
        <v>6.2857142857142856</v>
      </c>
      <c r="AF10" s="226">
        <f t="shared" si="16"/>
        <v>3.8571428571428568</v>
      </c>
      <c r="AG10" s="226">
        <f t="shared" si="17"/>
        <v>9.8181818181818183</v>
      </c>
      <c r="AH10" s="226">
        <f t="shared" si="18"/>
        <v>15.428571428571427</v>
      </c>
      <c r="AI10" s="226">
        <f t="shared" si="19"/>
        <v>36.415584415584419</v>
      </c>
      <c r="AJ10" s="274" t="str">
        <f t="shared" si="13"/>
        <v>Barry Birchall</v>
      </c>
    </row>
    <row r="11" spans="1:77" x14ac:dyDescent="0.25">
      <c r="B11" s="231" t="str">
        <f>$V5</f>
        <v>Alick Rocca</v>
      </c>
      <c r="C11" s="231" t="str">
        <f>Picks!B11</f>
        <v>Forest Green Draw</v>
      </c>
      <c r="D11" s="232" t="str">
        <f>Picks!C11</f>
        <v>12/5</v>
      </c>
      <c r="E11" s="229">
        <f>Picks!D11</f>
        <v>3.4</v>
      </c>
      <c r="F11" s="230">
        <v>1</v>
      </c>
      <c r="G11" s="228">
        <f>Picks!M11</f>
        <v>1</v>
      </c>
      <c r="H11" s="229">
        <f t="shared" si="0"/>
        <v>2.4</v>
      </c>
      <c r="I11" s="273" t="str">
        <f t="shared" si="5"/>
        <v>Ben Rosser</v>
      </c>
      <c r="J11" s="226">
        <f>H29</f>
        <v>0</v>
      </c>
      <c r="K11" s="226">
        <f>H30</f>
        <v>0</v>
      </c>
      <c r="L11" s="226">
        <f>H31</f>
        <v>0</v>
      </c>
      <c r="M11" s="226">
        <f t="shared" si="1"/>
        <v>0</v>
      </c>
      <c r="N11" s="226">
        <f t="shared" si="2"/>
        <v>0</v>
      </c>
      <c r="O11" s="226">
        <f t="shared" si="3"/>
        <v>0</v>
      </c>
      <c r="P11" s="226">
        <f t="shared" si="6"/>
        <v>0</v>
      </c>
      <c r="Q11" s="226">
        <f t="shared" si="7"/>
        <v>0</v>
      </c>
      <c r="R11" s="226">
        <f t="shared" si="8"/>
        <v>0</v>
      </c>
      <c r="S11" s="226">
        <f t="shared" si="14"/>
        <v>0</v>
      </c>
      <c r="T11" s="226">
        <f t="shared" si="9"/>
        <v>-7</v>
      </c>
      <c r="U11" s="225">
        <f>SUM(G29:G31)</f>
        <v>0</v>
      </c>
      <c r="V11" s="143" t="s">
        <v>451</v>
      </c>
      <c r="W11" s="227">
        <f>SUM(F29:F31)</f>
        <v>3</v>
      </c>
      <c r="X11" s="229">
        <f t="shared" si="4"/>
        <v>2.4</v>
      </c>
      <c r="Y11" s="226">
        <f>X29</f>
        <v>1.7999999999999998</v>
      </c>
      <c r="Z11" s="226">
        <f>X30</f>
        <v>4.25</v>
      </c>
      <c r="AA11" s="226">
        <f>X31</f>
        <v>1.7999999999999998</v>
      </c>
      <c r="AB11" s="226">
        <f t="shared" si="10"/>
        <v>2.8</v>
      </c>
      <c r="AC11" s="236">
        <f t="shared" si="11"/>
        <v>5.25</v>
      </c>
      <c r="AD11" s="226">
        <f t="shared" si="12"/>
        <v>2.8</v>
      </c>
      <c r="AE11" s="226">
        <f t="shared" si="15"/>
        <v>14.7</v>
      </c>
      <c r="AF11" s="226">
        <f t="shared" si="16"/>
        <v>14.7</v>
      </c>
      <c r="AG11" s="226">
        <f t="shared" si="17"/>
        <v>7.839999999999999</v>
      </c>
      <c r="AH11" s="226">
        <f t="shared" si="18"/>
        <v>41.16</v>
      </c>
      <c r="AI11" s="226">
        <f t="shared" si="19"/>
        <v>82.25</v>
      </c>
      <c r="AJ11" s="274" t="str">
        <f t="shared" si="13"/>
        <v>Ben Rosser</v>
      </c>
    </row>
    <row r="12" spans="1:77" x14ac:dyDescent="0.25">
      <c r="B12" s="228"/>
      <c r="C12" s="228" t="str">
        <f>Picks!B12</f>
        <v>Reading Draw</v>
      </c>
      <c r="D12" s="229" t="str">
        <f>Picks!C12</f>
        <v>12/5</v>
      </c>
      <c r="E12" s="229">
        <f>Picks!D12</f>
        <v>3.4</v>
      </c>
      <c r="F12" s="230">
        <v>1</v>
      </c>
      <c r="G12" s="228">
        <f>Picks!M12</f>
        <v>1</v>
      </c>
      <c r="H12" s="229">
        <f t="shared" si="0"/>
        <v>2.4</v>
      </c>
      <c r="I12" s="273" t="str">
        <f t="shared" si="5"/>
        <v>Charlie Griffiths</v>
      </c>
      <c r="J12" s="226">
        <f>H32</f>
        <v>0</v>
      </c>
      <c r="K12" s="226">
        <f>H33</f>
        <v>0</v>
      </c>
      <c r="L12" s="226">
        <f>H34</f>
        <v>0</v>
      </c>
      <c r="M12" s="226">
        <f t="shared" si="1"/>
        <v>0</v>
      </c>
      <c r="N12" s="226">
        <f t="shared" si="2"/>
        <v>0</v>
      </c>
      <c r="O12" s="226">
        <f t="shared" si="3"/>
        <v>0</v>
      </c>
      <c r="P12" s="226">
        <f t="shared" si="6"/>
        <v>0</v>
      </c>
      <c r="Q12" s="226">
        <f t="shared" si="7"/>
        <v>0</v>
      </c>
      <c r="R12" s="226">
        <f t="shared" si="8"/>
        <v>0</v>
      </c>
      <c r="S12" s="226">
        <f t="shared" si="14"/>
        <v>0</v>
      </c>
      <c r="T12" s="226">
        <f t="shared" si="9"/>
        <v>-7</v>
      </c>
      <c r="U12" s="225">
        <f>SUM(G32:G34)</f>
        <v>0</v>
      </c>
      <c r="V12" s="143" t="s">
        <v>355</v>
      </c>
      <c r="W12" s="227">
        <f>SUM(F32:F34)</f>
        <v>3</v>
      </c>
      <c r="X12" s="229">
        <f t="shared" si="4"/>
        <v>2.4</v>
      </c>
      <c r="Y12" s="226">
        <f>X32</f>
        <v>1.2000000000000002</v>
      </c>
      <c r="Z12" s="226">
        <f>X33</f>
        <v>2.4</v>
      </c>
      <c r="AA12" s="226">
        <f>X34</f>
        <v>1.25</v>
      </c>
      <c r="AB12" s="226">
        <f t="shared" si="10"/>
        <v>2.2000000000000002</v>
      </c>
      <c r="AC12" s="236">
        <f t="shared" si="11"/>
        <v>3.4</v>
      </c>
      <c r="AD12" s="226">
        <f t="shared" si="12"/>
        <v>2.25</v>
      </c>
      <c r="AE12" s="226">
        <f t="shared" si="15"/>
        <v>7.48</v>
      </c>
      <c r="AF12" s="226">
        <f t="shared" si="16"/>
        <v>7.65</v>
      </c>
      <c r="AG12" s="226">
        <f t="shared" si="17"/>
        <v>4.95</v>
      </c>
      <c r="AH12" s="226">
        <f t="shared" si="18"/>
        <v>16.830000000000002</v>
      </c>
      <c r="AI12" s="226">
        <f t="shared" si="19"/>
        <v>37.760000000000005</v>
      </c>
      <c r="AJ12" s="274" t="str">
        <f t="shared" si="13"/>
        <v>Charlie Griffiths</v>
      </c>
    </row>
    <row r="13" spans="1:77" ht="13.8" thickBot="1" x14ac:dyDescent="0.3">
      <c r="B13" s="233"/>
      <c r="C13" s="233" t="str">
        <f>Picks!B13</f>
        <v>Villa Draw</v>
      </c>
      <c r="D13" s="234" t="str">
        <f>Picks!C13</f>
        <v>13/5</v>
      </c>
      <c r="E13" s="234">
        <f>Picks!D13</f>
        <v>3.6</v>
      </c>
      <c r="F13" s="276">
        <v>1</v>
      </c>
      <c r="G13" s="233">
        <f>Picks!M13</f>
        <v>0</v>
      </c>
      <c r="H13" s="234">
        <f t="shared" si="0"/>
        <v>0</v>
      </c>
      <c r="I13" s="273" t="str">
        <f t="shared" si="5"/>
        <v>Chris Bow</v>
      </c>
      <c r="J13" s="226">
        <f>H35</f>
        <v>1.375</v>
      </c>
      <c r="K13" s="226">
        <f>H36</f>
        <v>1.0499999999999998</v>
      </c>
      <c r="L13" s="226">
        <f>H37</f>
        <v>1.2999999999999998</v>
      </c>
      <c r="M13" s="226">
        <f t="shared" si="1"/>
        <v>2.375</v>
      </c>
      <c r="N13" s="226">
        <f t="shared" si="2"/>
        <v>2.0499999999999998</v>
      </c>
      <c r="O13" s="226">
        <f t="shared" si="3"/>
        <v>2.2999999999999998</v>
      </c>
      <c r="P13" s="226">
        <f t="shared" si="6"/>
        <v>4.8687499999999995</v>
      </c>
      <c r="Q13" s="226">
        <f t="shared" si="7"/>
        <v>4.7149999999999999</v>
      </c>
      <c r="R13" s="226">
        <f t="shared" si="8"/>
        <v>5.4624999999999995</v>
      </c>
      <c r="S13" s="226">
        <f t="shared" si="14"/>
        <v>11.198124999999997</v>
      </c>
      <c r="T13" s="226">
        <f t="shared" si="9"/>
        <v>25.969374999999999</v>
      </c>
      <c r="U13" s="225">
        <f>SUM(G35:G37)</f>
        <v>3</v>
      </c>
      <c r="V13" s="139" t="s">
        <v>361</v>
      </c>
      <c r="W13" s="227">
        <f>SUM(F35:F37)</f>
        <v>3</v>
      </c>
      <c r="X13" s="229">
        <f t="shared" si="4"/>
        <v>2.6</v>
      </c>
      <c r="Y13" s="226">
        <f>X35</f>
        <v>1.375</v>
      </c>
      <c r="Z13" s="226">
        <f>X36</f>
        <v>1.0499999999999998</v>
      </c>
      <c r="AA13" s="226">
        <f>X37</f>
        <v>1.2999999999999998</v>
      </c>
      <c r="AB13" s="226">
        <f t="shared" si="10"/>
        <v>2.375</v>
      </c>
      <c r="AC13" s="236">
        <f t="shared" si="11"/>
        <v>2.0499999999999998</v>
      </c>
      <c r="AD13" s="226">
        <f t="shared" si="12"/>
        <v>2.2999999999999998</v>
      </c>
      <c r="AE13" s="226">
        <f t="shared" si="15"/>
        <v>4.8687499999999995</v>
      </c>
      <c r="AF13" s="226">
        <f t="shared" si="16"/>
        <v>4.7149999999999999</v>
      </c>
      <c r="AG13" s="226">
        <f t="shared" si="17"/>
        <v>5.4624999999999995</v>
      </c>
      <c r="AH13" s="226">
        <f t="shared" si="18"/>
        <v>11.198124999999997</v>
      </c>
      <c r="AI13" s="226">
        <f t="shared" si="19"/>
        <v>25.969374999999999</v>
      </c>
      <c r="AJ13" s="274" t="str">
        <f t="shared" si="13"/>
        <v>Chris Bow</v>
      </c>
    </row>
    <row r="14" spans="1:77" x14ac:dyDescent="0.25">
      <c r="B14" s="228" t="str">
        <f>$V6</f>
        <v>Andy Charleston</v>
      </c>
      <c r="C14" s="228" t="str">
        <f>Picks!B14</f>
        <v>Portsmouth</v>
      </c>
      <c r="D14" s="229" t="str">
        <f>Picks!C14</f>
        <v>7/20</v>
      </c>
      <c r="E14" s="229">
        <f>Picks!D14</f>
        <v>1.35</v>
      </c>
      <c r="F14" s="230">
        <v>1</v>
      </c>
      <c r="G14" s="228">
        <f>Picks!M14</f>
        <v>0</v>
      </c>
      <c r="H14" s="229">
        <f t="shared" si="0"/>
        <v>0</v>
      </c>
      <c r="I14" s="273" t="str">
        <f t="shared" si="5"/>
        <v>Chris Griffin</v>
      </c>
      <c r="J14" s="226">
        <f>H38</f>
        <v>1.2999999999999998</v>
      </c>
      <c r="K14" s="226">
        <f>H39</f>
        <v>0</v>
      </c>
      <c r="L14" s="226">
        <f>H40</f>
        <v>2.4</v>
      </c>
      <c r="M14" s="226">
        <f t="shared" si="1"/>
        <v>2.2999999999999998</v>
      </c>
      <c r="N14" s="226">
        <f t="shared" si="2"/>
        <v>0</v>
      </c>
      <c r="O14" s="226">
        <f t="shared" si="3"/>
        <v>3.4</v>
      </c>
      <c r="P14" s="226">
        <f t="shared" si="6"/>
        <v>0</v>
      </c>
      <c r="Q14" s="226">
        <f t="shared" si="7"/>
        <v>0</v>
      </c>
      <c r="R14" s="226">
        <f t="shared" si="8"/>
        <v>7.8199999999999985</v>
      </c>
      <c r="S14" s="226">
        <f t="shared" si="14"/>
        <v>0</v>
      </c>
      <c r="T14" s="226">
        <f t="shared" si="9"/>
        <v>6.5199999999999978</v>
      </c>
      <c r="U14" s="225">
        <f>SUM(G38:G40)</f>
        <v>2</v>
      </c>
      <c r="V14" s="139" t="s">
        <v>354</v>
      </c>
      <c r="W14" s="227">
        <f>SUM(F38:F40)</f>
        <v>3</v>
      </c>
      <c r="X14" s="229">
        <f t="shared" si="4"/>
        <v>0.35000000000000009</v>
      </c>
      <c r="Y14" s="226">
        <f>X38</f>
        <v>1.2999999999999998</v>
      </c>
      <c r="Z14" s="226">
        <f>X39</f>
        <v>1.2000000000000002</v>
      </c>
      <c r="AA14" s="226">
        <f>X40</f>
        <v>2.4</v>
      </c>
      <c r="AB14" s="226">
        <f t="shared" si="10"/>
        <v>2.2999999999999998</v>
      </c>
      <c r="AC14" s="236">
        <f t="shared" si="11"/>
        <v>2.2000000000000002</v>
      </c>
      <c r="AD14" s="226">
        <f t="shared" si="12"/>
        <v>3.4</v>
      </c>
      <c r="AE14" s="226">
        <f t="shared" si="15"/>
        <v>5.0600000000000005</v>
      </c>
      <c r="AF14" s="226">
        <f t="shared" si="16"/>
        <v>7.48</v>
      </c>
      <c r="AG14" s="226">
        <f t="shared" si="17"/>
        <v>7.8199999999999985</v>
      </c>
      <c r="AH14" s="226">
        <f t="shared" si="18"/>
        <v>17.204000000000001</v>
      </c>
      <c r="AI14" s="226">
        <f t="shared" si="19"/>
        <v>38.463999999999999</v>
      </c>
      <c r="AJ14" s="274" t="str">
        <f t="shared" si="13"/>
        <v>Chris Griffin</v>
      </c>
    </row>
    <row r="15" spans="1:77" x14ac:dyDescent="0.25">
      <c r="B15" s="228"/>
      <c r="C15" s="228" t="str">
        <f>Picks!B15</f>
        <v>Doncaster</v>
      </c>
      <c r="D15" s="229" t="str">
        <f>Picks!C15</f>
        <v>11/10</v>
      </c>
      <c r="E15" s="229">
        <f>Picks!D15</f>
        <v>2.1</v>
      </c>
      <c r="F15" s="230">
        <v>1</v>
      </c>
      <c r="G15" s="228">
        <f>Picks!M15</f>
        <v>1</v>
      </c>
      <c r="H15" s="229">
        <f t="shared" si="0"/>
        <v>1.1000000000000001</v>
      </c>
      <c r="I15" s="273" t="str">
        <f t="shared" si="5"/>
        <v>Chris Luck</v>
      </c>
      <c r="J15" s="226">
        <f>H41</f>
        <v>1.375</v>
      </c>
      <c r="K15" s="226">
        <f>H42</f>
        <v>1.6</v>
      </c>
      <c r="L15" s="226">
        <f>H43</f>
        <v>1.1499999999999999</v>
      </c>
      <c r="M15" s="226">
        <f t="shared" si="1"/>
        <v>2.375</v>
      </c>
      <c r="N15" s="226">
        <f t="shared" si="2"/>
        <v>2.6</v>
      </c>
      <c r="O15" s="226">
        <f t="shared" si="3"/>
        <v>2.15</v>
      </c>
      <c r="P15" s="226">
        <f t="shared" si="6"/>
        <v>6.1750000000000007</v>
      </c>
      <c r="Q15" s="226">
        <f t="shared" si="7"/>
        <v>5.59</v>
      </c>
      <c r="R15" s="226">
        <f t="shared" si="8"/>
        <v>5.1062499999999993</v>
      </c>
      <c r="S15" s="226">
        <f t="shared" si="14"/>
        <v>13.276250000000001</v>
      </c>
      <c r="T15" s="226">
        <f t="shared" si="9"/>
        <v>30.272500000000001</v>
      </c>
      <c r="U15" s="225">
        <f>SUM(G41:G43)</f>
        <v>3</v>
      </c>
      <c r="V15" s="141" t="s">
        <v>363</v>
      </c>
      <c r="W15" s="227">
        <f>SUM(F41:F43)</f>
        <v>3</v>
      </c>
      <c r="X15" s="229">
        <f t="shared" si="4"/>
        <v>1.1000000000000001</v>
      </c>
      <c r="Y15" s="226">
        <f>X41</f>
        <v>1.375</v>
      </c>
      <c r="Z15" s="226">
        <f>X42</f>
        <v>1.6</v>
      </c>
      <c r="AA15" s="226">
        <f>X43</f>
        <v>1.1499999999999999</v>
      </c>
      <c r="AB15" s="226">
        <f t="shared" si="10"/>
        <v>2.375</v>
      </c>
      <c r="AC15" s="236">
        <f t="shared" si="11"/>
        <v>2.6</v>
      </c>
      <c r="AD15" s="226">
        <f t="shared" si="12"/>
        <v>2.15</v>
      </c>
      <c r="AE15" s="226">
        <f t="shared" si="15"/>
        <v>6.1750000000000007</v>
      </c>
      <c r="AF15" s="226">
        <f t="shared" si="16"/>
        <v>5.59</v>
      </c>
      <c r="AG15" s="226">
        <f t="shared" si="17"/>
        <v>5.1062499999999993</v>
      </c>
      <c r="AH15" s="226">
        <f t="shared" si="18"/>
        <v>13.276250000000001</v>
      </c>
      <c r="AI15" s="226">
        <f t="shared" si="19"/>
        <v>30.272500000000001</v>
      </c>
      <c r="AJ15" s="274" t="str">
        <f t="shared" si="13"/>
        <v>Chris Luck</v>
      </c>
    </row>
    <row r="16" spans="1:77" ht="13.8" thickBot="1" x14ac:dyDescent="0.3">
      <c r="B16" s="233"/>
      <c r="C16" s="233" t="str">
        <f>Picks!B16</f>
        <v>Wigan</v>
      </c>
      <c r="D16" s="234" t="str">
        <f>Picks!C16</f>
        <v>13/10</v>
      </c>
      <c r="E16" s="234">
        <f>Picks!D16</f>
        <v>2.2999999999999998</v>
      </c>
      <c r="F16" s="276">
        <v>1</v>
      </c>
      <c r="G16" s="233">
        <f>Picks!M16</f>
        <v>1</v>
      </c>
      <c r="H16" s="234">
        <f t="shared" si="0"/>
        <v>1.2999999999999998</v>
      </c>
      <c r="I16" s="273" t="str">
        <f t="shared" si="5"/>
        <v>Chris Townsend</v>
      </c>
      <c r="J16" s="226">
        <f>H44</f>
        <v>0</v>
      </c>
      <c r="K16" s="226">
        <f>H45</f>
        <v>0</v>
      </c>
      <c r="L16" s="226">
        <f>H46</f>
        <v>0</v>
      </c>
      <c r="M16" s="226">
        <f t="shared" si="1"/>
        <v>0</v>
      </c>
      <c r="N16" s="226">
        <f t="shared" si="2"/>
        <v>0</v>
      </c>
      <c r="O16" s="226">
        <f t="shared" si="3"/>
        <v>0</v>
      </c>
      <c r="P16" s="226">
        <f t="shared" si="6"/>
        <v>0</v>
      </c>
      <c r="Q16" s="226">
        <f t="shared" si="7"/>
        <v>0</v>
      </c>
      <c r="R16" s="226">
        <f t="shared" si="8"/>
        <v>0</v>
      </c>
      <c r="S16" s="226">
        <f t="shared" si="14"/>
        <v>0</v>
      </c>
      <c r="T16" s="226">
        <f t="shared" si="9"/>
        <v>-7</v>
      </c>
      <c r="U16" s="225">
        <f>SUM(G44:G46)</f>
        <v>0</v>
      </c>
      <c r="V16" s="143" t="s">
        <v>358</v>
      </c>
      <c r="W16" s="227">
        <f>SUM(F44:F46)</f>
        <v>3</v>
      </c>
      <c r="X16" s="229">
        <f t="shared" si="4"/>
        <v>1.2999999999999998</v>
      </c>
      <c r="Y16" s="226">
        <f>X44</f>
        <v>2.1</v>
      </c>
      <c r="Z16" s="226">
        <f>X45</f>
        <v>9</v>
      </c>
      <c r="AA16" s="226">
        <f>X46</f>
        <v>1.875</v>
      </c>
      <c r="AB16" s="226">
        <f t="shared" si="10"/>
        <v>3.1</v>
      </c>
      <c r="AC16" s="236">
        <f t="shared" si="11"/>
        <v>10</v>
      </c>
      <c r="AD16" s="226">
        <f t="shared" si="12"/>
        <v>2.875</v>
      </c>
      <c r="AE16" s="226">
        <f t="shared" si="15"/>
        <v>31.000000000000004</v>
      </c>
      <c r="AF16" s="226">
        <f t="shared" si="16"/>
        <v>28.75</v>
      </c>
      <c r="AG16" s="226">
        <f t="shared" si="17"/>
        <v>8.9125000000000014</v>
      </c>
      <c r="AH16" s="226">
        <f t="shared" si="18"/>
        <v>89.125000000000014</v>
      </c>
      <c r="AI16" s="226">
        <f t="shared" si="19"/>
        <v>166.76249999999999</v>
      </c>
      <c r="AJ16" s="274" t="str">
        <f t="shared" si="13"/>
        <v>Chris Townsend</v>
      </c>
    </row>
    <row r="17" spans="2:36" x14ac:dyDescent="0.25">
      <c r="B17" s="231" t="str">
        <f>$V7</f>
        <v>Andy White</v>
      </c>
      <c r="C17" s="231" t="str">
        <f>Picks!B17</f>
        <v>Burnley</v>
      </c>
      <c r="D17" s="232" t="str">
        <f>Picks!C17</f>
        <v>24/5</v>
      </c>
      <c r="E17" s="229">
        <f>Picks!D17</f>
        <v>5.8</v>
      </c>
      <c r="F17" s="230">
        <v>1</v>
      </c>
      <c r="G17" s="228">
        <f>Picks!M17</f>
        <v>0</v>
      </c>
      <c r="H17" s="229">
        <f t="shared" si="0"/>
        <v>0</v>
      </c>
      <c r="I17" s="273" t="str">
        <f t="shared" si="5"/>
        <v>Dan Baxter</v>
      </c>
      <c r="J17" s="226">
        <f>H47</f>
        <v>0</v>
      </c>
      <c r="K17" s="226">
        <f>H48</f>
        <v>3.4000000000000004</v>
      </c>
      <c r="L17" s="226">
        <f>H49</f>
        <v>0</v>
      </c>
      <c r="M17" s="226">
        <f t="shared" si="1"/>
        <v>0</v>
      </c>
      <c r="N17" s="226">
        <f t="shared" si="2"/>
        <v>4.4000000000000004</v>
      </c>
      <c r="O17" s="226">
        <f t="shared" si="3"/>
        <v>0</v>
      </c>
      <c r="P17" s="226">
        <f t="shared" si="6"/>
        <v>0</v>
      </c>
      <c r="Q17" s="226">
        <f t="shared" si="7"/>
        <v>0</v>
      </c>
      <c r="R17" s="226">
        <f t="shared" si="8"/>
        <v>0</v>
      </c>
      <c r="S17" s="226">
        <f t="shared" si="14"/>
        <v>0</v>
      </c>
      <c r="T17" s="226">
        <f t="shared" si="9"/>
        <v>-2.5999999999999996</v>
      </c>
      <c r="U17" s="225">
        <f>SUM(G47:G49)</f>
        <v>1</v>
      </c>
      <c r="V17" s="139" t="s">
        <v>335</v>
      </c>
      <c r="W17" s="227">
        <f>SUM(F47:F49)</f>
        <v>3</v>
      </c>
      <c r="X17" s="229">
        <f t="shared" si="4"/>
        <v>4.8</v>
      </c>
      <c r="Y17" s="226">
        <f>X47</f>
        <v>3</v>
      </c>
      <c r="Z17" s="226">
        <f>X48</f>
        <v>3.4000000000000004</v>
      </c>
      <c r="AA17" s="226">
        <f>X49</f>
        <v>9</v>
      </c>
      <c r="AB17" s="226">
        <f t="shared" si="10"/>
        <v>4</v>
      </c>
      <c r="AC17" s="236">
        <f t="shared" si="11"/>
        <v>4.4000000000000004</v>
      </c>
      <c r="AD17" s="226">
        <f t="shared" si="12"/>
        <v>10</v>
      </c>
      <c r="AE17" s="226">
        <f t="shared" si="15"/>
        <v>17.600000000000001</v>
      </c>
      <c r="AF17" s="226">
        <f t="shared" si="16"/>
        <v>44</v>
      </c>
      <c r="AG17" s="226">
        <f t="shared" si="17"/>
        <v>40</v>
      </c>
      <c r="AH17" s="226">
        <f t="shared" si="18"/>
        <v>176</v>
      </c>
      <c r="AI17" s="226">
        <f t="shared" si="19"/>
        <v>289</v>
      </c>
      <c r="AJ17" s="274" t="str">
        <f t="shared" si="13"/>
        <v>Dan Baxter</v>
      </c>
    </row>
    <row r="18" spans="2:36" x14ac:dyDescent="0.25">
      <c r="B18" s="228"/>
      <c r="C18" s="228" t="str">
        <f>Picks!B18</f>
        <v>Cardiff</v>
      </c>
      <c r="D18" s="229" t="str">
        <f>Picks!C18</f>
        <v>9/5</v>
      </c>
      <c r="E18" s="229">
        <f>Picks!D18</f>
        <v>2.8</v>
      </c>
      <c r="F18" s="230">
        <v>1</v>
      </c>
      <c r="G18" s="228">
        <f>Picks!M18</f>
        <v>0</v>
      </c>
      <c r="H18" s="229">
        <f t="shared" si="0"/>
        <v>0</v>
      </c>
      <c r="I18" s="273" t="str">
        <f t="shared" si="5"/>
        <v>Dave Bell</v>
      </c>
      <c r="J18" s="226">
        <f>H50</f>
        <v>0</v>
      </c>
      <c r="K18" s="226">
        <f>H51</f>
        <v>0</v>
      </c>
      <c r="L18" s="226">
        <f>H52</f>
        <v>0</v>
      </c>
      <c r="M18" s="226">
        <f t="shared" si="1"/>
        <v>0</v>
      </c>
      <c r="N18" s="226">
        <f t="shared" si="2"/>
        <v>0</v>
      </c>
      <c r="O18" s="226">
        <f t="shared" si="3"/>
        <v>0</v>
      </c>
      <c r="P18" s="226">
        <f t="shared" si="6"/>
        <v>0</v>
      </c>
      <c r="Q18" s="226">
        <f t="shared" si="7"/>
        <v>0</v>
      </c>
      <c r="R18" s="226">
        <f t="shared" si="8"/>
        <v>0</v>
      </c>
      <c r="S18" s="226">
        <f t="shared" si="14"/>
        <v>0</v>
      </c>
      <c r="T18" s="226">
        <f t="shared" si="9"/>
        <v>-7</v>
      </c>
      <c r="U18" s="225">
        <f>SUM(G50:G52)</f>
        <v>0</v>
      </c>
      <c r="V18" s="142" t="s">
        <v>465</v>
      </c>
      <c r="W18" s="227">
        <f>SUM(F50:F52)</f>
        <v>3</v>
      </c>
      <c r="X18" s="229">
        <f t="shared" si="4"/>
        <v>1.7999999999999998</v>
      </c>
      <c r="Y18" s="226">
        <f>X50</f>
        <v>9</v>
      </c>
      <c r="Z18" s="226">
        <f>X51</f>
        <v>7.5</v>
      </c>
      <c r="AA18" s="226">
        <f>X52</f>
        <v>8.5</v>
      </c>
      <c r="AB18" s="226">
        <f t="shared" si="10"/>
        <v>10</v>
      </c>
      <c r="AC18" s="236">
        <f t="shared" si="11"/>
        <v>8.5</v>
      </c>
      <c r="AD18" s="226">
        <f t="shared" si="12"/>
        <v>9.5</v>
      </c>
      <c r="AE18" s="226">
        <f t="shared" si="15"/>
        <v>85</v>
      </c>
      <c r="AF18" s="226">
        <f t="shared" si="16"/>
        <v>80.75</v>
      </c>
      <c r="AG18" s="226">
        <f t="shared" si="17"/>
        <v>95</v>
      </c>
      <c r="AH18" s="226">
        <f t="shared" si="18"/>
        <v>807.5</v>
      </c>
      <c r="AI18" s="226">
        <f t="shared" si="19"/>
        <v>1089.25</v>
      </c>
      <c r="AJ18" s="274" t="str">
        <f t="shared" si="13"/>
        <v>Dave Bell</v>
      </c>
    </row>
    <row r="19" spans="2:36" ht="13.8" thickBot="1" x14ac:dyDescent="0.3">
      <c r="B19" s="233"/>
      <c r="C19" s="233" t="str">
        <f>Picks!B19</f>
        <v>West Ham</v>
      </c>
      <c r="D19" s="234" t="str">
        <f>Picks!C19</f>
        <v>11/8</v>
      </c>
      <c r="E19" s="234">
        <f>Picks!D19</f>
        <v>2.375</v>
      </c>
      <c r="F19" s="276">
        <v>1</v>
      </c>
      <c r="G19" s="233">
        <f>Picks!M19</f>
        <v>1</v>
      </c>
      <c r="H19" s="234">
        <f t="shared" si="0"/>
        <v>1.375</v>
      </c>
      <c r="I19" s="273" t="str">
        <f t="shared" si="5"/>
        <v>Dave Orrell</v>
      </c>
      <c r="J19" s="226">
        <f>H53</f>
        <v>0</v>
      </c>
      <c r="K19" s="226">
        <f>H54</f>
        <v>1.25</v>
      </c>
      <c r="L19" s="226">
        <f>H55</f>
        <v>0.84615384615384626</v>
      </c>
      <c r="M19" s="226">
        <f t="shared" si="1"/>
        <v>0</v>
      </c>
      <c r="N19" s="226">
        <f t="shared" si="2"/>
        <v>2.25</v>
      </c>
      <c r="O19" s="226">
        <f t="shared" si="3"/>
        <v>1.8461538461538463</v>
      </c>
      <c r="P19" s="226">
        <f t="shared" si="6"/>
        <v>0</v>
      </c>
      <c r="Q19" s="226">
        <f t="shared" si="7"/>
        <v>4.1538461538461542</v>
      </c>
      <c r="R19" s="226">
        <f t="shared" si="8"/>
        <v>0</v>
      </c>
      <c r="S19" s="226">
        <f t="shared" si="14"/>
        <v>0</v>
      </c>
      <c r="T19" s="226">
        <f t="shared" si="9"/>
        <v>1.25</v>
      </c>
      <c r="U19" s="225">
        <f>SUM(G53:G55)</f>
        <v>2</v>
      </c>
      <c r="V19" s="143" t="s">
        <v>452</v>
      </c>
      <c r="W19" s="227">
        <f>SUM(F53:F55)</f>
        <v>3</v>
      </c>
      <c r="X19" s="229">
        <f t="shared" si="4"/>
        <v>1.375</v>
      </c>
      <c r="Y19" s="226">
        <f>X53</f>
        <v>1.4545454545454546</v>
      </c>
      <c r="Z19" s="226">
        <f>X54</f>
        <v>1.25</v>
      </c>
      <c r="AA19" s="226">
        <f>X55</f>
        <v>0.84615384615384626</v>
      </c>
      <c r="AB19" s="226">
        <f t="shared" si="10"/>
        <v>2.4545454545454546</v>
      </c>
      <c r="AC19" s="236">
        <f t="shared" si="11"/>
        <v>2.25</v>
      </c>
      <c r="AD19" s="226">
        <f t="shared" si="12"/>
        <v>1.8461538461538463</v>
      </c>
      <c r="AE19" s="226">
        <f t="shared" si="15"/>
        <v>5.5227272727272734</v>
      </c>
      <c r="AF19" s="226">
        <f t="shared" si="16"/>
        <v>4.1538461538461542</v>
      </c>
      <c r="AG19" s="226">
        <f t="shared" si="17"/>
        <v>4.5314685314685317</v>
      </c>
      <c r="AH19" s="226">
        <f t="shared" si="18"/>
        <v>10.195804195804197</v>
      </c>
      <c r="AI19" s="226">
        <f t="shared" si="19"/>
        <v>23.954545454545457</v>
      </c>
      <c r="AJ19" s="274" t="str">
        <f t="shared" si="13"/>
        <v>Dave Orrell</v>
      </c>
    </row>
    <row r="20" spans="2:36" x14ac:dyDescent="0.25">
      <c r="B20" s="228" t="str">
        <f>$V8</f>
        <v>Antony Robinson</v>
      </c>
      <c r="C20" s="228" t="str">
        <f>Picks!B20</f>
        <v>Derby draw</v>
      </c>
      <c r="D20" s="229" t="str">
        <f>Picks!C20</f>
        <v>5/2</v>
      </c>
      <c r="E20" s="229">
        <f>Picks!D20</f>
        <v>3.5</v>
      </c>
      <c r="F20" s="230">
        <v>1</v>
      </c>
      <c r="G20" s="228">
        <f>Picks!M20</f>
        <v>0</v>
      </c>
      <c r="H20" s="229">
        <f t="shared" si="0"/>
        <v>0</v>
      </c>
      <c r="I20" s="273" t="str">
        <f t="shared" si="5"/>
        <v>David Dunn</v>
      </c>
      <c r="J20" s="226">
        <f>H56</f>
        <v>0</v>
      </c>
      <c r="K20" s="226">
        <f>H57</f>
        <v>0.33333333333333326</v>
      </c>
      <c r="L20" s="226">
        <f>H58</f>
        <v>1.375</v>
      </c>
      <c r="M20" s="226">
        <f t="shared" si="1"/>
        <v>0</v>
      </c>
      <c r="N20" s="226">
        <f t="shared" si="2"/>
        <v>1.3333333333333333</v>
      </c>
      <c r="O20" s="226">
        <f t="shared" si="3"/>
        <v>2.375</v>
      </c>
      <c r="P20" s="226">
        <f t="shared" si="6"/>
        <v>0</v>
      </c>
      <c r="Q20" s="226">
        <f t="shared" si="7"/>
        <v>3.1666666666666665</v>
      </c>
      <c r="R20" s="226">
        <f t="shared" si="8"/>
        <v>0</v>
      </c>
      <c r="S20" s="226">
        <f t="shared" si="14"/>
        <v>0</v>
      </c>
      <c r="T20" s="226">
        <f t="shared" si="9"/>
        <v>-0.125</v>
      </c>
      <c r="U20" s="225">
        <f>SUM(G56:G58)</f>
        <v>2</v>
      </c>
      <c r="V20" s="139" t="s">
        <v>455</v>
      </c>
      <c r="W20" s="227">
        <f>SUM(F56:F58)</f>
        <v>3</v>
      </c>
      <c r="X20" s="229">
        <f t="shared" si="4"/>
        <v>2.5</v>
      </c>
      <c r="Y20" s="226">
        <f>X56</f>
        <v>1.7999999999999998</v>
      </c>
      <c r="Z20" s="226">
        <f>X57</f>
        <v>0.33333333333333326</v>
      </c>
      <c r="AA20" s="226">
        <f>X58</f>
        <v>1.375</v>
      </c>
      <c r="AB20" s="226">
        <f t="shared" si="10"/>
        <v>2.8</v>
      </c>
      <c r="AC20" s="236">
        <f t="shared" si="11"/>
        <v>1.3333333333333333</v>
      </c>
      <c r="AD20" s="226">
        <f t="shared" si="12"/>
        <v>2.375</v>
      </c>
      <c r="AE20" s="226">
        <f t="shared" si="15"/>
        <v>3.7333333333333329</v>
      </c>
      <c r="AF20" s="226">
        <f t="shared" si="16"/>
        <v>3.1666666666666665</v>
      </c>
      <c r="AG20" s="226">
        <f t="shared" si="17"/>
        <v>6.6499999999999995</v>
      </c>
      <c r="AH20" s="226">
        <f t="shared" si="18"/>
        <v>8.8666666666666654</v>
      </c>
      <c r="AI20" s="226">
        <f t="shared" si="19"/>
        <v>21.924999999999997</v>
      </c>
      <c r="AJ20" s="274" t="str">
        <f t="shared" si="13"/>
        <v>David Dunn</v>
      </c>
    </row>
    <row r="21" spans="2:36" x14ac:dyDescent="0.25">
      <c r="B21" s="228"/>
      <c r="C21" s="228" t="str">
        <f>Picks!B21</f>
        <v>Wigan</v>
      </c>
      <c r="D21" s="229" t="str">
        <f>Picks!C21</f>
        <v>13/10</v>
      </c>
      <c r="E21" s="229">
        <f>Picks!D21</f>
        <v>2.2999999999999998</v>
      </c>
      <c r="F21" s="230">
        <v>1</v>
      </c>
      <c r="G21" s="228">
        <f>Picks!M21</f>
        <v>1</v>
      </c>
      <c r="H21" s="229">
        <f t="shared" si="0"/>
        <v>1.2999999999999998</v>
      </c>
      <c r="I21" s="273" t="str">
        <f t="shared" si="5"/>
        <v>Gareth Fallows</v>
      </c>
      <c r="J21" s="226">
        <f>H59</f>
        <v>1.2000000000000002</v>
      </c>
      <c r="K21" s="226">
        <f>H60</f>
        <v>0</v>
      </c>
      <c r="L21" s="226">
        <f>H61</f>
        <v>0</v>
      </c>
      <c r="M21" s="226">
        <f t="shared" si="1"/>
        <v>2.2000000000000002</v>
      </c>
      <c r="N21" s="226">
        <f t="shared" si="2"/>
        <v>0</v>
      </c>
      <c r="O21" s="226">
        <f t="shared" si="3"/>
        <v>0</v>
      </c>
      <c r="P21" s="226">
        <f t="shared" si="6"/>
        <v>0</v>
      </c>
      <c r="Q21" s="226">
        <f t="shared" si="7"/>
        <v>0</v>
      </c>
      <c r="R21" s="226">
        <f t="shared" si="8"/>
        <v>0</v>
      </c>
      <c r="S21" s="226">
        <f t="shared" si="14"/>
        <v>0</v>
      </c>
      <c r="T21" s="226">
        <f t="shared" si="9"/>
        <v>-4.8</v>
      </c>
      <c r="U21" s="225">
        <f>SUM(G59:G61)</f>
        <v>1</v>
      </c>
      <c r="V21" s="139" t="s">
        <v>540</v>
      </c>
      <c r="W21" s="227">
        <f>SUM(F59:F61)</f>
        <v>3</v>
      </c>
      <c r="X21" s="229">
        <f t="shared" si="4"/>
        <v>1.2999999999999998</v>
      </c>
      <c r="Y21" s="226">
        <f>X59</f>
        <v>1.2000000000000002</v>
      </c>
      <c r="Z21" s="226">
        <f>X60</f>
        <v>1.4545454545454546</v>
      </c>
      <c r="AA21" s="226">
        <f>X61</f>
        <v>1.25</v>
      </c>
      <c r="AB21" s="226">
        <f t="shared" si="10"/>
        <v>2.2000000000000002</v>
      </c>
      <c r="AC21" s="236">
        <f t="shared" si="11"/>
        <v>2.4545454545454546</v>
      </c>
      <c r="AD21" s="226">
        <f t="shared" si="12"/>
        <v>2.25</v>
      </c>
      <c r="AE21" s="226">
        <f t="shared" si="15"/>
        <v>5.4</v>
      </c>
      <c r="AF21" s="226">
        <f t="shared" si="16"/>
        <v>5.5227272727272734</v>
      </c>
      <c r="AG21" s="226">
        <f t="shared" si="17"/>
        <v>4.95</v>
      </c>
      <c r="AH21" s="226">
        <f t="shared" si="18"/>
        <v>12.15</v>
      </c>
      <c r="AI21" s="226">
        <f t="shared" si="19"/>
        <v>27.927272727272729</v>
      </c>
      <c r="AJ21" s="274" t="str">
        <f t="shared" si="13"/>
        <v>Gareth Fallows</v>
      </c>
    </row>
    <row r="22" spans="2:36" ht="13.8" thickBot="1" x14ac:dyDescent="0.3">
      <c r="B22" s="233"/>
      <c r="C22" s="233" t="str">
        <f>Picks!B22</f>
        <v>Norwich</v>
      </c>
      <c r="D22" s="234" t="str">
        <f>Picks!C22</f>
        <v>2/1</v>
      </c>
      <c r="E22" s="234">
        <f>Picks!D22</f>
        <v>3</v>
      </c>
      <c r="F22" s="276">
        <v>1</v>
      </c>
      <c r="G22" s="233">
        <f>Picks!M22</f>
        <v>1</v>
      </c>
      <c r="H22" s="234">
        <f t="shared" si="0"/>
        <v>2</v>
      </c>
      <c r="I22" s="273" t="str">
        <f t="shared" si="5"/>
        <v>Gareth Powell</v>
      </c>
      <c r="J22" s="226">
        <f>H62</f>
        <v>0</v>
      </c>
      <c r="K22" s="226">
        <f>H63</f>
        <v>0.44444444444444442</v>
      </c>
      <c r="L22" s="226">
        <f>H64</f>
        <v>0.5</v>
      </c>
      <c r="M22" s="226">
        <f t="shared" si="1"/>
        <v>0</v>
      </c>
      <c r="N22" s="226">
        <f t="shared" si="2"/>
        <v>1.4444444444444444</v>
      </c>
      <c r="O22" s="226">
        <f t="shared" si="3"/>
        <v>1.5</v>
      </c>
      <c r="P22" s="226">
        <f t="shared" si="6"/>
        <v>0</v>
      </c>
      <c r="Q22" s="226">
        <f t="shared" si="7"/>
        <v>2.1666666666666665</v>
      </c>
      <c r="R22" s="226">
        <f t="shared" si="8"/>
        <v>0</v>
      </c>
      <c r="S22" s="226">
        <f t="shared" si="14"/>
        <v>0</v>
      </c>
      <c r="T22" s="226">
        <f t="shared" si="9"/>
        <v>-1.8888888888888893</v>
      </c>
      <c r="U22" s="225">
        <f>SUM(G62:G64)</f>
        <v>2</v>
      </c>
      <c r="V22" s="139" t="s">
        <v>343</v>
      </c>
      <c r="W22" s="227">
        <f>SUM(F62:F64)</f>
        <v>3</v>
      </c>
      <c r="X22" s="229">
        <f t="shared" si="4"/>
        <v>2</v>
      </c>
      <c r="Y22" s="226">
        <f>X62</f>
        <v>0.30000000000000004</v>
      </c>
      <c r="Z22" s="226">
        <f>X63</f>
        <v>0.44444444444444442</v>
      </c>
      <c r="AA22" s="226">
        <f>X64</f>
        <v>0.5</v>
      </c>
      <c r="AB22" s="226">
        <f t="shared" si="10"/>
        <v>1.3</v>
      </c>
      <c r="AC22" s="236">
        <f t="shared" si="11"/>
        <v>1.4444444444444444</v>
      </c>
      <c r="AD22" s="226">
        <f t="shared" si="12"/>
        <v>1.5</v>
      </c>
      <c r="AE22" s="226">
        <f t="shared" si="15"/>
        <v>1.8777777777777778</v>
      </c>
      <c r="AF22" s="226">
        <f t="shared" si="16"/>
        <v>2.1666666666666665</v>
      </c>
      <c r="AG22" s="226">
        <f t="shared" si="17"/>
        <v>1.9500000000000002</v>
      </c>
      <c r="AH22" s="226">
        <f t="shared" si="18"/>
        <v>2.8166666666666664</v>
      </c>
      <c r="AI22" s="226">
        <f t="shared" si="19"/>
        <v>6.0555555555555536</v>
      </c>
      <c r="AJ22" s="274" t="str">
        <f t="shared" si="13"/>
        <v>Gareth Powell</v>
      </c>
    </row>
    <row r="23" spans="2:36" x14ac:dyDescent="0.25">
      <c r="B23" s="228" t="str">
        <f>$V9</f>
        <v>Ashley Houghton</v>
      </c>
      <c r="C23" s="228" t="str">
        <f>Picks!B23</f>
        <v>Charlton</v>
      </c>
      <c r="D23" s="229" t="str">
        <f>Picks!C23</f>
        <v>3/4</v>
      </c>
      <c r="E23" s="229">
        <f>Picks!D23</f>
        <v>1.75</v>
      </c>
      <c r="F23" s="230">
        <v>1</v>
      </c>
      <c r="G23" s="228">
        <f>Picks!M23</f>
        <v>1</v>
      </c>
      <c r="H23" s="229">
        <f t="shared" si="0"/>
        <v>0.75</v>
      </c>
      <c r="I23" s="273" t="str">
        <f t="shared" si="5"/>
        <v>Gerard Ventom</v>
      </c>
      <c r="J23" s="226">
        <f>H65</f>
        <v>0</v>
      </c>
      <c r="K23" s="226">
        <f>H66</f>
        <v>0</v>
      </c>
      <c r="L23" s="226">
        <f>H67</f>
        <v>0</v>
      </c>
      <c r="M23" s="226">
        <f t="shared" si="1"/>
        <v>0</v>
      </c>
      <c r="N23" s="226">
        <f t="shared" si="2"/>
        <v>0</v>
      </c>
      <c r="O23" s="226">
        <f t="shared" si="3"/>
        <v>0</v>
      </c>
      <c r="P23" s="226">
        <f t="shared" si="6"/>
        <v>0</v>
      </c>
      <c r="Q23" s="226">
        <f t="shared" si="7"/>
        <v>0</v>
      </c>
      <c r="R23" s="226">
        <f t="shared" si="8"/>
        <v>0</v>
      </c>
      <c r="S23" s="226">
        <f t="shared" si="14"/>
        <v>0</v>
      </c>
      <c r="T23" s="226">
        <f t="shared" si="9"/>
        <v>-7</v>
      </c>
      <c r="U23" s="225">
        <f>SUM(G65:G67)</f>
        <v>0</v>
      </c>
      <c r="V23" s="139" t="s">
        <v>458</v>
      </c>
      <c r="W23" s="227">
        <f>SUM(F65:F67)</f>
        <v>3</v>
      </c>
      <c r="X23" s="229">
        <f t="shared" si="4"/>
        <v>0.75</v>
      </c>
      <c r="Y23" s="226">
        <f>X65</f>
        <v>1.25</v>
      </c>
      <c r="Z23" s="226">
        <f>X66</f>
        <v>1.2000000000000002</v>
      </c>
      <c r="AA23" s="226">
        <f>X67</f>
        <v>1.25</v>
      </c>
      <c r="AB23" s="226">
        <f t="shared" si="10"/>
        <v>2.25</v>
      </c>
      <c r="AC23" s="236">
        <f t="shared" si="11"/>
        <v>2.2000000000000002</v>
      </c>
      <c r="AD23" s="226">
        <f t="shared" si="12"/>
        <v>2.25</v>
      </c>
      <c r="AE23" s="226">
        <f t="shared" si="15"/>
        <v>4.95</v>
      </c>
      <c r="AF23" s="226">
        <f t="shared" si="16"/>
        <v>4.95</v>
      </c>
      <c r="AG23" s="226">
        <f t="shared" si="17"/>
        <v>5.0625</v>
      </c>
      <c r="AH23" s="226">
        <f t="shared" si="18"/>
        <v>11.137499999999999</v>
      </c>
      <c r="AI23" s="226">
        <f t="shared" si="19"/>
        <v>25.799999999999997</v>
      </c>
      <c r="AJ23" s="274" t="str">
        <f t="shared" si="13"/>
        <v>Gerard Ventom</v>
      </c>
    </row>
    <row r="24" spans="2:36" x14ac:dyDescent="0.25">
      <c r="B24" s="231"/>
      <c r="C24" s="231" t="str">
        <f>Picks!B24</f>
        <v>Blackpool</v>
      </c>
      <c r="D24" s="232" t="str">
        <f>Picks!C24</f>
        <v>5/4</v>
      </c>
      <c r="E24" s="229">
        <f>Picks!D24</f>
        <v>2.25</v>
      </c>
      <c r="F24" s="230">
        <v>1</v>
      </c>
      <c r="G24" s="228">
        <f>Picks!M24</f>
        <v>0</v>
      </c>
      <c r="H24" s="229">
        <f t="shared" si="0"/>
        <v>0</v>
      </c>
      <c r="I24" s="273" t="str">
        <f t="shared" si="5"/>
        <v>Graeme Holmes</v>
      </c>
      <c r="J24" s="226">
        <f>H68</f>
        <v>0</v>
      </c>
      <c r="K24" s="226">
        <f>H69</f>
        <v>0.75</v>
      </c>
      <c r="L24" s="226">
        <f>H70</f>
        <v>1.1499999999999999</v>
      </c>
      <c r="M24" s="226">
        <f t="shared" si="1"/>
        <v>0</v>
      </c>
      <c r="N24" s="226">
        <f t="shared" si="2"/>
        <v>1.75</v>
      </c>
      <c r="O24" s="226">
        <f t="shared" si="3"/>
        <v>2.15</v>
      </c>
      <c r="P24" s="226">
        <f t="shared" si="6"/>
        <v>0</v>
      </c>
      <c r="Q24" s="226">
        <f t="shared" si="7"/>
        <v>3.7624999999999997</v>
      </c>
      <c r="R24" s="226">
        <f t="shared" si="8"/>
        <v>0</v>
      </c>
      <c r="S24" s="226">
        <f t="shared" si="14"/>
        <v>0</v>
      </c>
      <c r="T24" s="226">
        <f t="shared" si="9"/>
        <v>0.66249999999999964</v>
      </c>
      <c r="U24" s="225">
        <f>SUM(G68:G70)</f>
        <v>2</v>
      </c>
      <c r="V24" s="140" t="s">
        <v>453</v>
      </c>
      <c r="W24" s="227">
        <f>SUM(F68:F70)</f>
        <v>3</v>
      </c>
      <c r="X24" s="229">
        <f t="shared" si="4"/>
        <v>1.25</v>
      </c>
      <c r="Y24" s="226">
        <f>X68</f>
        <v>9</v>
      </c>
      <c r="Z24" s="226">
        <f>X69</f>
        <v>0.75</v>
      </c>
      <c r="AA24" s="226">
        <f>X70</f>
        <v>1.1499999999999999</v>
      </c>
      <c r="AB24" s="226">
        <f t="shared" si="10"/>
        <v>10</v>
      </c>
      <c r="AC24" s="236">
        <f t="shared" si="11"/>
        <v>1.75</v>
      </c>
      <c r="AD24" s="226">
        <f t="shared" si="12"/>
        <v>2.15</v>
      </c>
      <c r="AE24" s="226">
        <f t="shared" si="15"/>
        <v>17.5</v>
      </c>
      <c r="AF24" s="226">
        <f t="shared" si="16"/>
        <v>3.7624999999999997</v>
      </c>
      <c r="AG24" s="226">
        <f t="shared" si="17"/>
        <v>21.499999999999996</v>
      </c>
      <c r="AH24" s="226">
        <f t="shared" si="18"/>
        <v>37.625</v>
      </c>
      <c r="AI24" s="226">
        <f t="shared" si="19"/>
        <v>87.287499999999994</v>
      </c>
      <c r="AJ24" s="274" t="str">
        <f t="shared" si="13"/>
        <v>Graeme Holmes</v>
      </c>
    </row>
    <row r="25" spans="2:36" ht="13.8" thickBot="1" x14ac:dyDescent="0.3">
      <c r="B25" s="233"/>
      <c r="C25" s="233" t="str">
        <f>Picks!B25</f>
        <v>Chelsea</v>
      </c>
      <c r="D25" s="234" t="str">
        <f>Picks!C25</f>
        <v>4/9</v>
      </c>
      <c r="E25" s="234">
        <f>Picks!D25</f>
        <v>1.4444444444444444</v>
      </c>
      <c r="F25" s="276">
        <v>1</v>
      </c>
      <c r="G25" s="233">
        <f>Picks!M25</f>
        <v>1</v>
      </c>
      <c r="H25" s="234">
        <f t="shared" si="0"/>
        <v>0.44444444444444442</v>
      </c>
      <c r="I25" s="273" t="str">
        <f t="shared" si="5"/>
        <v>Graham Miller</v>
      </c>
      <c r="J25" s="226">
        <f>H71</f>
        <v>3.4000000000000004</v>
      </c>
      <c r="K25" s="226">
        <f>H72</f>
        <v>0</v>
      </c>
      <c r="L25" s="226">
        <f>H73</f>
        <v>0</v>
      </c>
      <c r="M25" s="226">
        <f t="shared" si="1"/>
        <v>4.4000000000000004</v>
      </c>
      <c r="N25" s="226">
        <f t="shared" si="2"/>
        <v>0</v>
      </c>
      <c r="O25" s="226">
        <f t="shared" si="3"/>
        <v>0</v>
      </c>
      <c r="P25" s="226">
        <f t="shared" si="6"/>
        <v>0</v>
      </c>
      <c r="Q25" s="226">
        <f t="shared" si="7"/>
        <v>0</v>
      </c>
      <c r="R25" s="226">
        <f t="shared" si="8"/>
        <v>0</v>
      </c>
      <c r="S25" s="226">
        <f t="shared" si="14"/>
        <v>0</v>
      </c>
      <c r="T25" s="226">
        <f t="shared" si="9"/>
        <v>-2.5999999999999996</v>
      </c>
      <c r="U25" s="225">
        <f>SUM(G71:G73)</f>
        <v>1</v>
      </c>
      <c r="V25" s="139" t="s">
        <v>327</v>
      </c>
      <c r="W25" s="227">
        <f>SUM(F71:F73)</f>
        <v>3</v>
      </c>
      <c r="X25" s="229">
        <f t="shared" si="4"/>
        <v>0.44444444444444442</v>
      </c>
      <c r="Y25" s="226">
        <f>X71</f>
        <v>3.4000000000000004</v>
      </c>
      <c r="Z25" s="226">
        <f>X72</f>
        <v>4</v>
      </c>
      <c r="AA25" s="226">
        <f>X73</f>
        <v>1.9</v>
      </c>
      <c r="AB25" s="226">
        <f t="shared" si="10"/>
        <v>4.4000000000000004</v>
      </c>
      <c r="AC25" s="236">
        <f t="shared" si="11"/>
        <v>5</v>
      </c>
      <c r="AD25" s="226">
        <f t="shared" si="12"/>
        <v>2.9</v>
      </c>
      <c r="AE25" s="226">
        <f t="shared" si="15"/>
        <v>22</v>
      </c>
      <c r="AF25" s="226">
        <f t="shared" si="16"/>
        <v>14.5</v>
      </c>
      <c r="AG25" s="226">
        <f t="shared" si="17"/>
        <v>12.760000000000002</v>
      </c>
      <c r="AH25" s="226">
        <f t="shared" si="18"/>
        <v>63.8</v>
      </c>
      <c r="AI25" s="226">
        <f t="shared" si="19"/>
        <v>118.36</v>
      </c>
      <c r="AJ25" s="274" t="str">
        <f t="shared" si="13"/>
        <v>Graham Miller</v>
      </c>
    </row>
    <row r="26" spans="2:36" x14ac:dyDescent="0.25">
      <c r="B26" s="228" t="str">
        <f>$V10</f>
        <v>Barry Birchall</v>
      </c>
      <c r="C26" s="228" t="str">
        <f>Picks!B26</f>
        <v>Bournemouth draw</v>
      </c>
      <c r="D26" s="229" t="str">
        <f>Picks!C26</f>
        <v>3/1</v>
      </c>
      <c r="E26" s="229">
        <f>Picks!D26</f>
        <v>4</v>
      </c>
      <c r="F26" s="230">
        <v>1</v>
      </c>
      <c r="G26" s="228">
        <f>Picks!M26</f>
        <v>0</v>
      </c>
      <c r="H26" s="229">
        <f t="shared" si="0"/>
        <v>0</v>
      </c>
      <c r="I26" s="273" t="str">
        <f t="shared" si="5"/>
        <v>Howard Bradley</v>
      </c>
      <c r="J26" s="226">
        <f>H74</f>
        <v>0</v>
      </c>
      <c r="K26" s="226">
        <f>H75</f>
        <v>0</v>
      </c>
      <c r="L26" s="226">
        <f>H76</f>
        <v>0</v>
      </c>
      <c r="M26" s="226">
        <f t="shared" si="1"/>
        <v>0</v>
      </c>
      <c r="N26" s="226">
        <f t="shared" si="2"/>
        <v>0</v>
      </c>
      <c r="O26" s="226">
        <f t="shared" si="3"/>
        <v>0</v>
      </c>
      <c r="P26" s="226">
        <f t="shared" si="6"/>
        <v>0</v>
      </c>
      <c r="Q26" s="226">
        <f t="shared" si="7"/>
        <v>0</v>
      </c>
      <c r="R26" s="226">
        <f t="shared" si="8"/>
        <v>0</v>
      </c>
      <c r="S26" s="226">
        <f t="shared" si="14"/>
        <v>0</v>
      </c>
      <c r="T26" s="226">
        <f t="shared" si="9"/>
        <v>-7</v>
      </c>
      <c r="U26" s="225">
        <f>SUM(G74:G76)</f>
        <v>0</v>
      </c>
      <c r="V26" s="139" t="s">
        <v>349</v>
      </c>
      <c r="W26" s="227">
        <f>SUM(F74:F76)</f>
        <v>3</v>
      </c>
      <c r="X26" s="229">
        <f t="shared" si="4"/>
        <v>3</v>
      </c>
      <c r="Y26" s="226">
        <f>X74</f>
        <v>0.84615384615384626</v>
      </c>
      <c r="Z26" s="226">
        <f>X75</f>
        <v>2.8</v>
      </c>
      <c r="AA26" s="226">
        <f>X76</f>
        <v>2.6</v>
      </c>
      <c r="AB26" s="226">
        <f t="shared" si="10"/>
        <v>1.8461538461538463</v>
      </c>
      <c r="AC26" s="236">
        <f t="shared" si="11"/>
        <v>3.8</v>
      </c>
      <c r="AD26" s="226">
        <f t="shared" si="12"/>
        <v>3.6</v>
      </c>
      <c r="AE26" s="226">
        <f t="shared" si="15"/>
        <v>7.0153846153846153</v>
      </c>
      <c r="AF26" s="226">
        <f t="shared" si="16"/>
        <v>13.68</v>
      </c>
      <c r="AG26" s="226">
        <f t="shared" si="17"/>
        <v>6.6461538461538465</v>
      </c>
      <c r="AH26" s="226">
        <f t="shared" si="18"/>
        <v>25.255384615384617</v>
      </c>
      <c r="AI26" s="226">
        <f t="shared" si="19"/>
        <v>54.843076923076922</v>
      </c>
      <c r="AJ26" s="274" t="str">
        <f t="shared" si="13"/>
        <v>Howard Bradley</v>
      </c>
    </row>
    <row r="27" spans="2:36" x14ac:dyDescent="0.25">
      <c r="B27" s="228"/>
      <c r="C27" s="228" t="str">
        <f>Picks!B27</f>
        <v>Barnsley</v>
      </c>
      <c r="D27" s="229" t="str">
        <f>Picks!C27</f>
        <v>4/7</v>
      </c>
      <c r="E27" s="229">
        <f>Picks!D27</f>
        <v>1.5714285714285714</v>
      </c>
      <c r="F27" s="230">
        <v>1</v>
      </c>
      <c r="G27" s="228">
        <f>Picks!M27</f>
        <v>0</v>
      </c>
      <c r="H27" s="229">
        <f t="shared" si="0"/>
        <v>0</v>
      </c>
      <c r="I27" s="273" t="str">
        <f t="shared" si="5"/>
        <v>Ian Davies</v>
      </c>
      <c r="J27" s="226">
        <f>H77</f>
        <v>0</v>
      </c>
      <c r="K27" s="226">
        <f>H78</f>
        <v>0</v>
      </c>
      <c r="L27" s="226">
        <f>H79</f>
        <v>0</v>
      </c>
      <c r="M27" s="226">
        <f t="shared" si="1"/>
        <v>0</v>
      </c>
      <c r="N27" s="226">
        <f t="shared" si="2"/>
        <v>0</v>
      </c>
      <c r="O27" s="226">
        <f t="shared" si="3"/>
        <v>0</v>
      </c>
      <c r="P27" s="226">
        <f t="shared" si="6"/>
        <v>0</v>
      </c>
      <c r="Q27" s="226">
        <f t="shared" si="7"/>
        <v>0</v>
      </c>
      <c r="R27" s="226">
        <f t="shared" si="8"/>
        <v>0</v>
      </c>
      <c r="S27" s="226">
        <f t="shared" si="14"/>
        <v>0</v>
      </c>
      <c r="T27" s="226">
        <f t="shared" si="9"/>
        <v>-7</v>
      </c>
      <c r="U27" s="225">
        <f>SUM(G77:G79)</f>
        <v>0</v>
      </c>
      <c r="V27" s="139" t="s">
        <v>464</v>
      </c>
      <c r="W27" s="227">
        <f>SUM(F77:F79)</f>
        <v>3</v>
      </c>
      <c r="X27" s="229">
        <f t="shared" si="4"/>
        <v>0.5714285714285714</v>
      </c>
      <c r="Y27" s="226">
        <f>X77</f>
        <v>2.7</v>
      </c>
      <c r="Z27" s="226">
        <f>X78</f>
        <v>2.4</v>
      </c>
      <c r="AA27" s="226">
        <f>X79</f>
        <v>2.2999999999999998</v>
      </c>
      <c r="AB27" s="226">
        <f t="shared" si="10"/>
        <v>3.7</v>
      </c>
      <c r="AC27" s="236">
        <f t="shared" si="11"/>
        <v>3.4</v>
      </c>
      <c r="AD27" s="226">
        <f t="shared" si="12"/>
        <v>3.3</v>
      </c>
      <c r="AE27" s="226">
        <f t="shared" si="15"/>
        <v>12.580000000000002</v>
      </c>
      <c r="AF27" s="226">
        <f t="shared" si="16"/>
        <v>11.219999999999999</v>
      </c>
      <c r="AG27" s="226">
        <f t="shared" si="17"/>
        <v>12.21</v>
      </c>
      <c r="AH27" s="226">
        <f t="shared" si="18"/>
        <v>41.514000000000003</v>
      </c>
      <c r="AI27" s="226">
        <f t="shared" si="19"/>
        <v>80.924000000000007</v>
      </c>
      <c r="AJ27" s="274" t="str">
        <f t="shared" si="13"/>
        <v>Ian Davies</v>
      </c>
    </row>
    <row r="28" spans="2:36" ht="13.8" thickBot="1" x14ac:dyDescent="0.3">
      <c r="B28" s="233"/>
      <c r="C28" s="233" t="str">
        <f>Picks!B28</f>
        <v>Macclesfield</v>
      </c>
      <c r="D28" s="234" t="str">
        <f>Picks!C28</f>
        <v>16/11</v>
      </c>
      <c r="E28" s="234">
        <f>Picks!D28</f>
        <v>2.4545454545454546</v>
      </c>
      <c r="F28" s="276">
        <v>1</v>
      </c>
      <c r="G28" s="233">
        <f>Picks!M28</f>
        <v>0</v>
      </c>
      <c r="H28" s="234">
        <f t="shared" si="0"/>
        <v>0</v>
      </c>
      <c r="I28" s="273" t="str">
        <f t="shared" si="5"/>
        <v>Jack Walsh</v>
      </c>
      <c r="J28" s="226">
        <f>H80</f>
        <v>3.4000000000000004</v>
      </c>
      <c r="K28" s="226">
        <f>H81</f>
        <v>0</v>
      </c>
      <c r="L28" s="226">
        <f>H82</f>
        <v>3.8</v>
      </c>
      <c r="M28" s="226">
        <f t="shared" si="1"/>
        <v>4.4000000000000004</v>
      </c>
      <c r="N28" s="226">
        <f t="shared" si="2"/>
        <v>0</v>
      </c>
      <c r="O28" s="226">
        <f t="shared" si="3"/>
        <v>4.8</v>
      </c>
      <c r="P28" s="226">
        <f t="shared" si="6"/>
        <v>0</v>
      </c>
      <c r="Q28" s="226">
        <f t="shared" si="7"/>
        <v>0</v>
      </c>
      <c r="R28" s="226">
        <f t="shared" si="8"/>
        <v>21.12</v>
      </c>
      <c r="S28" s="226">
        <f t="shared" si="14"/>
        <v>0</v>
      </c>
      <c r="T28" s="226">
        <f t="shared" si="9"/>
        <v>23.32</v>
      </c>
      <c r="U28" s="225">
        <f>SUM(G80:G82)</f>
        <v>2</v>
      </c>
      <c r="V28" s="139" t="s">
        <v>359</v>
      </c>
      <c r="W28" s="227">
        <f>SUM(F80:F82)</f>
        <v>3</v>
      </c>
      <c r="X28" s="229">
        <f t="shared" si="4"/>
        <v>1.4545454545454546</v>
      </c>
      <c r="Y28" s="226">
        <f>X80</f>
        <v>3.4000000000000004</v>
      </c>
      <c r="Z28" s="226">
        <f>X81</f>
        <v>9</v>
      </c>
      <c r="AA28" s="226">
        <f>X82</f>
        <v>3.8</v>
      </c>
      <c r="AB28" s="226">
        <f t="shared" si="10"/>
        <v>4.4000000000000004</v>
      </c>
      <c r="AC28" s="236">
        <f t="shared" si="11"/>
        <v>10</v>
      </c>
      <c r="AD28" s="226">
        <f t="shared" si="12"/>
        <v>4.8</v>
      </c>
      <c r="AE28" s="226">
        <f t="shared" si="15"/>
        <v>44</v>
      </c>
      <c r="AF28" s="226">
        <f t="shared" si="16"/>
        <v>48</v>
      </c>
      <c r="AG28" s="226">
        <f t="shared" si="17"/>
        <v>21.12</v>
      </c>
      <c r="AH28" s="226">
        <f t="shared" si="18"/>
        <v>211.2</v>
      </c>
      <c r="AI28" s="226">
        <f t="shared" si="19"/>
        <v>336.52</v>
      </c>
      <c r="AJ28" s="274" t="str">
        <f t="shared" si="13"/>
        <v>Jack Walsh</v>
      </c>
    </row>
    <row r="29" spans="2:36" x14ac:dyDescent="0.25">
      <c r="B29" s="228" t="str">
        <f>$V11</f>
        <v>Ben Rosser</v>
      </c>
      <c r="C29" s="228" t="str">
        <f>Picks!B29</f>
        <v>Cardiff</v>
      </c>
      <c r="D29" s="229" t="str">
        <f>Picks!C29</f>
        <v>9/5</v>
      </c>
      <c r="E29" s="229">
        <f>Picks!D29</f>
        <v>2.8</v>
      </c>
      <c r="F29" s="230">
        <v>1</v>
      </c>
      <c r="G29" s="228">
        <f>Picks!M29</f>
        <v>0</v>
      </c>
      <c r="H29" s="229">
        <f t="shared" si="0"/>
        <v>0</v>
      </c>
      <c r="I29" s="273" t="str">
        <f t="shared" si="5"/>
        <v>James Bell</v>
      </c>
      <c r="J29" s="226">
        <f>H83</f>
        <v>0</v>
      </c>
      <c r="K29" s="226">
        <f>H84</f>
        <v>0</v>
      </c>
      <c r="L29" s="226">
        <f>H85</f>
        <v>0</v>
      </c>
      <c r="M29" s="226">
        <f t="shared" si="1"/>
        <v>0</v>
      </c>
      <c r="N29" s="226">
        <f t="shared" si="2"/>
        <v>0</v>
      </c>
      <c r="O29" s="226">
        <f t="shared" si="3"/>
        <v>0</v>
      </c>
      <c r="P29" s="226">
        <f t="shared" si="6"/>
        <v>0</v>
      </c>
      <c r="Q29" s="226">
        <f t="shared" si="7"/>
        <v>0</v>
      </c>
      <c r="R29" s="226">
        <f t="shared" si="8"/>
        <v>0</v>
      </c>
      <c r="S29" s="226">
        <f t="shared" si="14"/>
        <v>0</v>
      </c>
      <c r="T29" s="226">
        <f t="shared" si="9"/>
        <v>-7</v>
      </c>
      <c r="U29" s="225">
        <f>SUM(G83:G85)</f>
        <v>0</v>
      </c>
      <c r="V29" s="139" t="s">
        <v>392</v>
      </c>
      <c r="W29" s="227">
        <f>SUM(F83:F85)</f>
        <v>3</v>
      </c>
      <c r="X29" s="229">
        <f t="shared" si="4"/>
        <v>1.7999999999999998</v>
      </c>
      <c r="Y29" s="226">
        <f>X83</f>
        <v>2.8461538461538463</v>
      </c>
      <c r="Z29" s="226">
        <f>X84</f>
        <v>4.25</v>
      </c>
      <c r="AA29" s="226">
        <f>X85</f>
        <v>4.8</v>
      </c>
      <c r="AB29" s="226">
        <f t="shared" si="10"/>
        <v>3.8461538461538463</v>
      </c>
      <c r="AC29" s="236">
        <f t="shared" si="11"/>
        <v>5.25</v>
      </c>
      <c r="AD29" s="226">
        <f t="shared" si="12"/>
        <v>5.8</v>
      </c>
      <c r="AE29" s="226">
        <f t="shared" si="15"/>
        <v>20.192307692307693</v>
      </c>
      <c r="AF29" s="226">
        <f t="shared" si="16"/>
        <v>30.45</v>
      </c>
      <c r="AG29" s="226">
        <f t="shared" si="17"/>
        <v>22.30769230769231</v>
      </c>
      <c r="AH29" s="226">
        <f t="shared" si="18"/>
        <v>117.11538461538461</v>
      </c>
      <c r="AI29" s="226">
        <f t="shared" si="19"/>
        <v>197.96153846153845</v>
      </c>
      <c r="AJ29" s="274" t="str">
        <f t="shared" si="13"/>
        <v>James Bell</v>
      </c>
    </row>
    <row r="30" spans="2:36" x14ac:dyDescent="0.25">
      <c r="B30" s="231"/>
      <c r="C30" s="231" t="str">
        <f>Picks!B30</f>
        <v>Chelsea draw</v>
      </c>
      <c r="D30" s="232" t="str">
        <f>Picks!C30</f>
        <v>17/4</v>
      </c>
      <c r="E30" s="229">
        <f>Picks!D30</f>
        <v>5.25</v>
      </c>
      <c r="F30" s="230">
        <v>1</v>
      </c>
      <c r="G30" s="228">
        <f>Picks!M30</f>
        <v>0</v>
      </c>
      <c r="H30" s="229">
        <f t="shared" si="0"/>
        <v>0</v>
      </c>
      <c r="I30" s="273" t="str">
        <f t="shared" si="5"/>
        <v>John Brown</v>
      </c>
      <c r="J30" s="226">
        <f>H86</f>
        <v>1.25</v>
      </c>
      <c r="K30" s="226">
        <f>H87</f>
        <v>1.2000000000000002</v>
      </c>
      <c r="L30" s="226">
        <f>H88</f>
        <v>0</v>
      </c>
      <c r="M30" s="226">
        <f t="shared" si="1"/>
        <v>2.25</v>
      </c>
      <c r="N30" s="226">
        <f t="shared" si="2"/>
        <v>2.2000000000000002</v>
      </c>
      <c r="O30" s="226">
        <f t="shared" si="3"/>
        <v>0</v>
      </c>
      <c r="P30" s="226">
        <f t="shared" si="6"/>
        <v>4.95</v>
      </c>
      <c r="Q30" s="226">
        <f t="shared" si="7"/>
        <v>0</v>
      </c>
      <c r="R30" s="226">
        <f t="shared" si="8"/>
        <v>0</v>
      </c>
      <c r="S30" s="226">
        <f t="shared" si="14"/>
        <v>0</v>
      </c>
      <c r="T30" s="226">
        <f t="shared" si="9"/>
        <v>2.4000000000000004</v>
      </c>
      <c r="U30" s="225">
        <f>SUM(G86:G88)</f>
        <v>2</v>
      </c>
      <c r="V30" s="143" t="s">
        <v>323</v>
      </c>
      <c r="W30" s="227">
        <f>SUM(F86:F88)</f>
        <v>3</v>
      </c>
      <c r="X30" s="229">
        <f t="shared" si="4"/>
        <v>4.25</v>
      </c>
      <c r="Y30" s="226">
        <f>X86</f>
        <v>1.25</v>
      </c>
      <c r="Z30" s="226">
        <f>X87</f>
        <v>1.2000000000000002</v>
      </c>
      <c r="AA30" s="226">
        <f>X88</f>
        <v>1.9</v>
      </c>
      <c r="AB30" s="226">
        <f t="shared" si="10"/>
        <v>2.25</v>
      </c>
      <c r="AC30" s="236">
        <f t="shared" si="11"/>
        <v>2.2000000000000002</v>
      </c>
      <c r="AD30" s="226">
        <f t="shared" si="12"/>
        <v>2.9</v>
      </c>
      <c r="AE30" s="226">
        <f t="shared" si="15"/>
        <v>4.95</v>
      </c>
      <c r="AF30" s="226">
        <f t="shared" si="16"/>
        <v>6.38</v>
      </c>
      <c r="AG30" s="226">
        <f t="shared" si="17"/>
        <v>6.5250000000000004</v>
      </c>
      <c r="AH30" s="226">
        <f t="shared" si="18"/>
        <v>14.355</v>
      </c>
      <c r="AI30" s="226">
        <f t="shared" si="19"/>
        <v>32.56</v>
      </c>
      <c r="AJ30" s="274" t="str">
        <f t="shared" si="13"/>
        <v>John Brown</v>
      </c>
    </row>
    <row r="31" spans="2:36" ht="13.8" thickBot="1" x14ac:dyDescent="0.3">
      <c r="B31" s="233"/>
      <c r="C31" s="233" t="str">
        <f>Picks!B31</f>
        <v>Notts Co</v>
      </c>
      <c r="D31" s="234" t="str">
        <f>Picks!C31</f>
        <v>9/5</v>
      </c>
      <c r="E31" s="234">
        <f>Picks!D31</f>
        <v>2.8</v>
      </c>
      <c r="F31" s="276">
        <v>1</v>
      </c>
      <c r="G31" s="233">
        <f>Picks!M31</f>
        <v>0</v>
      </c>
      <c r="H31" s="234">
        <f t="shared" si="0"/>
        <v>0</v>
      </c>
      <c r="I31" s="273" t="str">
        <f t="shared" si="5"/>
        <v>John Evans</v>
      </c>
      <c r="J31" s="226">
        <f>H89</f>
        <v>1.375</v>
      </c>
      <c r="K31" s="226">
        <f>H90</f>
        <v>1.0499999999999998</v>
      </c>
      <c r="L31" s="226">
        <f>H91</f>
        <v>1.2999999999999998</v>
      </c>
      <c r="M31" s="226">
        <f t="shared" si="1"/>
        <v>2.375</v>
      </c>
      <c r="N31" s="226">
        <f t="shared" si="2"/>
        <v>2.0499999999999998</v>
      </c>
      <c r="O31" s="226">
        <f t="shared" si="3"/>
        <v>2.2999999999999998</v>
      </c>
      <c r="P31" s="226">
        <f t="shared" si="6"/>
        <v>4.8687499999999995</v>
      </c>
      <c r="Q31" s="226">
        <f t="shared" si="7"/>
        <v>4.7149999999999999</v>
      </c>
      <c r="R31" s="226">
        <f t="shared" si="8"/>
        <v>5.4624999999999995</v>
      </c>
      <c r="S31" s="226">
        <f t="shared" si="14"/>
        <v>11.198124999999997</v>
      </c>
      <c r="T31" s="226">
        <f t="shared" si="9"/>
        <v>25.969374999999999</v>
      </c>
      <c r="U31" s="225">
        <f>SUM(G89:G91)</f>
        <v>3</v>
      </c>
      <c r="V31" s="139" t="s">
        <v>339</v>
      </c>
      <c r="W31" s="227">
        <f>SUM(F89:F91)</f>
        <v>3</v>
      </c>
      <c r="X31" s="229">
        <f t="shared" si="4"/>
        <v>1.7999999999999998</v>
      </c>
      <c r="Y31" s="226">
        <f>X89</f>
        <v>1.375</v>
      </c>
      <c r="Z31" s="226">
        <f>X90</f>
        <v>1.0499999999999998</v>
      </c>
      <c r="AA31" s="226">
        <f>X91</f>
        <v>1.2999999999999998</v>
      </c>
      <c r="AB31" s="226">
        <f t="shared" si="10"/>
        <v>2.375</v>
      </c>
      <c r="AC31" s="236">
        <f t="shared" si="11"/>
        <v>2.0499999999999998</v>
      </c>
      <c r="AD31" s="226">
        <f t="shared" si="12"/>
        <v>2.2999999999999998</v>
      </c>
      <c r="AE31" s="226">
        <f t="shared" si="15"/>
        <v>4.8687499999999995</v>
      </c>
      <c r="AF31" s="226">
        <f t="shared" si="16"/>
        <v>4.7149999999999999</v>
      </c>
      <c r="AG31" s="226">
        <f t="shared" si="17"/>
        <v>5.4624999999999995</v>
      </c>
      <c r="AH31" s="226">
        <f t="shared" si="18"/>
        <v>11.198124999999997</v>
      </c>
      <c r="AI31" s="226">
        <f t="shared" si="19"/>
        <v>25.969374999999999</v>
      </c>
      <c r="AJ31" s="274" t="str">
        <f t="shared" si="13"/>
        <v>John Evans</v>
      </c>
    </row>
    <row r="32" spans="2:36" x14ac:dyDescent="0.25">
      <c r="B32" s="231" t="str">
        <f>$V12</f>
        <v>Charlie Griffiths</v>
      </c>
      <c r="C32" s="231" t="str">
        <f>Picks!B32</f>
        <v>Sunderland</v>
      </c>
      <c r="D32" s="232" t="str">
        <f>Picks!C32</f>
        <v>6/5</v>
      </c>
      <c r="E32" s="229">
        <f>Picks!D32</f>
        <v>2.2000000000000002</v>
      </c>
      <c r="F32" s="230">
        <v>1</v>
      </c>
      <c r="G32" s="228">
        <f>Picks!M32</f>
        <v>0</v>
      </c>
      <c r="H32" s="229">
        <f t="shared" si="0"/>
        <v>0</v>
      </c>
      <c r="I32" s="273" t="str">
        <f t="shared" si="5"/>
        <v>John Robinson</v>
      </c>
      <c r="J32" s="226" t="e">
        <f>H92</f>
        <v>#VALUE!</v>
      </c>
      <c r="K32" s="226" t="e">
        <f>H93</f>
        <v>#VALUE!</v>
      </c>
      <c r="L32" s="226" t="e">
        <f>H94</f>
        <v>#VALUE!</v>
      </c>
      <c r="M32" s="226" t="e">
        <f t="shared" ref="M32:M66" si="20">IF(J32=0,0,1)+J32</f>
        <v>#VALUE!</v>
      </c>
      <c r="N32" s="226" t="e">
        <f t="shared" ref="N32:O66" si="21">IF(K32=0,0,1)+K32</f>
        <v>#VALUE!</v>
      </c>
      <c r="O32" s="226" t="e">
        <f t="shared" si="3"/>
        <v>#VALUE!</v>
      </c>
      <c r="P32" s="226" t="e">
        <f t="shared" si="6"/>
        <v>#VALUE!</v>
      </c>
      <c r="Q32" s="226" t="e">
        <f t="shared" si="7"/>
        <v>#VALUE!</v>
      </c>
      <c r="R32" s="226" t="e">
        <f t="shared" si="8"/>
        <v>#VALUE!</v>
      </c>
      <c r="S32" s="226" t="e">
        <f t="shared" si="14"/>
        <v>#VALUE!</v>
      </c>
      <c r="T32" s="226" t="e">
        <f t="shared" si="9"/>
        <v>#VALUE!</v>
      </c>
      <c r="U32" s="225" t="e">
        <f>SUM(G92:G94)</f>
        <v>#N/A</v>
      </c>
      <c r="V32" s="139" t="s">
        <v>329</v>
      </c>
      <c r="W32" s="227">
        <f>SUM(F92:F94)</f>
        <v>3</v>
      </c>
      <c r="X32" s="229">
        <f t="shared" si="4"/>
        <v>1.2000000000000002</v>
      </c>
      <c r="Y32" s="226" t="e">
        <f>X92</f>
        <v>#VALUE!</v>
      </c>
      <c r="Z32" s="226" t="e">
        <f>X93</f>
        <v>#VALUE!</v>
      </c>
      <c r="AA32" s="226" t="e">
        <f>X94</f>
        <v>#VALUE!</v>
      </c>
      <c r="AB32" s="226" t="e">
        <f t="shared" si="10"/>
        <v>#VALUE!</v>
      </c>
      <c r="AC32" s="236" t="e">
        <f t="shared" si="11"/>
        <v>#VALUE!</v>
      </c>
      <c r="AD32" s="226" t="e">
        <f t="shared" si="12"/>
        <v>#VALUE!</v>
      </c>
      <c r="AE32" s="226" t="e">
        <f t="shared" si="15"/>
        <v>#VALUE!</v>
      </c>
      <c r="AF32" s="226" t="e">
        <f t="shared" si="16"/>
        <v>#VALUE!</v>
      </c>
      <c r="AG32" s="226" t="e">
        <f t="shared" si="17"/>
        <v>#VALUE!</v>
      </c>
      <c r="AH32" s="226" t="e">
        <f t="shared" si="18"/>
        <v>#VALUE!</v>
      </c>
      <c r="AI32" s="226" t="e">
        <f t="shared" si="19"/>
        <v>#VALUE!</v>
      </c>
      <c r="AJ32" s="274" t="str">
        <f t="shared" si="13"/>
        <v>John Robinson</v>
      </c>
    </row>
    <row r="33" spans="2:36" x14ac:dyDescent="0.25">
      <c r="B33" s="228"/>
      <c r="C33" s="228" t="str">
        <f>Picks!B33</f>
        <v>Wigan draw</v>
      </c>
      <c r="D33" s="229" t="str">
        <f>Picks!C33</f>
        <v>12/5</v>
      </c>
      <c r="E33" s="229">
        <f>Picks!D33</f>
        <v>3.4</v>
      </c>
      <c r="F33" s="230">
        <v>1</v>
      </c>
      <c r="G33" s="228">
        <f>Picks!M33</f>
        <v>0</v>
      </c>
      <c r="H33" s="229">
        <f t="shared" si="0"/>
        <v>0</v>
      </c>
      <c r="I33" s="273" t="str">
        <f t="shared" si="5"/>
        <v>John Ronan</v>
      </c>
      <c r="J33" s="226">
        <f>H95</f>
        <v>3</v>
      </c>
      <c r="K33" s="226">
        <f>H96</f>
        <v>0</v>
      </c>
      <c r="L33" s="226">
        <f>H97</f>
        <v>0</v>
      </c>
      <c r="M33" s="226">
        <f t="shared" si="20"/>
        <v>4</v>
      </c>
      <c r="N33" s="226">
        <f t="shared" si="21"/>
        <v>0</v>
      </c>
      <c r="O33" s="226">
        <f t="shared" si="3"/>
        <v>0</v>
      </c>
      <c r="P33" s="226">
        <f t="shared" si="6"/>
        <v>0</v>
      </c>
      <c r="Q33" s="226">
        <f t="shared" si="7"/>
        <v>0</v>
      </c>
      <c r="R33" s="226">
        <f t="shared" si="8"/>
        <v>0</v>
      </c>
      <c r="S33" s="226">
        <f t="shared" si="14"/>
        <v>0</v>
      </c>
      <c r="T33" s="226">
        <f t="shared" si="9"/>
        <v>-3</v>
      </c>
      <c r="U33" s="225">
        <f>SUM(G95:G97)</f>
        <v>1</v>
      </c>
      <c r="V33" s="139" t="s">
        <v>459</v>
      </c>
      <c r="W33" s="227">
        <f>SUM(F95:F97)</f>
        <v>3</v>
      </c>
      <c r="X33" s="229">
        <f t="shared" si="4"/>
        <v>2.4</v>
      </c>
      <c r="Y33" s="226">
        <f>X95</f>
        <v>3</v>
      </c>
      <c r="Z33" s="226">
        <f>X96</f>
        <v>1.75</v>
      </c>
      <c r="AA33" s="226">
        <f>X97</f>
        <v>1.5</v>
      </c>
      <c r="AB33" s="226">
        <f t="shared" si="10"/>
        <v>4</v>
      </c>
      <c r="AC33" s="236">
        <f t="shared" si="11"/>
        <v>2.75</v>
      </c>
      <c r="AD33" s="226">
        <f t="shared" si="12"/>
        <v>2.5</v>
      </c>
      <c r="AE33" s="226">
        <f t="shared" si="15"/>
        <v>11</v>
      </c>
      <c r="AF33" s="226">
        <f t="shared" si="16"/>
        <v>6.875</v>
      </c>
      <c r="AG33" s="226">
        <f t="shared" si="17"/>
        <v>10</v>
      </c>
      <c r="AH33" s="226">
        <f t="shared" si="18"/>
        <v>27.5</v>
      </c>
      <c r="AI33" s="226">
        <f t="shared" si="19"/>
        <v>57.625</v>
      </c>
      <c r="AJ33" s="274" t="str">
        <f t="shared" si="13"/>
        <v>John Ronan</v>
      </c>
    </row>
    <row r="34" spans="2:36" ht="13.8" thickBot="1" x14ac:dyDescent="0.3">
      <c r="B34" s="233"/>
      <c r="C34" s="233" t="str">
        <f>Picks!B34</f>
        <v>Blackpool</v>
      </c>
      <c r="D34" s="234" t="str">
        <f>Picks!C34</f>
        <v>5/4</v>
      </c>
      <c r="E34" s="234">
        <f>Picks!D34</f>
        <v>2.25</v>
      </c>
      <c r="F34" s="276">
        <v>1</v>
      </c>
      <c r="G34" s="233">
        <f>Picks!M34</f>
        <v>0</v>
      </c>
      <c r="H34" s="234">
        <f t="shared" ref="H34:H62" si="22">+((E34-1)*G34*F34*A$2)</f>
        <v>0</v>
      </c>
      <c r="I34" s="273" t="str">
        <f t="shared" si="5"/>
        <v>Kei Lok Ma</v>
      </c>
      <c r="J34" s="226">
        <f>H98</f>
        <v>1.375</v>
      </c>
      <c r="K34" s="226">
        <f>H99</f>
        <v>0</v>
      </c>
      <c r="L34" s="226">
        <f>H100</f>
        <v>0</v>
      </c>
      <c r="M34" s="226">
        <f t="shared" si="20"/>
        <v>2.375</v>
      </c>
      <c r="N34" s="226">
        <f t="shared" si="21"/>
        <v>0</v>
      </c>
      <c r="O34" s="226">
        <f t="shared" si="3"/>
        <v>0</v>
      </c>
      <c r="P34" s="226">
        <f t="shared" si="6"/>
        <v>0</v>
      </c>
      <c r="Q34" s="226">
        <f t="shared" si="7"/>
        <v>0</v>
      </c>
      <c r="R34" s="226">
        <f t="shared" si="8"/>
        <v>0</v>
      </c>
      <c r="S34" s="226">
        <f t="shared" si="14"/>
        <v>0</v>
      </c>
      <c r="T34" s="226">
        <f t="shared" si="9"/>
        <v>-4.625</v>
      </c>
      <c r="U34" s="225">
        <f>SUM(G98:G100)</f>
        <v>1</v>
      </c>
      <c r="V34" s="143" t="s">
        <v>341</v>
      </c>
      <c r="W34" s="227">
        <f>SUM(F98:F100)</f>
        <v>3</v>
      </c>
      <c r="X34" s="229">
        <f t="shared" ref="X34:X65" si="23">+((E34-1)*F34*A$2)</f>
        <v>1.25</v>
      </c>
      <c r="Y34" s="226">
        <f>X98</f>
        <v>1.375</v>
      </c>
      <c r="Z34" s="226">
        <f>X99</f>
        <v>2.25</v>
      </c>
      <c r="AA34" s="226">
        <f>X100</f>
        <v>4.25</v>
      </c>
      <c r="AB34" s="226">
        <f t="shared" si="10"/>
        <v>2.375</v>
      </c>
      <c r="AC34" s="236">
        <f t="shared" si="11"/>
        <v>3.25</v>
      </c>
      <c r="AD34" s="226">
        <f t="shared" si="12"/>
        <v>5.25</v>
      </c>
      <c r="AE34" s="226">
        <f t="shared" si="15"/>
        <v>7.71875</v>
      </c>
      <c r="AF34" s="226">
        <f t="shared" si="16"/>
        <v>17.0625</v>
      </c>
      <c r="AG34" s="226">
        <f t="shared" si="17"/>
        <v>12.46875</v>
      </c>
      <c r="AH34" s="226">
        <f t="shared" si="18"/>
        <v>40.5234375</v>
      </c>
      <c r="AI34" s="226">
        <f t="shared" si="19"/>
        <v>81.6484375</v>
      </c>
      <c r="AJ34" s="274" t="str">
        <f t="shared" si="13"/>
        <v>Kei Lok Ma</v>
      </c>
    </row>
    <row r="35" spans="2:36" x14ac:dyDescent="0.25">
      <c r="B35" s="228" t="str">
        <f>$V13</f>
        <v>Chris Bow</v>
      </c>
      <c r="C35" s="228" t="str">
        <f>Picks!B35</f>
        <v>West Ham</v>
      </c>
      <c r="D35" s="229" t="str">
        <f>Picks!C35</f>
        <v>11/8</v>
      </c>
      <c r="E35" s="229">
        <f>Picks!D35</f>
        <v>2.375</v>
      </c>
      <c r="F35" s="230">
        <v>1</v>
      </c>
      <c r="G35" s="228">
        <f>Picks!M35</f>
        <v>1</v>
      </c>
      <c r="H35" s="229">
        <f t="shared" si="22"/>
        <v>1.375</v>
      </c>
      <c r="I35" s="273" t="str">
        <f t="shared" si="5"/>
        <v>Kevin Carter</v>
      </c>
      <c r="J35" s="226">
        <f>H101</f>
        <v>1.6</v>
      </c>
      <c r="K35" s="226">
        <f>H102</f>
        <v>3.4000000000000004</v>
      </c>
      <c r="L35" s="226">
        <f>H103</f>
        <v>3.8</v>
      </c>
      <c r="M35" s="226">
        <f t="shared" si="20"/>
        <v>2.6</v>
      </c>
      <c r="N35" s="226">
        <f t="shared" si="21"/>
        <v>4.4000000000000004</v>
      </c>
      <c r="O35" s="226">
        <f t="shared" si="3"/>
        <v>4.8</v>
      </c>
      <c r="P35" s="226">
        <f t="shared" si="6"/>
        <v>11.440000000000001</v>
      </c>
      <c r="Q35" s="226">
        <f t="shared" si="7"/>
        <v>21.119999999999997</v>
      </c>
      <c r="R35" s="226">
        <f t="shared" si="8"/>
        <v>12.48</v>
      </c>
      <c r="S35" s="226">
        <f t="shared" si="14"/>
        <v>54.912000000000006</v>
      </c>
      <c r="T35" s="226">
        <f t="shared" si="9"/>
        <v>104.75200000000001</v>
      </c>
      <c r="U35" s="225">
        <f>SUM(G101:G103)</f>
        <v>3</v>
      </c>
      <c r="V35" s="139" t="s">
        <v>350</v>
      </c>
      <c r="W35" s="227">
        <f>SUM(F101:F103)</f>
        <v>3</v>
      </c>
      <c r="X35" s="229">
        <f t="shared" si="23"/>
        <v>1.375</v>
      </c>
      <c r="Y35" s="236">
        <f>X101</f>
        <v>1.6</v>
      </c>
      <c r="Z35" s="226">
        <f>X102</f>
        <v>3.4000000000000004</v>
      </c>
      <c r="AA35" s="226">
        <f>X103</f>
        <v>3.8</v>
      </c>
      <c r="AB35" s="226">
        <f t="shared" si="10"/>
        <v>2.6</v>
      </c>
      <c r="AC35" s="236">
        <f t="shared" si="11"/>
        <v>4.4000000000000004</v>
      </c>
      <c r="AD35" s="226">
        <f t="shared" si="12"/>
        <v>4.8</v>
      </c>
      <c r="AE35" s="226">
        <f t="shared" si="15"/>
        <v>11.440000000000001</v>
      </c>
      <c r="AF35" s="226">
        <f t="shared" si="16"/>
        <v>21.119999999999997</v>
      </c>
      <c r="AG35" s="226">
        <f t="shared" si="17"/>
        <v>12.48</v>
      </c>
      <c r="AH35" s="226">
        <f t="shared" si="18"/>
        <v>54.912000000000006</v>
      </c>
      <c r="AI35" s="226">
        <f t="shared" si="19"/>
        <v>104.75200000000001</v>
      </c>
      <c r="AJ35" s="274" t="str">
        <f t="shared" si="13"/>
        <v>Kevin Carter</v>
      </c>
    </row>
    <row r="36" spans="2:36" x14ac:dyDescent="0.25">
      <c r="B36" s="228"/>
      <c r="C36" s="228" t="str">
        <f>Picks!B36</f>
        <v>Wycombe</v>
      </c>
      <c r="D36" s="229" t="str">
        <f>Picks!C36</f>
        <v>21/20</v>
      </c>
      <c r="E36" s="229">
        <f>Picks!D36</f>
        <v>2.0499999999999998</v>
      </c>
      <c r="F36" s="230">
        <v>1</v>
      </c>
      <c r="G36" s="228">
        <f>Picks!M36</f>
        <v>1</v>
      </c>
      <c r="H36" s="229">
        <f t="shared" si="22"/>
        <v>1.0499999999999998</v>
      </c>
      <c r="I36" s="273" t="str">
        <f t="shared" si="5"/>
        <v>Lennie Bow</v>
      </c>
      <c r="J36" s="226">
        <f>H104</f>
        <v>0.75</v>
      </c>
      <c r="K36" s="226">
        <f>H105</f>
        <v>1.1000000000000001</v>
      </c>
      <c r="L36" s="226">
        <f>H106</f>
        <v>0</v>
      </c>
      <c r="M36" s="226">
        <f t="shared" si="20"/>
        <v>1.75</v>
      </c>
      <c r="N36" s="226">
        <f t="shared" si="21"/>
        <v>2.1</v>
      </c>
      <c r="O36" s="226">
        <f t="shared" si="3"/>
        <v>0</v>
      </c>
      <c r="P36" s="226">
        <f t="shared" si="6"/>
        <v>3.6750000000000003</v>
      </c>
      <c r="Q36" s="226">
        <f t="shared" si="7"/>
        <v>0</v>
      </c>
      <c r="R36" s="226">
        <f t="shared" si="8"/>
        <v>0</v>
      </c>
      <c r="S36" s="226">
        <f t="shared" si="14"/>
        <v>0</v>
      </c>
      <c r="T36" s="226">
        <f t="shared" si="9"/>
        <v>0.52500000000000036</v>
      </c>
      <c r="U36" s="225">
        <f>SUM(G104:G106)</f>
        <v>2</v>
      </c>
      <c r="V36" s="139" t="s">
        <v>336</v>
      </c>
      <c r="W36" s="227">
        <f>SUM(F104:F106)</f>
        <v>3</v>
      </c>
      <c r="X36" s="229">
        <f t="shared" si="23"/>
        <v>1.0499999999999998</v>
      </c>
      <c r="Y36" s="226">
        <f>X104</f>
        <v>0.75</v>
      </c>
      <c r="Z36" s="226">
        <f>X105</f>
        <v>1.1000000000000001</v>
      </c>
      <c r="AA36" s="226">
        <f>X106</f>
        <v>0.84615384615384626</v>
      </c>
      <c r="AB36" s="226">
        <f t="shared" si="10"/>
        <v>1.75</v>
      </c>
      <c r="AC36" s="236">
        <f t="shared" si="11"/>
        <v>2.1</v>
      </c>
      <c r="AD36" s="226">
        <f t="shared" si="12"/>
        <v>1.8461538461538463</v>
      </c>
      <c r="AE36" s="226">
        <f t="shared" si="15"/>
        <v>3.6750000000000003</v>
      </c>
      <c r="AF36" s="226">
        <f t="shared" si="16"/>
        <v>3.8769230769230774</v>
      </c>
      <c r="AG36" s="226">
        <f t="shared" si="17"/>
        <v>3.2307692307692308</v>
      </c>
      <c r="AH36" s="226">
        <f t="shared" si="18"/>
        <v>6.7846153846153854</v>
      </c>
      <c r="AI36" s="226">
        <f t="shared" si="19"/>
        <v>16.263461538461542</v>
      </c>
      <c r="AJ36" s="274" t="str">
        <f t="shared" si="13"/>
        <v>Lennie Bow</v>
      </c>
    </row>
    <row r="37" spans="2:36" ht="13.8" thickBot="1" x14ac:dyDescent="0.3">
      <c r="B37" s="233"/>
      <c r="C37" s="233" t="str">
        <f>Picks!B37</f>
        <v>Wigan</v>
      </c>
      <c r="D37" s="234" t="str">
        <f>Picks!C37</f>
        <v>13/10</v>
      </c>
      <c r="E37" s="234">
        <f>Picks!D37</f>
        <v>2.2999999999999998</v>
      </c>
      <c r="F37" s="276">
        <v>1</v>
      </c>
      <c r="G37" s="233">
        <f>Picks!M37</f>
        <v>1</v>
      </c>
      <c r="H37" s="234">
        <f t="shared" si="22"/>
        <v>1.2999999999999998</v>
      </c>
      <c r="I37" s="273" t="str">
        <f t="shared" si="5"/>
        <v>Liam Wah</v>
      </c>
      <c r="J37" s="226">
        <f>H107</f>
        <v>3.4000000000000004</v>
      </c>
      <c r="K37" s="226">
        <f>H108</f>
        <v>2.4</v>
      </c>
      <c r="L37" s="226">
        <f>H109</f>
        <v>0</v>
      </c>
      <c r="M37" s="226">
        <f t="shared" si="20"/>
        <v>4.4000000000000004</v>
      </c>
      <c r="N37" s="226">
        <f t="shared" si="21"/>
        <v>3.4</v>
      </c>
      <c r="O37" s="226">
        <f t="shared" si="3"/>
        <v>0</v>
      </c>
      <c r="P37" s="226">
        <f t="shared" si="6"/>
        <v>14.96</v>
      </c>
      <c r="Q37" s="226">
        <f t="shared" si="7"/>
        <v>0</v>
      </c>
      <c r="R37" s="226">
        <f t="shared" si="8"/>
        <v>0</v>
      </c>
      <c r="S37" s="226">
        <f t="shared" si="14"/>
        <v>0</v>
      </c>
      <c r="T37" s="226">
        <f t="shared" si="9"/>
        <v>15.760000000000002</v>
      </c>
      <c r="U37" s="225">
        <f>SUM(G107:G109)</f>
        <v>2</v>
      </c>
      <c r="V37" s="140" t="s">
        <v>450</v>
      </c>
      <c r="W37" s="227">
        <f>SUM(F107:F109)</f>
        <v>3</v>
      </c>
      <c r="X37" s="229">
        <f t="shared" si="23"/>
        <v>1.2999999999999998</v>
      </c>
      <c r="Y37" s="226">
        <f>X107</f>
        <v>3.4000000000000004</v>
      </c>
      <c r="Z37" s="226">
        <f>X108</f>
        <v>2.4</v>
      </c>
      <c r="AA37" s="226">
        <f>X109</f>
        <v>2</v>
      </c>
      <c r="AB37" s="226">
        <f t="shared" si="10"/>
        <v>4.4000000000000004</v>
      </c>
      <c r="AC37" s="236">
        <f t="shared" si="11"/>
        <v>3.4</v>
      </c>
      <c r="AD37" s="226">
        <f t="shared" si="12"/>
        <v>3</v>
      </c>
      <c r="AE37" s="226">
        <f t="shared" si="15"/>
        <v>14.96</v>
      </c>
      <c r="AF37" s="226">
        <f t="shared" si="16"/>
        <v>10.199999999999999</v>
      </c>
      <c r="AG37" s="226">
        <f t="shared" si="17"/>
        <v>13.200000000000001</v>
      </c>
      <c r="AH37" s="226">
        <f t="shared" si="18"/>
        <v>44.88</v>
      </c>
      <c r="AI37" s="226">
        <f t="shared" si="19"/>
        <v>87.04</v>
      </c>
      <c r="AJ37" s="274" t="str">
        <f t="shared" si="13"/>
        <v>Liam Wah</v>
      </c>
    </row>
    <row r="38" spans="2:36" x14ac:dyDescent="0.25">
      <c r="B38" s="228" t="str">
        <f>$V14</f>
        <v>Chris Griffin</v>
      </c>
      <c r="C38" s="228" t="str">
        <f>Picks!B38</f>
        <v>Wigan</v>
      </c>
      <c r="D38" s="229" t="str">
        <f>Picks!C38</f>
        <v>13/10</v>
      </c>
      <c r="E38" s="229">
        <f>Picks!D38</f>
        <v>2.2999999999999998</v>
      </c>
      <c r="F38" s="230">
        <v>1</v>
      </c>
      <c r="G38" s="228">
        <f>Picks!M38</f>
        <v>1</v>
      </c>
      <c r="H38" s="229">
        <f t="shared" si="22"/>
        <v>1.2999999999999998</v>
      </c>
      <c r="I38" s="273" t="str">
        <f t="shared" si="5"/>
        <v>Mal Stott</v>
      </c>
      <c r="J38" s="226">
        <f>H110</f>
        <v>0</v>
      </c>
      <c r="K38" s="226">
        <f>H111</f>
        <v>1.6</v>
      </c>
      <c r="L38" s="226">
        <f>H112</f>
        <v>1.2999999999999998</v>
      </c>
      <c r="M38" s="226">
        <f t="shared" si="20"/>
        <v>0</v>
      </c>
      <c r="N38" s="226">
        <f t="shared" si="21"/>
        <v>2.6</v>
      </c>
      <c r="O38" s="226">
        <f t="shared" si="3"/>
        <v>2.2999999999999998</v>
      </c>
      <c r="P38" s="226">
        <f t="shared" si="6"/>
        <v>0</v>
      </c>
      <c r="Q38" s="226">
        <f t="shared" si="7"/>
        <v>5.9799999999999995</v>
      </c>
      <c r="R38" s="226">
        <f t="shared" si="8"/>
        <v>0</v>
      </c>
      <c r="S38" s="226">
        <f t="shared" si="14"/>
        <v>0</v>
      </c>
      <c r="T38" s="226">
        <f t="shared" si="9"/>
        <v>3.879999999999999</v>
      </c>
      <c r="U38" s="225">
        <f>SUM(G110:G112)</f>
        <v>2</v>
      </c>
      <c r="V38" s="139" t="s">
        <v>345</v>
      </c>
      <c r="W38" s="227">
        <f>SUM(F110:F112)</f>
        <v>3</v>
      </c>
      <c r="X38" s="229">
        <f t="shared" si="23"/>
        <v>1.2999999999999998</v>
      </c>
      <c r="Y38" s="226">
        <f>X110</f>
        <v>1.2000000000000002</v>
      </c>
      <c r="Z38" s="226">
        <f>X111</f>
        <v>1.6</v>
      </c>
      <c r="AA38" s="226">
        <f>X112</f>
        <v>1.2999999999999998</v>
      </c>
      <c r="AB38" s="226">
        <f t="shared" si="10"/>
        <v>2.2000000000000002</v>
      </c>
      <c r="AC38" s="236">
        <f t="shared" si="11"/>
        <v>2.6</v>
      </c>
      <c r="AD38" s="226">
        <f t="shared" si="12"/>
        <v>2.2999999999999998</v>
      </c>
      <c r="AE38" s="226">
        <f t="shared" si="15"/>
        <v>5.7200000000000006</v>
      </c>
      <c r="AF38" s="226">
        <f t="shared" si="16"/>
        <v>5.9799999999999995</v>
      </c>
      <c r="AG38" s="226">
        <f t="shared" si="17"/>
        <v>5.0600000000000005</v>
      </c>
      <c r="AH38" s="226">
        <f t="shared" si="18"/>
        <v>13.156000000000001</v>
      </c>
      <c r="AI38" s="226">
        <f t="shared" si="19"/>
        <v>30.015999999999998</v>
      </c>
      <c r="AJ38" s="274" t="str">
        <f t="shared" si="13"/>
        <v>Mal Stott</v>
      </c>
    </row>
    <row r="39" spans="2:36" x14ac:dyDescent="0.25">
      <c r="B39" s="228"/>
      <c r="C39" s="228" t="str">
        <f>Picks!B39</f>
        <v>Sunderland</v>
      </c>
      <c r="D39" s="229" t="str">
        <f>Picks!C39</f>
        <v>6/5</v>
      </c>
      <c r="E39" s="229">
        <f>Picks!D39</f>
        <v>2.2000000000000002</v>
      </c>
      <c r="F39" s="230">
        <v>1</v>
      </c>
      <c r="G39" s="228">
        <f>Picks!M39</f>
        <v>0</v>
      </c>
      <c r="H39" s="229">
        <f t="shared" si="22"/>
        <v>0</v>
      </c>
      <c r="I39" s="273" t="str">
        <f t="shared" si="5"/>
        <v>Mark Bunn</v>
      </c>
      <c r="J39" s="226">
        <f>H113</f>
        <v>2.4</v>
      </c>
      <c r="K39" s="226">
        <f>H114</f>
        <v>0</v>
      </c>
      <c r="L39" s="226">
        <f>H115</f>
        <v>2.5</v>
      </c>
      <c r="M39" s="226">
        <f t="shared" si="20"/>
        <v>3.4</v>
      </c>
      <c r="N39" s="226">
        <f t="shared" si="21"/>
        <v>0</v>
      </c>
      <c r="O39" s="226">
        <f t="shared" si="3"/>
        <v>3.5</v>
      </c>
      <c r="P39" s="226">
        <f t="shared" si="6"/>
        <v>0</v>
      </c>
      <c r="Q39" s="226">
        <f t="shared" si="7"/>
        <v>0</v>
      </c>
      <c r="R39" s="226">
        <f t="shared" si="8"/>
        <v>11.9</v>
      </c>
      <c r="S39" s="226">
        <f t="shared" si="14"/>
        <v>0</v>
      </c>
      <c r="T39" s="226">
        <f t="shared" si="9"/>
        <v>11.8</v>
      </c>
      <c r="U39" s="225">
        <f>SUM(G113:G115)</f>
        <v>2</v>
      </c>
      <c r="V39" s="143" t="s">
        <v>337</v>
      </c>
      <c r="W39" s="227">
        <f>SUM(F113:F115)</f>
        <v>3</v>
      </c>
      <c r="X39" s="229">
        <f t="shared" si="23"/>
        <v>1.2000000000000002</v>
      </c>
      <c r="Y39" s="226">
        <f>X113</f>
        <v>2.4</v>
      </c>
      <c r="Z39" s="226">
        <f>X114</f>
        <v>2.2999999999999998</v>
      </c>
      <c r="AA39" s="226">
        <f>X115</f>
        <v>2.5</v>
      </c>
      <c r="AB39" s="226">
        <f t="shared" si="10"/>
        <v>3.4</v>
      </c>
      <c r="AC39" s="236">
        <f t="shared" si="11"/>
        <v>3.3</v>
      </c>
      <c r="AD39" s="226">
        <f t="shared" si="12"/>
        <v>3.5</v>
      </c>
      <c r="AE39" s="226">
        <f t="shared" si="15"/>
        <v>11.219999999999999</v>
      </c>
      <c r="AF39" s="226">
        <f t="shared" si="16"/>
        <v>11.55</v>
      </c>
      <c r="AG39" s="226">
        <f t="shared" si="17"/>
        <v>11.9</v>
      </c>
      <c r="AH39" s="226">
        <f t="shared" si="18"/>
        <v>39.269999999999996</v>
      </c>
      <c r="AI39" s="226">
        <f t="shared" si="19"/>
        <v>77.139999999999986</v>
      </c>
      <c r="AJ39" s="274" t="str">
        <f t="shared" si="13"/>
        <v>Mark Bunn</v>
      </c>
    </row>
    <row r="40" spans="2:36" ht="13.8" thickBot="1" x14ac:dyDescent="0.3">
      <c r="B40" s="233"/>
      <c r="C40" s="233" t="str">
        <f>Picks!B40</f>
        <v>Reading draw</v>
      </c>
      <c r="D40" s="234" t="str">
        <f>Picks!C40</f>
        <v>12/5</v>
      </c>
      <c r="E40" s="234">
        <f>Picks!D40</f>
        <v>3.4</v>
      </c>
      <c r="F40" s="276">
        <v>1</v>
      </c>
      <c r="G40" s="233">
        <f>Picks!M40</f>
        <v>1</v>
      </c>
      <c r="H40" s="234">
        <f t="shared" si="22"/>
        <v>2.4</v>
      </c>
      <c r="I40" s="273" t="str">
        <f t="shared" si="5"/>
        <v>Mark Saunders</v>
      </c>
      <c r="J40" s="226">
        <f>H116</f>
        <v>0</v>
      </c>
      <c r="K40" s="226">
        <f>H117</f>
        <v>0</v>
      </c>
      <c r="L40" s="226">
        <f>H118</f>
        <v>2.5</v>
      </c>
      <c r="M40" s="226">
        <f t="shared" si="20"/>
        <v>0</v>
      </c>
      <c r="N40" s="226">
        <f t="shared" si="21"/>
        <v>0</v>
      </c>
      <c r="O40" s="226">
        <f t="shared" si="3"/>
        <v>3.5</v>
      </c>
      <c r="P40" s="226">
        <f t="shared" si="6"/>
        <v>0</v>
      </c>
      <c r="Q40" s="226">
        <f t="shared" si="7"/>
        <v>0</v>
      </c>
      <c r="R40" s="226">
        <f t="shared" si="8"/>
        <v>0</v>
      </c>
      <c r="S40" s="226">
        <f t="shared" si="14"/>
        <v>0</v>
      </c>
      <c r="T40" s="226">
        <f t="shared" si="9"/>
        <v>-3.5</v>
      </c>
      <c r="U40" s="225">
        <f>SUM(G116:G118)</f>
        <v>1</v>
      </c>
      <c r="V40" s="143" t="s">
        <v>330</v>
      </c>
      <c r="W40" s="227">
        <f>SUM(F116:F118)</f>
        <v>3</v>
      </c>
      <c r="X40" s="229">
        <f t="shared" si="23"/>
        <v>2.4</v>
      </c>
      <c r="Y40" s="226">
        <f>X116</f>
        <v>3</v>
      </c>
      <c r="Z40" s="226">
        <f>X117</f>
        <v>4</v>
      </c>
      <c r="AA40" s="226">
        <f>X118</f>
        <v>2.5</v>
      </c>
      <c r="AB40" s="226">
        <f t="shared" si="10"/>
        <v>4</v>
      </c>
      <c r="AC40" s="236">
        <f t="shared" si="11"/>
        <v>5</v>
      </c>
      <c r="AD40" s="226">
        <f t="shared" si="12"/>
        <v>3.5</v>
      </c>
      <c r="AE40" s="226">
        <f t="shared" si="15"/>
        <v>20</v>
      </c>
      <c r="AF40" s="226">
        <f t="shared" si="16"/>
        <v>17.5</v>
      </c>
      <c r="AG40" s="226">
        <f t="shared" si="17"/>
        <v>14</v>
      </c>
      <c r="AH40" s="226">
        <f t="shared" si="18"/>
        <v>70</v>
      </c>
      <c r="AI40" s="226">
        <f t="shared" si="19"/>
        <v>127</v>
      </c>
      <c r="AJ40" s="274" t="str">
        <f t="shared" si="13"/>
        <v>Mark Saunders</v>
      </c>
    </row>
    <row r="41" spans="2:36" x14ac:dyDescent="0.25">
      <c r="B41" s="228" t="str">
        <f>$V15</f>
        <v>Chris Luck</v>
      </c>
      <c r="C41" s="228" t="str">
        <f>Picks!B41</f>
        <v>West Ham</v>
      </c>
      <c r="D41" s="229" t="str">
        <f>Picks!C41</f>
        <v>11/8</v>
      </c>
      <c r="E41" s="229">
        <f>Picks!D41</f>
        <v>2.375</v>
      </c>
      <c r="F41" s="230">
        <v>1</v>
      </c>
      <c r="G41" s="228">
        <f>Picks!M41</f>
        <v>1</v>
      </c>
      <c r="H41" s="229">
        <f t="shared" si="22"/>
        <v>1.375</v>
      </c>
      <c r="I41" s="273" t="str">
        <f t="shared" si="5"/>
        <v>Martin Molyneux</v>
      </c>
      <c r="J41" s="226" t="e">
        <f>H119</f>
        <v>#VALUE!</v>
      </c>
      <c r="K41" s="226" t="e">
        <f>H120</f>
        <v>#VALUE!</v>
      </c>
      <c r="L41" s="226" t="e">
        <f>H121</f>
        <v>#VALUE!</v>
      </c>
      <c r="M41" s="226" t="e">
        <f t="shared" si="20"/>
        <v>#VALUE!</v>
      </c>
      <c r="N41" s="226" t="e">
        <f t="shared" si="21"/>
        <v>#VALUE!</v>
      </c>
      <c r="O41" s="226" t="e">
        <f t="shared" si="3"/>
        <v>#VALUE!</v>
      </c>
      <c r="P41" s="226" t="e">
        <f t="shared" si="6"/>
        <v>#VALUE!</v>
      </c>
      <c r="Q41" s="226" t="e">
        <f t="shared" si="7"/>
        <v>#VALUE!</v>
      </c>
      <c r="R41" s="226" t="e">
        <f t="shared" si="8"/>
        <v>#VALUE!</v>
      </c>
      <c r="S41" s="226" t="e">
        <f t="shared" si="14"/>
        <v>#VALUE!</v>
      </c>
      <c r="T41" s="226" t="e">
        <f t="shared" si="9"/>
        <v>#VALUE!</v>
      </c>
      <c r="U41" s="225" t="e">
        <f>SUM(G119:G121)</f>
        <v>#N/A</v>
      </c>
      <c r="V41" s="141" t="s">
        <v>328</v>
      </c>
      <c r="W41" s="227">
        <f>SUM(F119:F121)</f>
        <v>3</v>
      </c>
      <c r="X41" s="229">
        <f t="shared" si="23"/>
        <v>1.375</v>
      </c>
      <c r="Y41" s="226" t="e">
        <f>X119</f>
        <v>#VALUE!</v>
      </c>
      <c r="Z41" s="226" t="e">
        <f>X120</f>
        <v>#VALUE!</v>
      </c>
      <c r="AA41" s="226" t="e">
        <f>X121</f>
        <v>#VALUE!</v>
      </c>
      <c r="AB41" s="226" t="e">
        <f t="shared" si="10"/>
        <v>#VALUE!</v>
      </c>
      <c r="AC41" s="236" t="e">
        <f t="shared" si="11"/>
        <v>#VALUE!</v>
      </c>
      <c r="AD41" s="226" t="e">
        <f t="shared" si="12"/>
        <v>#VALUE!</v>
      </c>
      <c r="AE41" s="226" t="e">
        <f t="shared" si="15"/>
        <v>#VALUE!</v>
      </c>
      <c r="AF41" s="226" t="e">
        <f t="shared" si="16"/>
        <v>#VALUE!</v>
      </c>
      <c r="AG41" s="226" t="e">
        <f t="shared" si="17"/>
        <v>#VALUE!</v>
      </c>
      <c r="AH41" s="226" t="e">
        <f t="shared" si="18"/>
        <v>#VALUE!</v>
      </c>
      <c r="AI41" s="226" t="e">
        <f t="shared" si="19"/>
        <v>#VALUE!</v>
      </c>
      <c r="AJ41" s="274" t="str">
        <f t="shared" si="13"/>
        <v>Martin Molyneux</v>
      </c>
    </row>
    <row r="42" spans="2:36" x14ac:dyDescent="0.25">
      <c r="B42" s="228"/>
      <c r="C42" s="228" t="str">
        <f>Picks!B42</f>
        <v>Palace</v>
      </c>
      <c r="D42" s="229" t="str">
        <f>Picks!C42</f>
        <v>8/5</v>
      </c>
      <c r="E42" s="229">
        <f>Picks!D42</f>
        <v>2.6</v>
      </c>
      <c r="F42" s="230">
        <v>1</v>
      </c>
      <c r="G42" s="228">
        <f>Picks!M42</f>
        <v>1</v>
      </c>
      <c r="H42" s="229">
        <f t="shared" si="22"/>
        <v>1.6</v>
      </c>
      <c r="I42" s="273" t="str">
        <f t="shared" si="5"/>
        <v>Martin Tarbuck</v>
      </c>
      <c r="J42" s="226">
        <f>H122</f>
        <v>2</v>
      </c>
      <c r="K42" s="226">
        <f>H123</f>
        <v>0</v>
      </c>
      <c r="L42" s="226">
        <f>H124</f>
        <v>0</v>
      </c>
      <c r="M42" s="226">
        <f t="shared" si="20"/>
        <v>3</v>
      </c>
      <c r="N42" s="226">
        <f t="shared" si="21"/>
        <v>0</v>
      </c>
      <c r="O42" s="226">
        <f t="shared" si="3"/>
        <v>0</v>
      </c>
      <c r="P42" s="226">
        <f t="shared" si="6"/>
        <v>0</v>
      </c>
      <c r="Q42" s="226">
        <f t="shared" si="7"/>
        <v>0</v>
      </c>
      <c r="R42" s="226">
        <f t="shared" si="8"/>
        <v>0</v>
      </c>
      <c r="S42" s="226">
        <f t="shared" si="14"/>
        <v>0</v>
      </c>
      <c r="T42" s="226">
        <f t="shared" si="9"/>
        <v>-4</v>
      </c>
      <c r="U42" s="225">
        <f>SUM(G122:G124)</f>
        <v>1</v>
      </c>
      <c r="V42" s="139" t="s">
        <v>461</v>
      </c>
      <c r="W42" s="227">
        <f>SUM(F122:F124)</f>
        <v>3</v>
      </c>
      <c r="X42" s="229">
        <f t="shared" si="23"/>
        <v>1.6</v>
      </c>
      <c r="Y42" s="226">
        <f>X122</f>
        <v>2</v>
      </c>
      <c r="Z42" s="226">
        <f>X123</f>
        <v>2.8</v>
      </c>
      <c r="AA42" s="226">
        <f>X124</f>
        <v>0.95</v>
      </c>
      <c r="AB42" s="226">
        <f t="shared" si="10"/>
        <v>3</v>
      </c>
      <c r="AC42" s="236">
        <f t="shared" si="11"/>
        <v>3.8</v>
      </c>
      <c r="AD42" s="226">
        <f t="shared" si="12"/>
        <v>1.95</v>
      </c>
      <c r="AE42" s="226">
        <f t="shared" si="15"/>
        <v>11.399999999999999</v>
      </c>
      <c r="AF42" s="226">
        <f t="shared" si="16"/>
        <v>7.41</v>
      </c>
      <c r="AG42" s="226">
        <f t="shared" si="17"/>
        <v>5.85</v>
      </c>
      <c r="AH42" s="226">
        <f t="shared" si="18"/>
        <v>22.229999999999997</v>
      </c>
      <c r="AI42" s="226">
        <f t="shared" si="19"/>
        <v>48.639999999999993</v>
      </c>
      <c r="AJ42" s="274" t="str">
        <f t="shared" si="13"/>
        <v>Martin Tarbuck</v>
      </c>
    </row>
    <row r="43" spans="2:36" ht="13.8" thickBot="1" x14ac:dyDescent="0.3">
      <c r="B43" s="233"/>
      <c r="C43" s="233" t="str">
        <f>Picks!B43</f>
        <v>Peterborough</v>
      </c>
      <c r="D43" s="234" t="str">
        <f>Picks!C43</f>
        <v>23/20</v>
      </c>
      <c r="E43" s="234">
        <f>Picks!D43</f>
        <v>2.15</v>
      </c>
      <c r="F43" s="276">
        <v>1</v>
      </c>
      <c r="G43" s="233">
        <f>Picks!M43</f>
        <v>1</v>
      </c>
      <c r="H43" s="234">
        <f t="shared" si="22"/>
        <v>1.1499999999999999</v>
      </c>
      <c r="I43" s="273" t="str">
        <f t="shared" si="5"/>
        <v>Mike Penk</v>
      </c>
      <c r="J43" s="226">
        <f>H125</f>
        <v>0</v>
      </c>
      <c r="K43" s="226">
        <f>H126</f>
        <v>0</v>
      </c>
      <c r="L43" s="226">
        <f>H127</f>
        <v>0</v>
      </c>
      <c r="M43" s="226">
        <f t="shared" si="20"/>
        <v>0</v>
      </c>
      <c r="N43" s="226">
        <f t="shared" si="21"/>
        <v>0</v>
      </c>
      <c r="O43" s="226">
        <f t="shared" si="3"/>
        <v>0</v>
      </c>
      <c r="P43" s="226">
        <f t="shared" si="6"/>
        <v>0</v>
      </c>
      <c r="Q43" s="226">
        <f t="shared" si="7"/>
        <v>0</v>
      </c>
      <c r="R43" s="226">
        <f t="shared" si="8"/>
        <v>0</v>
      </c>
      <c r="S43" s="226">
        <f t="shared" si="14"/>
        <v>0</v>
      </c>
      <c r="T43" s="226">
        <f t="shared" si="9"/>
        <v>-7</v>
      </c>
      <c r="U43" s="225">
        <f>SUM(G125:G127)</f>
        <v>0</v>
      </c>
      <c r="V43" s="139" t="s">
        <v>342</v>
      </c>
      <c r="W43" s="227">
        <f>SUM(F125:F127)</f>
        <v>3</v>
      </c>
      <c r="X43" s="229">
        <f t="shared" si="23"/>
        <v>1.1499999999999999</v>
      </c>
      <c r="Y43" s="226">
        <f>X125</f>
        <v>1.4</v>
      </c>
      <c r="Z43" s="226">
        <f>X126</f>
        <v>2.1</v>
      </c>
      <c r="AA43" s="226">
        <f>X127</f>
        <v>1.4545454545454546</v>
      </c>
      <c r="AB43" s="226">
        <f t="shared" si="10"/>
        <v>2.4</v>
      </c>
      <c r="AC43" s="236">
        <f t="shared" si="11"/>
        <v>3.1</v>
      </c>
      <c r="AD43" s="226">
        <f t="shared" si="12"/>
        <v>2.4545454545454546</v>
      </c>
      <c r="AE43" s="226">
        <f t="shared" si="15"/>
        <v>7.4399999999999995</v>
      </c>
      <c r="AF43" s="226">
        <f t="shared" si="16"/>
        <v>7.6090909090909093</v>
      </c>
      <c r="AG43" s="226">
        <f t="shared" si="17"/>
        <v>5.8909090909090907</v>
      </c>
      <c r="AH43" s="226">
        <f t="shared" si="18"/>
        <v>18.261818181818182</v>
      </c>
      <c r="AI43" s="226">
        <f t="shared" si="19"/>
        <v>40.156363636363636</v>
      </c>
      <c r="AJ43" s="274" t="str">
        <f t="shared" si="13"/>
        <v>Mike Penk</v>
      </c>
    </row>
    <row r="44" spans="2:36" x14ac:dyDescent="0.25">
      <c r="B44" s="231" t="str">
        <f>$V16</f>
        <v>Chris Townsend</v>
      </c>
      <c r="C44" s="231" t="str">
        <f>Picks!B44</f>
        <v>Scunthorpe</v>
      </c>
      <c r="D44" s="232" t="str">
        <f>Picks!C44</f>
        <v>21/10</v>
      </c>
      <c r="E44" s="229">
        <f>Picks!D44</f>
        <v>3.1</v>
      </c>
      <c r="F44" s="230">
        <v>1</v>
      </c>
      <c r="G44" s="228">
        <f>Picks!M44</f>
        <v>0</v>
      </c>
      <c r="H44" s="229">
        <f>+((E44-1)*G44*F44*A$2)</f>
        <v>0</v>
      </c>
      <c r="I44" s="273" t="str">
        <f t="shared" si="5"/>
        <v>Mo Sudell</v>
      </c>
      <c r="J44" s="226">
        <f>H128</f>
        <v>0</v>
      </c>
      <c r="K44" s="226">
        <f>H129</f>
        <v>1.2999999999999998</v>
      </c>
      <c r="L44" s="226">
        <f>H130</f>
        <v>0</v>
      </c>
      <c r="M44" s="226">
        <f t="shared" si="20"/>
        <v>0</v>
      </c>
      <c r="N44" s="226">
        <f t="shared" si="21"/>
        <v>2.2999999999999998</v>
      </c>
      <c r="O44" s="226">
        <f t="shared" si="3"/>
        <v>0</v>
      </c>
      <c r="P44" s="226">
        <f t="shared" si="6"/>
        <v>0</v>
      </c>
      <c r="Q44" s="226">
        <f t="shared" si="7"/>
        <v>0</v>
      </c>
      <c r="R44" s="226">
        <f t="shared" si="8"/>
        <v>0</v>
      </c>
      <c r="S44" s="226">
        <f t="shared" si="14"/>
        <v>0</v>
      </c>
      <c r="T44" s="226">
        <f>SUM(M44:S44)-(IF(W44=1,A$2*1,0))-(IF(W44=2,A$2*3,0))-(IF(W44=3,A$2*7,0))</f>
        <v>-4.7</v>
      </c>
      <c r="U44" s="225">
        <f>SUM(G128:G130)</f>
        <v>1</v>
      </c>
      <c r="V44" s="139" t="s">
        <v>357</v>
      </c>
      <c r="W44" s="227">
        <f>SUM(F128:F130)</f>
        <v>3</v>
      </c>
      <c r="X44" s="229">
        <f t="shared" si="23"/>
        <v>2.1</v>
      </c>
      <c r="Y44" s="226">
        <f>X128</f>
        <v>1.5</v>
      </c>
      <c r="Z44" s="226">
        <f>X129</f>
        <v>1.2999999999999998</v>
      </c>
      <c r="AA44" s="226">
        <f>X130</f>
        <v>1.0499999999999998</v>
      </c>
      <c r="AB44" s="226">
        <f t="shared" si="10"/>
        <v>2.5</v>
      </c>
      <c r="AC44" s="236">
        <f t="shared" si="11"/>
        <v>2.2999999999999998</v>
      </c>
      <c r="AD44" s="226">
        <f t="shared" si="12"/>
        <v>2.0499999999999998</v>
      </c>
      <c r="AE44" s="226">
        <f t="shared" si="15"/>
        <v>5.75</v>
      </c>
      <c r="AF44" s="226">
        <f t="shared" si="16"/>
        <v>4.7149999999999999</v>
      </c>
      <c r="AG44" s="226">
        <f t="shared" si="17"/>
        <v>5.125</v>
      </c>
      <c r="AH44" s="226">
        <f t="shared" si="18"/>
        <v>11.787499999999998</v>
      </c>
      <c r="AI44" s="226">
        <f t="shared" si="19"/>
        <v>27.227499999999992</v>
      </c>
      <c r="AJ44" s="274" t="str">
        <f t="shared" si="13"/>
        <v>Mo Sudell</v>
      </c>
    </row>
    <row r="45" spans="2:36" x14ac:dyDescent="0.25">
      <c r="B45" s="231"/>
      <c r="C45" s="231" t="str">
        <f>Picks!B45</f>
        <v>Newcastle</v>
      </c>
      <c r="D45" s="232" t="str">
        <f>Picks!C45</f>
        <v>9/1</v>
      </c>
      <c r="E45" s="229">
        <f>Picks!D45</f>
        <v>10</v>
      </c>
      <c r="F45" s="230">
        <v>1</v>
      </c>
      <c r="G45" s="228">
        <f>Picks!M45</f>
        <v>0</v>
      </c>
      <c r="H45" s="229">
        <f t="shared" si="22"/>
        <v>0</v>
      </c>
      <c r="I45" s="273" t="str">
        <f t="shared" si="5"/>
        <v>Nick Blocksidge</v>
      </c>
      <c r="J45" s="226">
        <f>H131</f>
        <v>1.1000000000000001</v>
      </c>
      <c r="K45" s="226">
        <f>H132</f>
        <v>0</v>
      </c>
      <c r="L45" s="226">
        <f>H133</f>
        <v>1.2999999999999998</v>
      </c>
      <c r="M45" s="226">
        <f t="shared" si="20"/>
        <v>2.1</v>
      </c>
      <c r="N45" s="226">
        <f t="shared" si="21"/>
        <v>0</v>
      </c>
      <c r="O45" s="226">
        <f t="shared" si="3"/>
        <v>2.2999999999999998</v>
      </c>
      <c r="P45" s="226">
        <f t="shared" si="6"/>
        <v>0</v>
      </c>
      <c r="Q45" s="226">
        <f t="shared" si="7"/>
        <v>0</v>
      </c>
      <c r="R45" s="226">
        <f t="shared" si="8"/>
        <v>4.83</v>
      </c>
      <c r="S45" s="226">
        <f t="shared" si="14"/>
        <v>0</v>
      </c>
      <c r="T45" s="226">
        <f t="shared" si="9"/>
        <v>2.2300000000000004</v>
      </c>
      <c r="U45" s="225">
        <f>SUM(G131:G133)</f>
        <v>2</v>
      </c>
      <c r="V45" s="139" t="s">
        <v>460</v>
      </c>
      <c r="W45" s="227">
        <f>SUM(F131:F133)</f>
        <v>3</v>
      </c>
      <c r="X45" s="229">
        <f t="shared" si="23"/>
        <v>9</v>
      </c>
      <c r="Y45" s="226">
        <f>X131</f>
        <v>1.1000000000000001</v>
      </c>
      <c r="Z45" s="226">
        <f>X132</f>
        <v>1.4</v>
      </c>
      <c r="AA45" s="226">
        <f>X133</f>
        <v>1.2999999999999998</v>
      </c>
      <c r="AB45" s="226">
        <f t="shared" si="10"/>
        <v>2.1</v>
      </c>
      <c r="AC45" s="236">
        <f t="shared" si="11"/>
        <v>2.4</v>
      </c>
      <c r="AD45" s="226">
        <f t="shared" si="12"/>
        <v>2.2999999999999998</v>
      </c>
      <c r="AE45" s="226">
        <f t="shared" si="15"/>
        <v>5.04</v>
      </c>
      <c r="AF45" s="226">
        <f t="shared" si="16"/>
        <v>5.52</v>
      </c>
      <c r="AG45" s="226">
        <f t="shared" si="17"/>
        <v>4.83</v>
      </c>
      <c r="AH45" s="226">
        <f t="shared" si="18"/>
        <v>11.591999999999999</v>
      </c>
      <c r="AI45" s="226">
        <f t="shared" si="19"/>
        <v>26.781999999999996</v>
      </c>
      <c r="AJ45" s="274" t="str">
        <f t="shared" si="13"/>
        <v>Nick Blocksidge</v>
      </c>
    </row>
    <row r="46" spans="2:36" ht="13.8" thickBot="1" x14ac:dyDescent="0.3">
      <c r="B46" s="233"/>
      <c r="C46" s="233" t="str">
        <f>Picks!B46</f>
        <v>Southampton</v>
      </c>
      <c r="D46" s="234" t="str">
        <f>Picks!C46</f>
        <v>15/8</v>
      </c>
      <c r="E46" s="234">
        <f>Picks!D46</f>
        <v>2.875</v>
      </c>
      <c r="F46" s="276">
        <v>1</v>
      </c>
      <c r="G46" s="233">
        <f>Picks!M46</f>
        <v>0</v>
      </c>
      <c r="H46" s="234">
        <f t="shared" si="22"/>
        <v>0</v>
      </c>
      <c r="I46" s="273" t="str">
        <f t="shared" si="5"/>
        <v>Nigel Heyes</v>
      </c>
      <c r="J46" s="226">
        <f>H134</f>
        <v>1.1499999999999999</v>
      </c>
      <c r="K46" s="226">
        <f>H135</f>
        <v>0</v>
      </c>
      <c r="L46" s="226">
        <f>H136</f>
        <v>0</v>
      </c>
      <c r="M46" s="226">
        <f t="shared" si="20"/>
        <v>2.15</v>
      </c>
      <c r="N46" s="226">
        <f t="shared" si="21"/>
        <v>0</v>
      </c>
      <c r="O46" s="226">
        <f t="shared" si="3"/>
        <v>0</v>
      </c>
      <c r="P46" s="226">
        <f t="shared" si="6"/>
        <v>0</v>
      </c>
      <c r="Q46" s="226">
        <f t="shared" si="7"/>
        <v>0</v>
      </c>
      <c r="R46" s="226">
        <f t="shared" si="8"/>
        <v>0</v>
      </c>
      <c r="S46" s="226">
        <f t="shared" si="14"/>
        <v>0</v>
      </c>
      <c r="T46" s="226">
        <f t="shared" si="9"/>
        <v>-4.8499999999999996</v>
      </c>
      <c r="U46" s="225">
        <f>SUM(G134:G136)</f>
        <v>1</v>
      </c>
      <c r="V46" s="142" t="s">
        <v>356</v>
      </c>
      <c r="W46" s="227">
        <f>SUM(F134:F136)</f>
        <v>3</v>
      </c>
      <c r="X46" s="229">
        <f t="shared" si="23"/>
        <v>1.875</v>
      </c>
      <c r="Y46" s="226">
        <f>X134</f>
        <v>1.1499999999999999</v>
      </c>
      <c r="Z46" s="226">
        <f>X135</f>
        <v>2.5</v>
      </c>
      <c r="AA46" s="226">
        <f>X136</f>
        <v>1.7999999999999998</v>
      </c>
      <c r="AB46" s="226">
        <f t="shared" si="10"/>
        <v>2.15</v>
      </c>
      <c r="AC46" s="236">
        <f t="shared" si="11"/>
        <v>3.5</v>
      </c>
      <c r="AD46" s="226">
        <f t="shared" si="12"/>
        <v>2.8</v>
      </c>
      <c r="AE46" s="226">
        <f t="shared" si="15"/>
        <v>7.5250000000000004</v>
      </c>
      <c r="AF46" s="226">
        <f t="shared" si="16"/>
        <v>9.7999999999999989</v>
      </c>
      <c r="AG46" s="226">
        <f t="shared" si="17"/>
        <v>6.02</v>
      </c>
      <c r="AH46" s="226">
        <f t="shared" si="18"/>
        <v>21.07</v>
      </c>
      <c r="AI46" s="226">
        <f t="shared" si="19"/>
        <v>45.864999999999995</v>
      </c>
      <c r="AJ46" s="274" t="str">
        <f t="shared" si="13"/>
        <v>Nigel Heyes</v>
      </c>
    </row>
    <row r="47" spans="2:36" x14ac:dyDescent="0.25">
      <c r="B47" s="231" t="str">
        <f>$V17</f>
        <v>Dan Baxter</v>
      </c>
      <c r="C47" s="231" t="str">
        <f>Picks!B47</f>
        <v>Everton draw</v>
      </c>
      <c r="D47" s="232" t="str">
        <f>Picks!C47</f>
        <v>3/1</v>
      </c>
      <c r="E47" s="229">
        <f>Picks!D47</f>
        <v>4</v>
      </c>
      <c r="F47" s="230">
        <v>1</v>
      </c>
      <c r="G47" s="228">
        <f>Picks!M47</f>
        <v>0</v>
      </c>
      <c r="H47" s="229">
        <f t="shared" si="22"/>
        <v>0</v>
      </c>
      <c r="I47" s="273" t="str">
        <f t="shared" si="5"/>
        <v>Oscar Jackson</v>
      </c>
      <c r="J47" s="226">
        <f>H137</f>
        <v>0</v>
      </c>
      <c r="K47" s="226">
        <f>H138</f>
        <v>0</v>
      </c>
      <c r="L47" s="226">
        <f>H139</f>
        <v>0</v>
      </c>
      <c r="M47" s="226">
        <f t="shared" si="20"/>
        <v>0</v>
      </c>
      <c r="N47" s="226">
        <f t="shared" si="21"/>
        <v>0</v>
      </c>
      <c r="O47" s="226">
        <f t="shared" si="3"/>
        <v>0</v>
      </c>
      <c r="P47" s="226">
        <f t="shared" si="6"/>
        <v>0</v>
      </c>
      <c r="Q47" s="226">
        <f t="shared" si="7"/>
        <v>0</v>
      </c>
      <c r="R47" s="226">
        <f t="shared" si="8"/>
        <v>0</v>
      </c>
      <c r="S47" s="226">
        <f t="shared" si="14"/>
        <v>0</v>
      </c>
      <c r="T47" s="226">
        <f t="shared" si="9"/>
        <v>-7</v>
      </c>
      <c r="U47" s="225">
        <f>SUM(G137:G139)</f>
        <v>0</v>
      </c>
      <c r="V47" s="139" t="s">
        <v>340</v>
      </c>
      <c r="W47" s="227">
        <f>SUM(F137:F139)</f>
        <v>3</v>
      </c>
      <c r="X47" s="229">
        <f t="shared" si="23"/>
        <v>3</v>
      </c>
      <c r="Y47" s="226">
        <f>X137</f>
        <v>2.8</v>
      </c>
      <c r="Z47" s="226">
        <f>X138</f>
        <v>1.7999999999999998</v>
      </c>
      <c r="AA47" s="226">
        <f>X139</f>
        <v>9</v>
      </c>
      <c r="AB47" s="226">
        <f t="shared" si="10"/>
        <v>3.8</v>
      </c>
      <c r="AC47" s="236">
        <f t="shared" si="11"/>
        <v>2.8</v>
      </c>
      <c r="AD47" s="226">
        <f t="shared" si="12"/>
        <v>10</v>
      </c>
      <c r="AE47" s="226">
        <f t="shared" si="15"/>
        <v>10.639999999999999</v>
      </c>
      <c r="AF47" s="226">
        <f t="shared" si="16"/>
        <v>28</v>
      </c>
      <c r="AG47" s="226">
        <f t="shared" si="17"/>
        <v>38</v>
      </c>
      <c r="AH47" s="226">
        <f t="shared" si="18"/>
        <v>106.39999999999999</v>
      </c>
      <c r="AI47" s="226">
        <f t="shared" si="19"/>
        <v>192.64</v>
      </c>
      <c r="AJ47" s="274" t="str">
        <f t="shared" si="13"/>
        <v>Oscar Jackson</v>
      </c>
    </row>
    <row r="48" spans="2:36" x14ac:dyDescent="0.25">
      <c r="B48" s="228"/>
      <c r="C48" s="228" t="str">
        <f>Picks!B48</f>
        <v>Bournemouth</v>
      </c>
      <c r="D48" s="229" t="str">
        <f>Picks!C48</f>
        <v>17/5</v>
      </c>
      <c r="E48" s="229">
        <f>Picks!D48</f>
        <v>4.4000000000000004</v>
      </c>
      <c r="F48" s="230">
        <v>1</v>
      </c>
      <c r="G48" s="228">
        <f>Picks!M48</f>
        <v>1</v>
      </c>
      <c r="H48" s="229">
        <f t="shared" si="22"/>
        <v>3.4000000000000004</v>
      </c>
      <c r="I48" s="273" t="str">
        <f t="shared" si="5"/>
        <v>Paul Adderley</v>
      </c>
      <c r="J48" s="226">
        <f>H140</f>
        <v>0</v>
      </c>
      <c r="K48" s="226">
        <f>H141</f>
        <v>0</v>
      </c>
      <c r="L48" s="226">
        <f>H142</f>
        <v>0</v>
      </c>
      <c r="M48" s="226">
        <f t="shared" si="20"/>
        <v>0</v>
      </c>
      <c r="N48" s="226">
        <f t="shared" si="21"/>
        <v>0</v>
      </c>
      <c r="O48" s="226">
        <f t="shared" si="3"/>
        <v>0</v>
      </c>
      <c r="P48" s="226">
        <f t="shared" si="6"/>
        <v>0</v>
      </c>
      <c r="Q48" s="226">
        <f t="shared" si="7"/>
        <v>0</v>
      </c>
      <c r="R48" s="226">
        <f t="shared" si="8"/>
        <v>0</v>
      </c>
      <c r="S48" s="226">
        <f t="shared" si="14"/>
        <v>0</v>
      </c>
      <c r="T48" s="226">
        <f t="shared" si="9"/>
        <v>-7</v>
      </c>
      <c r="U48" s="225">
        <f>SUM(G140:G142)</f>
        <v>0</v>
      </c>
      <c r="V48" s="143" t="s">
        <v>334</v>
      </c>
      <c r="W48" s="227">
        <f>SUM(F140:F142)</f>
        <v>3</v>
      </c>
      <c r="X48" s="229">
        <f t="shared" si="23"/>
        <v>3.4000000000000004</v>
      </c>
      <c r="Y48" s="226">
        <f>X140</f>
        <v>9</v>
      </c>
      <c r="Z48" s="226">
        <f>X141</f>
        <v>7.5</v>
      </c>
      <c r="AA48" s="226">
        <f>X142</f>
        <v>8.5</v>
      </c>
      <c r="AB48" s="226">
        <f t="shared" si="10"/>
        <v>10</v>
      </c>
      <c r="AC48" s="236">
        <f t="shared" si="11"/>
        <v>8.5</v>
      </c>
      <c r="AD48" s="226">
        <f t="shared" si="12"/>
        <v>9.5</v>
      </c>
      <c r="AE48" s="226">
        <f t="shared" si="15"/>
        <v>85</v>
      </c>
      <c r="AF48" s="226">
        <f t="shared" si="16"/>
        <v>80.75</v>
      </c>
      <c r="AG48" s="226">
        <f t="shared" si="17"/>
        <v>95</v>
      </c>
      <c r="AH48" s="226">
        <f t="shared" si="18"/>
        <v>807.5</v>
      </c>
      <c r="AI48" s="226">
        <f t="shared" si="19"/>
        <v>1089.25</v>
      </c>
      <c r="AJ48" s="274" t="str">
        <f t="shared" si="13"/>
        <v>Paul Adderley</v>
      </c>
    </row>
    <row r="49" spans="2:36" ht="13.8" thickBot="1" x14ac:dyDescent="0.3">
      <c r="B49" s="233"/>
      <c r="C49" s="233" t="str">
        <f>Picks!B49</f>
        <v>Newcastle</v>
      </c>
      <c r="D49" s="234" t="str">
        <f>Picks!C49</f>
        <v>9/1</v>
      </c>
      <c r="E49" s="234">
        <f>Picks!D49</f>
        <v>10</v>
      </c>
      <c r="F49" s="276">
        <v>1</v>
      </c>
      <c r="G49" s="233">
        <f>Picks!M49</f>
        <v>0</v>
      </c>
      <c r="H49" s="234">
        <f t="shared" si="22"/>
        <v>0</v>
      </c>
      <c r="I49" s="273" t="str">
        <f t="shared" si="5"/>
        <v>Paul Allen</v>
      </c>
      <c r="J49" s="226">
        <f>H143</f>
        <v>0.30000000000000004</v>
      </c>
      <c r="K49" s="226">
        <f>H144</f>
        <v>1.1499999999999999</v>
      </c>
      <c r="L49" s="226">
        <f>H145</f>
        <v>0</v>
      </c>
      <c r="M49" s="226">
        <f t="shared" si="20"/>
        <v>1.3</v>
      </c>
      <c r="N49" s="226">
        <f t="shared" si="21"/>
        <v>2.15</v>
      </c>
      <c r="O49" s="226">
        <f t="shared" si="3"/>
        <v>0</v>
      </c>
      <c r="P49" s="226">
        <f t="shared" si="6"/>
        <v>2.7949999999999999</v>
      </c>
      <c r="Q49" s="226">
        <f t="shared" si="7"/>
        <v>0</v>
      </c>
      <c r="R49" s="226">
        <f t="shared" si="8"/>
        <v>0</v>
      </c>
      <c r="S49" s="226">
        <f t="shared" si="14"/>
        <v>0</v>
      </c>
      <c r="T49" s="226">
        <f t="shared" si="9"/>
        <v>-0.75499999999999989</v>
      </c>
      <c r="U49" s="225">
        <f>SUM(G143:G145)</f>
        <v>2</v>
      </c>
      <c r="V49" s="139" t="s">
        <v>320</v>
      </c>
      <c r="W49" s="227">
        <f>SUM(F143:F145)</f>
        <v>3</v>
      </c>
      <c r="X49" s="229">
        <f t="shared" si="23"/>
        <v>9</v>
      </c>
      <c r="Y49" s="226">
        <f>X143</f>
        <v>0.30000000000000004</v>
      </c>
      <c r="Z49" s="226">
        <f>X144</f>
        <v>1.1499999999999999</v>
      </c>
      <c r="AA49" s="226">
        <f>X145</f>
        <v>0.35000000000000009</v>
      </c>
      <c r="AB49" s="226">
        <f t="shared" si="10"/>
        <v>1.3</v>
      </c>
      <c r="AC49" s="236">
        <f t="shared" si="11"/>
        <v>2.15</v>
      </c>
      <c r="AD49" s="226">
        <f t="shared" si="12"/>
        <v>1.35</v>
      </c>
      <c r="AE49" s="226">
        <f t="shared" si="15"/>
        <v>2.7949999999999999</v>
      </c>
      <c r="AF49" s="226">
        <f t="shared" si="16"/>
        <v>2.9024999999999999</v>
      </c>
      <c r="AG49" s="226">
        <f t="shared" si="17"/>
        <v>1.7550000000000001</v>
      </c>
      <c r="AH49" s="226">
        <f t="shared" si="18"/>
        <v>3.77325</v>
      </c>
      <c r="AI49" s="226">
        <f t="shared" si="19"/>
        <v>9.0257500000000022</v>
      </c>
      <c r="AJ49" s="274" t="str">
        <f t="shared" si="13"/>
        <v>Paul Allen</v>
      </c>
    </row>
    <row r="50" spans="2:36" x14ac:dyDescent="0.25">
      <c r="B50" s="232" t="str">
        <f>$V18</f>
        <v>Dave Bell</v>
      </c>
      <c r="C50" s="231" t="str">
        <f>Picks!B50</f>
        <v>Huddersfield</v>
      </c>
      <c r="D50" s="232" t="str">
        <f>Picks!C50</f>
        <v>9/1</v>
      </c>
      <c r="E50" s="229">
        <f>Picks!D50</f>
        <v>10</v>
      </c>
      <c r="F50" s="230">
        <v>1</v>
      </c>
      <c r="G50" s="228">
        <f>Picks!M50</f>
        <v>0</v>
      </c>
      <c r="H50" s="229">
        <f t="shared" si="22"/>
        <v>0</v>
      </c>
      <c r="I50" s="273" t="str">
        <f t="shared" si="5"/>
        <v>Paul Barnes</v>
      </c>
      <c r="J50" s="226">
        <f>H146</f>
        <v>3.4000000000000004</v>
      </c>
      <c r="K50" s="226">
        <f>H147</f>
        <v>0</v>
      </c>
      <c r="L50" s="226">
        <f>H148</f>
        <v>1.6</v>
      </c>
      <c r="M50" s="226">
        <f t="shared" si="20"/>
        <v>4.4000000000000004</v>
      </c>
      <c r="N50" s="226">
        <f t="shared" si="21"/>
        <v>0</v>
      </c>
      <c r="O50" s="226">
        <f t="shared" si="3"/>
        <v>2.6</v>
      </c>
      <c r="P50" s="226">
        <f t="shared" si="6"/>
        <v>0</v>
      </c>
      <c r="Q50" s="226">
        <f t="shared" si="7"/>
        <v>0</v>
      </c>
      <c r="R50" s="226">
        <f t="shared" si="8"/>
        <v>11.440000000000001</v>
      </c>
      <c r="S50" s="226">
        <f t="shared" si="14"/>
        <v>0</v>
      </c>
      <c r="T50" s="226">
        <f t="shared" si="9"/>
        <v>11.440000000000001</v>
      </c>
      <c r="U50" s="225">
        <f>SUM(G146:G148)</f>
        <v>2</v>
      </c>
      <c r="V50" s="139" t="s">
        <v>347</v>
      </c>
      <c r="W50" s="227">
        <f>SUM(F146:F148)</f>
        <v>3</v>
      </c>
      <c r="X50" s="229">
        <f t="shared" si="23"/>
        <v>9</v>
      </c>
      <c r="Y50" s="226">
        <f>X146</f>
        <v>3.4000000000000004</v>
      </c>
      <c r="Z50" s="226">
        <f>X147</f>
        <v>7.5</v>
      </c>
      <c r="AA50" s="226">
        <f>X148</f>
        <v>1.6</v>
      </c>
      <c r="AB50" s="226">
        <f t="shared" si="10"/>
        <v>4.4000000000000004</v>
      </c>
      <c r="AC50" s="236">
        <f t="shared" si="11"/>
        <v>8.5</v>
      </c>
      <c r="AD50" s="226">
        <f t="shared" si="12"/>
        <v>2.6</v>
      </c>
      <c r="AE50" s="226">
        <f t="shared" si="15"/>
        <v>37.4</v>
      </c>
      <c r="AF50" s="226">
        <f t="shared" si="16"/>
        <v>22.1</v>
      </c>
      <c r="AG50" s="226">
        <f t="shared" si="17"/>
        <v>11.440000000000001</v>
      </c>
      <c r="AH50" s="226">
        <f t="shared" si="18"/>
        <v>97.240000000000009</v>
      </c>
      <c r="AI50" s="226">
        <f t="shared" si="19"/>
        <v>176.68</v>
      </c>
      <c r="AJ50" s="274" t="str">
        <f t="shared" si="13"/>
        <v>Paul Barnes</v>
      </c>
    </row>
    <row r="51" spans="2:36" x14ac:dyDescent="0.25">
      <c r="B51" s="228"/>
      <c r="C51" s="228" t="str">
        <f>Picks!B51</f>
        <v>Watford</v>
      </c>
      <c r="D51" s="229" t="str">
        <f>Picks!C51</f>
        <v>15/2</v>
      </c>
      <c r="E51" s="229">
        <f>Picks!D51</f>
        <v>8.5</v>
      </c>
      <c r="F51" s="230">
        <v>1</v>
      </c>
      <c r="G51" s="228">
        <f>Picks!M51</f>
        <v>0</v>
      </c>
      <c r="H51" s="229">
        <f t="shared" si="22"/>
        <v>0</v>
      </c>
      <c r="I51" s="273" t="str">
        <f t="shared" si="5"/>
        <v>Paul Fairhurst</v>
      </c>
      <c r="J51" s="226">
        <f>H149</f>
        <v>0</v>
      </c>
      <c r="K51" s="226">
        <f>H150</f>
        <v>0</v>
      </c>
      <c r="L51" s="226">
        <f>H151</f>
        <v>2</v>
      </c>
      <c r="M51" s="226">
        <f t="shared" si="20"/>
        <v>0</v>
      </c>
      <c r="N51" s="226">
        <f t="shared" si="21"/>
        <v>0</v>
      </c>
      <c r="O51" s="226">
        <f t="shared" si="3"/>
        <v>3</v>
      </c>
      <c r="P51" s="226">
        <f t="shared" si="6"/>
        <v>0</v>
      </c>
      <c r="Q51" s="226">
        <f t="shared" si="7"/>
        <v>0</v>
      </c>
      <c r="R51" s="226">
        <f t="shared" si="8"/>
        <v>0</v>
      </c>
      <c r="S51" s="226">
        <f t="shared" si="14"/>
        <v>0</v>
      </c>
      <c r="T51" s="226">
        <f t="shared" si="9"/>
        <v>-4</v>
      </c>
      <c r="U51" s="225">
        <f>SUM(G149:G151)</f>
        <v>1</v>
      </c>
      <c r="V51" s="139" t="s">
        <v>352</v>
      </c>
      <c r="W51" s="227">
        <f>SUM(F149:F151)</f>
        <v>3</v>
      </c>
      <c r="X51" s="229">
        <f t="shared" si="23"/>
        <v>7.5</v>
      </c>
      <c r="Y51" s="226">
        <f>X149</f>
        <v>1.7999999999999998</v>
      </c>
      <c r="Z51" s="226">
        <f>X150</f>
        <v>0.35000000000000009</v>
      </c>
      <c r="AA51" s="226">
        <f>X151</f>
        <v>2</v>
      </c>
      <c r="AB51" s="226">
        <f t="shared" si="10"/>
        <v>2.8</v>
      </c>
      <c r="AC51" s="236">
        <f t="shared" si="11"/>
        <v>1.35</v>
      </c>
      <c r="AD51" s="226">
        <f t="shared" si="12"/>
        <v>3</v>
      </c>
      <c r="AE51" s="226">
        <f t="shared" si="15"/>
        <v>3.7800000000000002</v>
      </c>
      <c r="AF51" s="226">
        <f t="shared" si="16"/>
        <v>4.0500000000000007</v>
      </c>
      <c r="AG51" s="226">
        <f t="shared" si="17"/>
        <v>8.3999999999999986</v>
      </c>
      <c r="AH51" s="226">
        <f t="shared" si="18"/>
        <v>11.34</v>
      </c>
      <c r="AI51" s="226">
        <f t="shared" si="19"/>
        <v>27.72</v>
      </c>
      <c r="AJ51" s="274" t="str">
        <f t="shared" si="13"/>
        <v>Paul Fairhurst</v>
      </c>
    </row>
    <row r="52" spans="2:36" ht="13.8" thickBot="1" x14ac:dyDescent="0.3">
      <c r="B52" s="233"/>
      <c r="C52" s="233" t="str">
        <f>Picks!B52</f>
        <v>Brighton</v>
      </c>
      <c r="D52" s="234" t="str">
        <f>Picks!C52</f>
        <v>17/2</v>
      </c>
      <c r="E52" s="234">
        <f>Picks!D52</f>
        <v>9.5</v>
      </c>
      <c r="F52" s="276">
        <v>1</v>
      </c>
      <c r="G52" s="233">
        <f>Picks!M52</f>
        <v>0</v>
      </c>
      <c r="H52" s="234">
        <f t="shared" si="22"/>
        <v>0</v>
      </c>
      <c r="I52" s="273" t="str">
        <f t="shared" si="5"/>
        <v>Paul Fiddler</v>
      </c>
      <c r="J52" s="226">
        <f>H152</f>
        <v>0</v>
      </c>
      <c r="K52" s="226">
        <f>H153</f>
        <v>0</v>
      </c>
      <c r="L52" s="226">
        <f>H154</f>
        <v>0</v>
      </c>
      <c r="M52" s="226">
        <f t="shared" si="20"/>
        <v>0</v>
      </c>
      <c r="N52" s="226">
        <f t="shared" si="21"/>
        <v>0</v>
      </c>
      <c r="O52" s="226">
        <f t="shared" si="3"/>
        <v>0</v>
      </c>
      <c r="P52" s="226">
        <f t="shared" si="6"/>
        <v>0</v>
      </c>
      <c r="Q52" s="226">
        <f t="shared" si="7"/>
        <v>0</v>
      </c>
      <c r="R52" s="226">
        <f t="shared" si="8"/>
        <v>0</v>
      </c>
      <c r="S52" s="226">
        <f t="shared" si="14"/>
        <v>0</v>
      </c>
      <c r="T52" s="226">
        <f t="shared" si="9"/>
        <v>-7</v>
      </c>
      <c r="U52" s="225">
        <f>SUM(G152:G154)</f>
        <v>0</v>
      </c>
      <c r="V52" s="139" t="s">
        <v>325</v>
      </c>
      <c r="W52" s="227">
        <f>SUM(F152:F154)</f>
        <v>3</v>
      </c>
      <c r="X52" s="229">
        <f t="shared" si="23"/>
        <v>8.5</v>
      </c>
      <c r="Y52" s="226">
        <f>X152</f>
        <v>0.75</v>
      </c>
      <c r="Z52" s="226">
        <f>X153</f>
        <v>1.2000000000000002</v>
      </c>
      <c r="AA52" s="226">
        <f>X154</f>
        <v>1.0499999999999998</v>
      </c>
      <c r="AB52" s="226">
        <f t="shared" si="10"/>
        <v>1.75</v>
      </c>
      <c r="AC52" s="236">
        <f t="shared" si="11"/>
        <v>2.2000000000000002</v>
      </c>
      <c r="AD52" s="226">
        <f t="shared" si="12"/>
        <v>2.0499999999999998</v>
      </c>
      <c r="AE52" s="226">
        <f t="shared" si="15"/>
        <v>3.8500000000000005</v>
      </c>
      <c r="AF52" s="226">
        <f t="shared" si="16"/>
        <v>4.51</v>
      </c>
      <c r="AG52" s="226">
        <f t="shared" si="17"/>
        <v>3.5874999999999995</v>
      </c>
      <c r="AH52" s="226">
        <f t="shared" si="18"/>
        <v>7.8925000000000001</v>
      </c>
      <c r="AI52" s="226">
        <f t="shared" si="19"/>
        <v>18.840000000000003</v>
      </c>
      <c r="AJ52" s="274" t="str">
        <f t="shared" si="13"/>
        <v>Paul Fiddler</v>
      </c>
    </row>
    <row r="53" spans="2:36" x14ac:dyDescent="0.25">
      <c r="B53" s="228" t="str">
        <f>$V19</f>
        <v>Dave Orrell</v>
      </c>
      <c r="C53" s="228" t="str">
        <f>Picks!B53</f>
        <v>Macclesfield</v>
      </c>
      <c r="D53" s="229" t="str">
        <f>Picks!C53</f>
        <v>16/11</v>
      </c>
      <c r="E53" s="229">
        <f>Picks!D53</f>
        <v>2.4545454545454546</v>
      </c>
      <c r="F53" s="230">
        <v>1</v>
      </c>
      <c r="G53" s="228">
        <f>Picks!M53</f>
        <v>0</v>
      </c>
      <c r="H53" s="229">
        <f t="shared" si="22"/>
        <v>0</v>
      </c>
      <c r="I53" s="273" t="str">
        <f t="shared" si="5"/>
        <v>Paul Ridgeway</v>
      </c>
      <c r="J53" s="226">
        <f>H155</f>
        <v>0.44444444444444442</v>
      </c>
      <c r="K53" s="226">
        <f>H156</f>
        <v>0</v>
      </c>
      <c r="L53" s="226">
        <f>H157</f>
        <v>0.60000000000000009</v>
      </c>
      <c r="M53" s="226">
        <f t="shared" si="20"/>
        <v>1.4444444444444444</v>
      </c>
      <c r="N53" s="226">
        <f t="shared" si="21"/>
        <v>0</v>
      </c>
      <c r="O53" s="226">
        <f t="shared" si="3"/>
        <v>1.6</v>
      </c>
      <c r="P53" s="226">
        <f t="shared" si="6"/>
        <v>0</v>
      </c>
      <c r="Q53" s="226">
        <f t="shared" si="7"/>
        <v>0</v>
      </c>
      <c r="R53" s="226">
        <f t="shared" si="8"/>
        <v>2.3111111111111113</v>
      </c>
      <c r="S53" s="226">
        <f t="shared" si="14"/>
        <v>0</v>
      </c>
      <c r="T53" s="226">
        <f t="shared" si="9"/>
        <v>-1.6444444444444439</v>
      </c>
      <c r="U53" s="225">
        <f>SUM(G155:G157)</f>
        <v>2</v>
      </c>
      <c r="V53" s="139" t="s">
        <v>365</v>
      </c>
      <c r="W53" s="227">
        <f>SUM(F155:F157)</f>
        <v>3</v>
      </c>
      <c r="X53" s="229">
        <f t="shared" si="23"/>
        <v>1.4545454545454546</v>
      </c>
      <c r="Y53" s="226">
        <f>X155</f>
        <v>0.44444444444444442</v>
      </c>
      <c r="Z53" s="226">
        <f>X156</f>
        <v>0.75</v>
      </c>
      <c r="AA53" s="226">
        <f>X157</f>
        <v>0.60000000000000009</v>
      </c>
      <c r="AB53" s="226">
        <f t="shared" si="10"/>
        <v>1.4444444444444444</v>
      </c>
      <c r="AC53" s="236">
        <f t="shared" si="11"/>
        <v>1.75</v>
      </c>
      <c r="AD53" s="226">
        <f t="shared" si="12"/>
        <v>1.6</v>
      </c>
      <c r="AE53" s="226">
        <f t="shared" si="15"/>
        <v>2.5277777777777777</v>
      </c>
      <c r="AF53" s="226">
        <f t="shared" si="16"/>
        <v>2.8000000000000003</v>
      </c>
      <c r="AG53" s="226">
        <f t="shared" si="17"/>
        <v>2.3111111111111113</v>
      </c>
      <c r="AH53" s="226">
        <f t="shared" si="18"/>
        <v>4.0444444444444443</v>
      </c>
      <c r="AI53" s="226">
        <f t="shared" si="19"/>
        <v>9.4777777777777779</v>
      </c>
      <c r="AJ53" s="274" t="str">
        <f t="shared" si="13"/>
        <v>Paul Ridgeway</v>
      </c>
    </row>
    <row r="54" spans="2:36" x14ac:dyDescent="0.25">
      <c r="B54" s="228"/>
      <c r="C54" s="228" t="str">
        <f>Picks!B54</f>
        <v>Derby</v>
      </c>
      <c r="D54" s="229" t="str">
        <f>Picks!C54</f>
        <v>5/4</v>
      </c>
      <c r="E54" s="229">
        <f>Picks!D54</f>
        <v>2.25</v>
      </c>
      <c r="F54" s="230">
        <v>1</v>
      </c>
      <c r="G54" s="228">
        <f>Picks!M54</f>
        <v>1</v>
      </c>
      <c r="H54" s="229">
        <f t="shared" si="22"/>
        <v>1.25</v>
      </c>
      <c r="I54" s="273" t="str">
        <f t="shared" si="5"/>
        <v>Pete Baron</v>
      </c>
      <c r="J54" s="226">
        <f>H158</f>
        <v>0</v>
      </c>
      <c r="K54" s="226">
        <f>H159</f>
        <v>0</v>
      </c>
      <c r="L54" s="226">
        <f>H160</f>
        <v>2</v>
      </c>
      <c r="M54" s="226">
        <f t="shared" si="20"/>
        <v>0</v>
      </c>
      <c r="N54" s="226">
        <f t="shared" si="21"/>
        <v>0</v>
      </c>
      <c r="O54" s="226">
        <f t="shared" si="3"/>
        <v>3</v>
      </c>
      <c r="P54" s="226">
        <f t="shared" si="6"/>
        <v>0</v>
      </c>
      <c r="Q54" s="226">
        <f t="shared" si="7"/>
        <v>0</v>
      </c>
      <c r="R54" s="226">
        <f t="shared" si="8"/>
        <v>0</v>
      </c>
      <c r="S54" s="226">
        <f t="shared" si="14"/>
        <v>0</v>
      </c>
      <c r="T54" s="226">
        <f t="shared" si="9"/>
        <v>-4</v>
      </c>
      <c r="U54" s="225">
        <f>SUM(G158:G160)</f>
        <v>1</v>
      </c>
      <c r="V54" s="139" t="s">
        <v>360</v>
      </c>
      <c r="W54" s="227">
        <f>SUM(F158:F160)</f>
        <v>3</v>
      </c>
      <c r="X54" s="229">
        <f t="shared" si="23"/>
        <v>1.25</v>
      </c>
      <c r="Y54" s="226">
        <f>X158</f>
        <v>1.7999999999999998</v>
      </c>
      <c r="Z54" s="226">
        <f>X159</f>
        <v>2</v>
      </c>
      <c r="AA54" s="226">
        <f>X160</f>
        <v>2</v>
      </c>
      <c r="AB54" s="226">
        <f t="shared" si="10"/>
        <v>2.8</v>
      </c>
      <c r="AC54" s="236">
        <f t="shared" si="11"/>
        <v>3</v>
      </c>
      <c r="AD54" s="226">
        <f t="shared" si="12"/>
        <v>3</v>
      </c>
      <c r="AE54" s="226">
        <f t="shared" si="15"/>
        <v>8.3999999999999986</v>
      </c>
      <c r="AF54" s="226">
        <f t="shared" si="16"/>
        <v>9</v>
      </c>
      <c r="AG54" s="226">
        <f t="shared" si="17"/>
        <v>8.3999999999999986</v>
      </c>
      <c r="AH54" s="226">
        <f t="shared" si="18"/>
        <v>25.199999999999996</v>
      </c>
      <c r="AI54" s="226">
        <f t="shared" si="19"/>
        <v>52.79999999999999</v>
      </c>
      <c r="AJ54" s="274" t="str">
        <f t="shared" si="13"/>
        <v>Pete Baron</v>
      </c>
    </row>
    <row r="55" spans="2:36" ht="13.8" thickBot="1" x14ac:dyDescent="0.3">
      <c r="B55" s="233"/>
      <c r="C55" s="233" t="str">
        <f>Picks!B55</f>
        <v>Middlesbro</v>
      </c>
      <c r="D55" s="234" t="str">
        <f>Picks!C55</f>
        <v>11/13</v>
      </c>
      <c r="E55" s="234">
        <f>Picks!D55</f>
        <v>1.8461538461538463</v>
      </c>
      <c r="F55" s="276">
        <v>1</v>
      </c>
      <c r="G55" s="233">
        <f>Picks!M55</f>
        <v>1</v>
      </c>
      <c r="H55" s="234">
        <f t="shared" si="22"/>
        <v>0.84615384615384626</v>
      </c>
      <c r="I55" s="273" t="str">
        <f t="shared" si="5"/>
        <v>Phil Brown</v>
      </c>
      <c r="J55" s="226">
        <f>H161</f>
        <v>0</v>
      </c>
      <c r="K55" s="226">
        <f>H162</f>
        <v>1.375</v>
      </c>
      <c r="L55" s="226">
        <f>H163</f>
        <v>0</v>
      </c>
      <c r="M55" s="226">
        <f t="shared" si="20"/>
        <v>0</v>
      </c>
      <c r="N55" s="226">
        <f t="shared" si="21"/>
        <v>2.375</v>
      </c>
      <c r="O55" s="226">
        <f t="shared" si="3"/>
        <v>0</v>
      </c>
      <c r="P55" s="226">
        <f t="shared" si="6"/>
        <v>0</v>
      </c>
      <c r="Q55" s="226">
        <f t="shared" si="7"/>
        <v>0</v>
      </c>
      <c r="R55" s="226">
        <f t="shared" si="8"/>
        <v>0</v>
      </c>
      <c r="S55" s="226">
        <f t="shared" si="14"/>
        <v>0</v>
      </c>
      <c r="T55" s="226">
        <f t="shared" si="9"/>
        <v>-4.625</v>
      </c>
      <c r="U55" s="225">
        <f>SUM(G161:G163)</f>
        <v>1</v>
      </c>
      <c r="V55" s="139" t="s">
        <v>362</v>
      </c>
      <c r="W55" s="227">
        <f>SUM(F161:F163)</f>
        <v>3</v>
      </c>
      <c r="X55" s="229">
        <f t="shared" si="23"/>
        <v>0.84615384615384626</v>
      </c>
      <c r="Y55" s="226">
        <f>X161</f>
        <v>1.7999999999999998</v>
      </c>
      <c r="Z55" s="226">
        <f>X162</f>
        <v>1.375</v>
      </c>
      <c r="AA55" s="226">
        <f>X163</f>
        <v>1.75</v>
      </c>
      <c r="AB55" s="226">
        <f t="shared" si="10"/>
        <v>2.8</v>
      </c>
      <c r="AC55" s="236">
        <f t="shared" si="11"/>
        <v>2.375</v>
      </c>
      <c r="AD55" s="226">
        <f t="shared" si="12"/>
        <v>2.75</v>
      </c>
      <c r="AE55" s="226">
        <f t="shared" si="15"/>
        <v>6.6499999999999995</v>
      </c>
      <c r="AF55" s="226">
        <f t="shared" si="16"/>
        <v>6.53125</v>
      </c>
      <c r="AG55" s="226">
        <f t="shared" si="17"/>
        <v>7.6999999999999993</v>
      </c>
      <c r="AH55" s="226">
        <f t="shared" si="18"/>
        <v>18.287499999999998</v>
      </c>
      <c r="AI55" s="226">
        <f t="shared" si="19"/>
        <v>40.09375</v>
      </c>
      <c r="AJ55" s="274" t="str">
        <f t="shared" si="13"/>
        <v>Phil Brown</v>
      </c>
    </row>
    <row r="56" spans="2:36" x14ac:dyDescent="0.25">
      <c r="B56" s="228" t="str">
        <f>$V20</f>
        <v>David Dunn</v>
      </c>
      <c r="C56" s="228" t="str">
        <f>Picks!B56</f>
        <v>Cardiff</v>
      </c>
      <c r="D56" s="229" t="str">
        <f>Picks!C56</f>
        <v>9/5</v>
      </c>
      <c r="E56" s="229">
        <f>Picks!D56</f>
        <v>2.8</v>
      </c>
      <c r="F56" s="230">
        <v>1</v>
      </c>
      <c r="G56" s="228">
        <f>Picks!M56</f>
        <v>0</v>
      </c>
      <c r="H56" s="229">
        <f t="shared" si="22"/>
        <v>0</v>
      </c>
      <c r="I56" s="273" t="str">
        <f t="shared" si="5"/>
        <v>Phil Miller</v>
      </c>
      <c r="J56" s="226">
        <f>H164</f>
        <v>0.44444444444444442</v>
      </c>
      <c r="K56" s="226">
        <f>H165</f>
        <v>0</v>
      </c>
      <c r="L56" s="226">
        <f>H166</f>
        <v>0.5</v>
      </c>
      <c r="M56" s="226">
        <f t="shared" si="20"/>
        <v>1.4444444444444444</v>
      </c>
      <c r="N56" s="226">
        <f t="shared" si="21"/>
        <v>0</v>
      </c>
      <c r="O56" s="226">
        <f t="shared" si="3"/>
        <v>1.5</v>
      </c>
      <c r="P56" s="226">
        <f t="shared" si="6"/>
        <v>0</v>
      </c>
      <c r="Q56" s="226">
        <f t="shared" si="7"/>
        <v>0</v>
      </c>
      <c r="R56" s="226">
        <f t="shared" si="8"/>
        <v>2.1666666666666665</v>
      </c>
      <c r="S56" s="226">
        <f t="shared" si="14"/>
        <v>0</v>
      </c>
      <c r="T56" s="226">
        <f t="shared" si="9"/>
        <v>-1.8888888888888893</v>
      </c>
      <c r="U56" s="225">
        <f>SUM(G164:G166)</f>
        <v>2</v>
      </c>
      <c r="V56" s="139" t="s">
        <v>364</v>
      </c>
      <c r="W56" s="227">
        <f>SUM(F164:F166)</f>
        <v>3</v>
      </c>
      <c r="X56" s="229">
        <f t="shared" si="23"/>
        <v>1.7999999999999998</v>
      </c>
      <c r="Y56" s="226">
        <f>X164</f>
        <v>0.44444444444444442</v>
      </c>
      <c r="Z56" s="226">
        <f>X165</f>
        <v>0.69230769230769229</v>
      </c>
      <c r="AA56" s="236">
        <f>X166</f>
        <v>0.5</v>
      </c>
      <c r="AB56" s="226">
        <f t="shared" si="10"/>
        <v>1.4444444444444444</v>
      </c>
      <c r="AC56" s="236">
        <f t="shared" si="11"/>
        <v>1.6923076923076923</v>
      </c>
      <c r="AD56" s="226">
        <f t="shared" si="12"/>
        <v>1.5</v>
      </c>
      <c r="AE56" s="226">
        <f t="shared" si="15"/>
        <v>2.4444444444444446</v>
      </c>
      <c r="AF56" s="226">
        <f t="shared" si="16"/>
        <v>2.5384615384615383</v>
      </c>
      <c r="AG56" s="226">
        <f t="shared" si="17"/>
        <v>2.1666666666666665</v>
      </c>
      <c r="AH56" s="226">
        <f t="shared" si="18"/>
        <v>3.666666666666667</v>
      </c>
      <c r="AI56" s="226">
        <f t="shared" si="19"/>
        <v>8.4529914529914514</v>
      </c>
      <c r="AJ56" s="274" t="str">
        <f t="shared" si="13"/>
        <v>Phil Miller</v>
      </c>
    </row>
    <row r="57" spans="2:36" x14ac:dyDescent="0.25">
      <c r="B57" s="231"/>
      <c r="C57" s="231" t="str">
        <f>Picks!B57</f>
        <v>Liverpool</v>
      </c>
      <c r="D57" s="232" t="str">
        <f>Picks!C57</f>
        <v>1/3</v>
      </c>
      <c r="E57" s="229">
        <f>Picks!D57</f>
        <v>1.3333333333333333</v>
      </c>
      <c r="F57" s="230">
        <v>1</v>
      </c>
      <c r="G57" s="228">
        <f>Picks!M57</f>
        <v>1</v>
      </c>
      <c r="H57" s="229">
        <f t="shared" si="22"/>
        <v>0.33333333333333326</v>
      </c>
      <c r="I57" s="273" t="str">
        <f t="shared" si="5"/>
        <v>Rob England</v>
      </c>
      <c r="J57" s="226">
        <f>H167</f>
        <v>0</v>
      </c>
      <c r="K57" s="226">
        <f>H168</f>
        <v>0</v>
      </c>
      <c r="L57" s="226">
        <f>H169</f>
        <v>0.84615384615384626</v>
      </c>
      <c r="M57" s="226">
        <f t="shared" si="20"/>
        <v>0</v>
      </c>
      <c r="N57" s="226">
        <f t="shared" si="21"/>
        <v>0</v>
      </c>
      <c r="O57" s="226">
        <f t="shared" si="3"/>
        <v>1.8461538461538463</v>
      </c>
      <c r="P57" s="226">
        <f t="shared" si="6"/>
        <v>0</v>
      </c>
      <c r="Q57" s="226">
        <f t="shared" si="7"/>
        <v>0</v>
      </c>
      <c r="R57" s="226">
        <f t="shared" si="8"/>
        <v>0</v>
      </c>
      <c r="S57" s="226">
        <f t="shared" si="14"/>
        <v>0</v>
      </c>
      <c r="T57" s="226">
        <f t="shared" si="9"/>
        <v>-5.1538461538461533</v>
      </c>
      <c r="U57" s="225">
        <f>SUM(G167:G169)</f>
        <v>1</v>
      </c>
      <c r="V57" s="139" t="s">
        <v>351</v>
      </c>
      <c r="W57" s="227">
        <f>SUM(F167:F169)</f>
        <v>3</v>
      </c>
      <c r="X57" s="229">
        <f t="shared" si="23"/>
        <v>0.33333333333333326</v>
      </c>
      <c r="Y57" s="226">
        <f>X167</f>
        <v>0.5</v>
      </c>
      <c r="Z57" s="226">
        <f>X168</f>
        <v>1.1538461538461537</v>
      </c>
      <c r="AA57" s="226">
        <f>X169</f>
        <v>0.84615384615384626</v>
      </c>
      <c r="AB57" s="226">
        <f t="shared" si="10"/>
        <v>1.5</v>
      </c>
      <c r="AC57" s="236">
        <f t="shared" si="11"/>
        <v>2.1538461538461537</v>
      </c>
      <c r="AD57" s="226">
        <f t="shared" si="12"/>
        <v>1.8461538461538463</v>
      </c>
      <c r="AE57" s="226">
        <f t="shared" si="15"/>
        <v>3.2307692307692308</v>
      </c>
      <c r="AF57" s="226">
        <f t="shared" si="16"/>
        <v>3.9763313609467454</v>
      </c>
      <c r="AG57" s="226">
        <f t="shared" si="17"/>
        <v>2.7692307692307692</v>
      </c>
      <c r="AH57" s="226">
        <f t="shared" si="18"/>
        <v>5.9644970414201186</v>
      </c>
      <c r="AI57" s="226">
        <f t="shared" si="19"/>
        <v>14.440828402366861</v>
      </c>
      <c r="AJ57" s="274" t="str">
        <f t="shared" si="13"/>
        <v>Rob England</v>
      </c>
    </row>
    <row r="58" spans="2:36" ht="13.8" thickBot="1" x14ac:dyDescent="0.3">
      <c r="B58" s="233"/>
      <c r="C58" s="233" t="str">
        <f>Picks!B58</f>
        <v>West Ham</v>
      </c>
      <c r="D58" s="234" t="str">
        <f>Picks!C58</f>
        <v>11/8</v>
      </c>
      <c r="E58" s="234">
        <f>Picks!D58</f>
        <v>2.375</v>
      </c>
      <c r="F58" s="276">
        <v>1</v>
      </c>
      <c r="G58" s="233">
        <f>Picks!M58</f>
        <v>1</v>
      </c>
      <c r="H58" s="234">
        <f t="shared" si="22"/>
        <v>1.375</v>
      </c>
      <c r="I58" s="273" t="str">
        <f t="shared" si="5"/>
        <v>Sally Williams</v>
      </c>
      <c r="J58" s="226">
        <f>H170</f>
        <v>2.2000000000000002</v>
      </c>
      <c r="K58" s="226">
        <f>H171</f>
        <v>0</v>
      </c>
      <c r="L58" s="226">
        <f>H172</f>
        <v>0</v>
      </c>
      <c r="M58" s="226">
        <f t="shared" si="20"/>
        <v>3.2</v>
      </c>
      <c r="N58" s="226">
        <f t="shared" si="21"/>
        <v>0</v>
      </c>
      <c r="O58" s="226">
        <f t="shared" si="3"/>
        <v>0</v>
      </c>
      <c r="P58" s="226">
        <f t="shared" si="6"/>
        <v>0</v>
      </c>
      <c r="Q58" s="226">
        <f t="shared" si="7"/>
        <v>0</v>
      </c>
      <c r="R58" s="226">
        <f t="shared" si="8"/>
        <v>0</v>
      </c>
      <c r="S58" s="226">
        <f t="shared" si="14"/>
        <v>0</v>
      </c>
      <c r="T58" s="226">
        <f t="shared" si="9"/>
        <v>-3.8</v>
      </c>
      <c r="U58" s="225">
        <f>SUM(G170:G172)</f>
        <v>1</v>
      </c>
      <c r="V58" s="139" t="s">
        <v>333</v>
      </c>
      <c r="W58" s="227">
        <f>SUM(F170:F172)</f>
        <v>3</v>
      </c>
      <c r="X58" s="229">
        <f t="shared" si="23"/>
        <v>1.375</v>
      </c>
      <c r="Y58" s="226">
        <f>X170</f>
        <v>2.2000000000000002</v>
      </c>
      <c r="Z58" s="226">
        <f>X171</f>
        <v>1.7999999999999998</v>
      </c>
      <c r="AA58" s="226">
        <f>X172</f>
        <v>2.5</v>
      </c>
      <c r="AB58" s="226">
        <f t="shared" si="10"/>
        <v>3.2</v>
      </c>
      <c r="AC58" s="236">
        <f t="shared" si="11"/>
        <v>2.8</v>
      </c>
      <c r="AD58" s="226">
        <f t="shared" si="12"/>
        <v>3.5</v>
      </c>
      <c r="AE58" s="226">
        <f t="shared" si="15"/>
        <v>8.9600000000000009</v>
      </c>
      <c r="AF58" s="226">
        <f t="shared" si="16"/>
        <v>9.8000000000000007</v>
      </c>
      <c r="AG58" s="226">
        <f t="shared" si="17"/>
        <v>11.200000000000001</v>
      </c>
      <c r="AH58" s="226">
        <f t="shared" si="18"/>
        <v>31.360000000000003</v>
      </c>
      <c r="AI58" s="226">
        <f t="shared" si="19"/>
        <v>63.820000000000007</v>
      </c>
      <c r="AJ58" s="274" t="str">
        <f t="shared" si="13"/>
        <v>Sally Williams</v>
      </c>
    </row>
    <row r="59" spans="2:36" x14ac:dyDescent="0.25">
      <c r="B59" s="228" t="str">
        <f>$V21</f>
        <v>Gareth Fallows</v>
      </c>
      <c r="C59" s="228" t="str">
        <f>Picks!B59</f>
        <v>MK Dons</v>
      </c>
      <c r="D59" s="229" t="str">
        <f>Picks!C59</f>
        <v>6/5</v>
      </c>
      <c r="E59" s="229">
        <f>Picks!D59</f>
        <v>2.2000000000000002</v>
      </c>
      <c r="F59" s="230">
        <v>1</v>
      </c>
      <c r="G59" s="228">
        <f>Picks!M59</f>
        <v>1</v>
      </c>
      <c r="H59" s="229">
        <f t="shared" si="22"/>
        <v>1.2000000000000002</v>
      </c>
      <c r="I59" s="273" t="str">
        <f t="shared" si="5"/>
        <v>Simon Greenhalgh</v>
      </c>
      <c r="J59" s="226">
        <f>H173</f>
        <v>0</v>
      </c>
      <c r="K59" s="226">
        <f>H174</f>
        <v>0</v>
      </c>
      <c r="L59" s="226">
        <f>H175</f>
        <v>0</v>
      </c>
      <c r="M59" s="226">
        <f t="shared" si="20"/>
        <v>0</v>
      </c>
      <c r="N59" s="226">
        <f t="shared" si="21"/>
        <v>0</v>
      </c>
      <c r="O59" s="226">
        <f t="shared" si="3"/>
        <v>0</v>
      </c>
      <c r="P59" s="226">
        <f t="shared" si="6"/>
        <v>0</v>
      </c>
      <c r="Q59" s="226">
        <f t="shared" si="7"/>
        <v>0</v>
      </c>
      <c r="R59" s="226">
        <f t="shared" si="8"/>
        <v>0</v>
      </c>
      <c r="S59" s="226">
        <f t="shared" si="14"/>
        <v>0</v>
      </c>
      <c r="T59" s="226">
        <f t="shared" si="9"/>
        <v>-7</v>
      </c>
      <c r="U59" s="225">
        <f>SUM(G173:G175)</f>
        <v>0</v>
      </c>
      <c r="V59" s="139" t="s">
        <v>353</v>
      </c>
      <c r="W59" s="227">
        <f>SUM(F173:F175)</f>
        <v>3</v>
      </c>
      <c r="X59" s="229">
        <f t="shared" si="23"/>
        <v>1.2000000000000002</v>
      </c>
      <c r="Y59" s="226">
        <f>X173</f>
        <v>3</v>
      </c>
      <c r="Z59" s="226">
        <f>X174</f>
        <v>3.2</v>
      </c>
      <c r="AA59" s="226">
        <f>X175</f>
        <v>2.25</v>
      </c>
      <c r="AB59" s="226">
        <f t="shared" si="10"/>
        <v>4</v>
      </c>
      <c r="AC59" s="236">
        <f t="shared" si="11"/>
        <v>4.2</v>
      </c>
      <c r="AD59" s="226">
        <f t="shared" si="12"/>
        <v>3.25</v>
      </c>
      <c r="AE59" s="226">
        <f t="shared" si="15"/>
        <v>16.8</v>
      </c>
      <c r="AF59" s="226">
        <f t="shared" si="16"/>
        <v>13.650000000000002</v>
      </c>
      <c r="AG59" s="226">
        <f t="shared" si="17"/>
        <v>13</v>
      </c>
      <c r="AH59" s="226">
        <f t="shared" si="18"/>
        <v>54.600000000000009</v>
      </c>
      <c r="AI59" s="226">
        <f t="shared" si="19"/>
        <v>102.50000000000001</v>
      </c>
      <c r="AJ59" s="274" t="str">
        <f t="shared" si="13"/>
        <v>Simon Greenhalgh</v>
      </c>
    </row>
    <row r="60" spans="2:36" x14ac:dyDescent="0.25">
      <c r="B60" s="228"/>
      <c r="C60" s="228" t="str">
        <f>Picks!B60</f>
        <v>Macclesfield</v>
      </c>
      <c r="D60" s="229" t="str">
        <f>Picks!C60</f>
        <v>16/11</v>
      </c>
      <c r="E60" s="229">
        <f>Picks!D60</f>
        <v>2.4545454545454546</v>
      </c>
      <c r="F60" s="230">
        <v>1</v>
      </c>
      <c r="G60" s="228">
        <f>Picks!M60</f>
        <v>0</v>
      </c>
      <c r="H60" s="229">
        <f t="shared" si="22"/>
        <v>0</v>
      </c>
      <c r="I60" s="273" t="str">
        <f t="shared" si="5"/>
        <v>Ste Bentley</v>
      </c>
      <c r="J60" s="226">
        <f>H176</f>
        <v>1.375</v>
      </c>
      <c r="K60" s="226">
        <f>H177</f>
        <v>0.5</v>
      </c>
      <c r="L60" s="226">
        <f>H178</f>
        <v>1.2000000000000002</v>
      </c>
      <c r="M60" s="226">
        <f t="shared" si="20"/>
        <v>2.375</v>
      </c>
      <c r="N60" s="226">
        <f t="shared" si="21"/>
        <v>1.5</v>
      </c>
      <c r="O60" s="226">
        <f t="shared" si="3"/>
        <v>2.2000000000000002</v>
      </c>
      <c r="P60" s="226">
        <f t="shared" si="6"/>
        <v>3.5625</v>
      </c>
      <c r="Q60" s="226">
        <f t="shared" si="7"/>
        <v>3.3000000000000003</v>
      </c>
      <c r="R60" s="226">
        <f t="shared" si="8"/>
        <v>5.2250000000000005</v>
      </c>
      <c r="S60" s="226">
        <f t="shared" si="14"/>
        <v>7.8375000000000004</v>
      </c>
      <c r="T60" s="226">
        <f t="shared" si="9"/>
        <v>19</v>
      </c>
      <c r="U60" s="225">
        <f>SUM(G176:G178)</f>
        <v>3</v>
      </c>
      <c r="V60" s="143" t="s">
        <v>390</v>
      </c>
      <c r="W60" s="227">
        <f>SUM(F176:F178)</f>
        <v>3</v>
      </c>
      <c r="X60" s="229">
        <f t="shared" si="23"/>
        <v>1.4545454545454546</v>
      </c>
      <c r="Y60" s="226">
        <f>X176</f>
        <v>1.375</v>
      </c>
      <c r="Z60" s="226">
        <f>X177</f>
        <v>0.5</v>
      </c>
      <c r="AA60" s="226">
        <f>X178</f>
        <v>1.2000000000000002</v>
      </c>
      <c r="AB60" s="226">
        <f t="shared" si="10"/>
        <v>2.375</v>
      </c>
      <c r="AC60" s="236">
        <f t="shared" si="11"/>
        <v>1.5</v>
      </c>
      <c r="AD60" s="226">
        <f t="shared" si="12"/>
        <v>2.2000000000000002</v>
      </c>
      <c r="AE60" s="226">
        <f t="shared" si="15"/>
        <v>3.5625</v>
      </c>
      <c r="AF60" s="226">
        <f t="shared" si="16"/>
        <v>3.3000000000000003</v>
      </c>
      <c r="AG60" s="226">
        <f t="shared" si="17"/>
        <v>5.2250000000000005</v>
      </c>
      <c r="AH60" s="226">
        <f t="shared" si="18"/>
        <v>7.8375000000000004</v>
      </c>
      <c r="AI60" s="226">
        <f t="shared" si="19"/>
        <v>19</v>
      </c>
      <c r="AJ60" s="274" t="str">
        <f t="shared" si="13"/>
        <v>Ste Bentley</v>
      </c>
    </row>
    <row r="61" spans="2:36" ht="13.8" thickBot="1" x14ac:dyDescent="0.3">
      <c r="B61" s="233"/>
      <c r="C61" s="233" t="str">
        <f>Picks!B61</f>
        <v>Lincoln</v>
      </c>
      <c r="D61" s="234" t="str">
        <f>Picks!C61</f>
        <v>5/4</v>
      </c>
      <c r="E61" s="234">
        <f>Picks!D61</f>
        <v>2.25</v>
      </c>
      <c r="F61" s="276">
        <v>1</v>
      </c>
      <c r="G61" s="233">
        <f>Picks!M61</f>
        <v>0</v>
      </c>
      <c r="H61" s="234">
        <f t="shared" si="22"/>
        <v>0</v>
      </c>
      <c r="I61" s="273" t="str">
        <f t="shared" si="5"/>
        <v>Stephen Barr</v>
      </c>
      <c r="J61" s="226">
        <f>H179</f>
        <v>0</v>
      </c>
      <c r="K61" s="226">
        <f>H180</f>
        <v>0</v>
      </c>
      <c r="L61" s="226">
        <f>H181</f>
        <v>0</v>
      </c>
      <c r="M61" s="226">
        <f t="shared" si="20"/>
        <v>0</v>
      </c>
      <c r="N61" s="226">
        <f t="shared" si="21"/>
        <v>0</v>
      </c>
      <c r="O61" s="226">
        <f t="shared" si="3"/>
        <v>0</v>
      </c>
      <c r="P61" s="226">
        <f t="shared" si="6"/>
        <v>0</v>
      </c>
      <c r="Q61" s="226">
        <f t="shared" si="7"/>
        <v>0</v>
      </c>
      <c r="R61" s="226">
        <f t="shared" si="8"/>
        <v>0</v>
      </c>
      <c r="S61" s="226">
        <f t="shared" si="14"/>
        <v>0</v>
      </c>
      <c r="T61" s="226">
        <f t="shared" si="9"/>
        <v>-7</v>
      </c>
      <c r="U61" s="225">
        <f>SUM(G179:G181)</f>
        <v>0</v>
      </c>
      <c r="V61" s="139" t="s">
        <v>321</v>
      </c>
      <c r="W61" s="227">
        <f>SUM(F179:F181)</f>
        <v>3</v>
      </c>
      <c r="X61" s="229">
        <f t="shared" si="23"/>
        <v>1.25</v>
      </c>
      <c r="Y61" s="226">
        <f>X179</f>
        <v>0.75</v>
      </c>
      <c r="Z61" s="226">
        <f>X180</f>
        <v>5.5</v>
      </c>
      <c r="AA61" s="226">
        <f>X181</f>
        <v>9</v>
      </c>
      <c r="AB61" s="226">
        <f t="shared" si="10"/>
        <v>1.75</v>
      </c>
      <c r="AC61" s="236">
        <f t="shared" si="11"/>
        <v>6.5</v>
      </c>
      <c r="AD61" s="226">
        <f t="shared" si="12"/>
        <v>10</v>
      </c>
      <c r="AE61" s="226">
        <f t="shared" si="15"/>
        <v>11.375</v>
      </c>
      <c r="AF61" s="226">
        <f t="shared" si="16"/>
        <v>65</v>
      </c>
      <c r="AG61" s="226">
        <f t="shared" si="17"/>
        <v>17.5</v>
      </c>
      <c r="AH61" s="226">
        <f t="shared" si="18"/>
        <v>113.75</v>
      </c>
      <c r="AI61" s="226">
        <f t="shared" si="19"/>
        <v>218.875</v>
      </c>
      <c r="AJ61" s="274" t="str">
        <f t="shared" si="13"/>
        <v>Stephen Barr</v>
      </c>
    </row>
    <row r="62" spans="2:36" x14ac:dyDescent="0.25">
      <c r="B62" s="232" t="str">
        <f>$V22</f>
        <v>Gareth Powell</v>
      </c>
      <c r="C62" s="231" t="str">
        <f>Picks!B62</f>
        <v>Man U</v>
      </c>
      <c r="D62" s="232" t="str">
        <f>Picks!C62</f>
        <v>3/10</v>
      </c>
      <c r="E62" s="229">
        <f>Picks!D62</f>
        <v>1.3</v>
      </c>
      <c r="F62" s="230">
        <v>1</v>
      </c>
      <c r="G62" s="228">
        <f>Picks!M62</f>
        <v>0</v>
      </c>
      <c r="H62" s="229">
        <f t="shared" si="22"/>
        <v>0</v>
      </c>
      <c r="I62" s="273" t="str">
        <f t="shared" si="5"/>
        <v>Stephen Troop</v>
      </c>
      <c r="J62" s="226">
        <f>H182</f>
        <v>3.4000000000000004</v>
      </c>
      <c r="K62" s="226">
        <f>H183</f>
        <v>0.33333333333333326</v>
      </c>
      <c r="L62" s="226">
        <f>H184</f>
        <v>0.75</v>
      </c>
      <c r="M62" s="226">
        <f t="shared" si="20"/>
        <v>4.4000000000000004</v>
      </c>
      <c r="N62" s="226">
        <f t="shared" si="21"/>
        <v>1.3333333333333333</v>
      </c>
      <c r="O62" s="226">
        <f t="shared" si="3"/>
        <v>1.75</v>
      </c>
      <c r="P62" s="226">
        <f t="shared" si="6"/>
        <v>5.8666666666666671</v>
      </c>
      <c r="Q62" s="226">
        <f t="shared" si="7"/>
        <v>2.333333333333333</v>
      </c>
      <c r="R62" s="226">
        <f t="shared" si="8"/>
        <v>7.7000000000000011</v>
      </c>
      <c r="S62" s="226">
        <f t="shared" si="14"/>
        <v>10.266666666666667</v>
      </c>
      <c r="T62" s="226">
        <f t="shared" si="9"/>
        <v>26.65</v>
      </c>
      <c r="U62" s="225">
        <f>SUM(G182:G184)</f>
        <v>3</v>
      </c>
      <c r="V62" s="139" t="s">
        <v>368</v>
      </c>
      <c r="W62" s="227">
        <f>SUM(F182:F184)</f>
        <v>3</v>
      </c>
      <c r="X62" s="229">
        <f t="shared" si="23"/>
        <v>0.30000000000000004</v>
      </c>
      <c r="Y62" s="226">
        <f>X182</f>
        <v>3.4000000000000004</v>
      </c>
      <c r="Z62" s="226">
        <f>X183</f>
        <v>0.33333333333333326</v>
      </c>
      <c r="AA62" s="226">
        <f>X184</f>
        <v>0.75</v>
      </c>
      <c r="AB62" s="226">
        <f t="shared" si="10"/>
        <v>4.4000000000000004</v>
      </c>
      <c r="AC62" s="236">
        <f t="shared" si="11"/>
        <v>1.3333333333333333</v>
      </c>
      <c r="AD62" s="226">
        <f t="shared" si="12"/>
        <v>1.75</v>
      </c>
      <c r="AE62" s="226">
        <f t="shared" si="15"/>
        <v>5.8666666666666671</v>
      </c>
      <c r="AF62" s="226">
        <f t="shared" si="16"/>
        <v>2.333333333333333</v>
      </c>
      <c r="AG62" s="226">
        <f t="shared" si="17"/>
        <v>7.7000000000000011</v>
      </c>
      <c r="AH62" s="226">
        <f t="shared" si="18"/>
        <v>10.266666666666667</v>
      </c>
      <c r="AI62" s="226">
        <f t="shared" si="19"/>
        <v>26.65</v>
      </c>
      <c r="AJ62" s="274" t="str">
        <f t="shared" si="13"/>
        <v>Stephen Troop</v>
      </c>
    </row>
    <row r="63" spans="2:36" x14ac:dyDescent="0.25">
      <c r="B63" s="231"/>
      <c r="C63" s="231" t="str">
        <f>Picks!B63</f>
        <v>Chelsea</v>
      </c>
      <c r="D63" s="232" t="str">
        <f>Picks!C63</f>
        <v>4/9</v>
      </c>
      <c r="E63" s="229">
        <f>Picks!D63</f>
        <v>1.4444444444444444</v>
      </c>
      <c r="F63" s="230">
        <v>1</v>
      </c>
      <c r="G63" s="228">
        <f>Picks!M63</f>
        <v>1</v>
      </c>
      <c r="H63" s="229">
        <f t="shared" ref="H63:H91" si="24">+((E63-1)*G63*F63*A$2)</f>
        <v>0.44444444444444442</v>
      </c>
      <c r="I63" s="273" t="str">
        <f t="shared" si="5"/>
        <v>Steve Baxter</v>
      </c>
      <c r="J63" s="226">
        <f>H185</f>
        <v>0.33333333333333326</v>
      </c>
      <c r="K63" s="226">
        <f>H186</f>
        <v>0</v>
      </c>
      <c r="L63" s="226">
        <f>H187</f>
        <v>0</v>
      </c>
      <c r="M63" s="226">
        <f t="shared" si="20"/>
        <v>1.3333333333333333</v>
      </c>
      <c r="N63" s="226">
        <f t="shared" si="21"/>
        <v>0</v>
      </c>
      <c r="O63" s="226">
        <f t="shared" si="3"/>
        <v>0</v>
      </c>
      <c r="P63" s="226">
        <f t="shared" si="6"/>
        <v>0</v>
      </c>
      <c r="Q63" s="226">
        <f t="shared" si="7"/>
        <v>0</v>
      </c>
      <c r="R63" s="226">
        <f t="shared" si="8"/>
        <v>0</v>
      </c>
      <c r="S63" s="226">
        <f t="shared" si="14"/>
        <v>0</v>
      </c>
      <c r="T63" s="226">
        <f t="shared" si="9"/>
        <v>-5.666666666666667</v>
      </c>
      <c r="U63" s="225">
        <f>SUM(G185:G187)</f>
        <v>1</v>
      </c>
      <c r="V63" s="143" t="s">
        <v>348</v>
      </c>
      <c r="W63" s="227">
        <f>SUM(F185:F187)</f>
        <v>3</v>
      </c>
      <c r="X63" s="229">
        <f t="shared" si="23"/>
        <v>0.44444444444444442</v>
      </c>
      <c r="Y63" s="226">
        <f>X185</f>
        <v>0.33333333333333326</v>
      </c>
      <c r="Z63" s="226">
        <f>X186</f>
        <v>0.30000000000000004</v>
      </c>
      <c r="AA63" s="226">
        <f>X187</f>
        <v>0.35000000000000009</v>
      </c>
      <c r="AB63" s="226">
        <f t="shared" si="10"/>
        <v>1.3333333333333333</v>
      </c>
      <c r="AC63" s="236">
        <f t="shared" si="11"/>
        <v>1.3</v>
      </c>
      <c r="AD63" s="226">
        <f t="shared" si="12"/>
        <v>1.35</v>
      </c>
      <c r="AE63" s="226">
        <f t="shared" si="15"/>
        <v>1.7333333333333334</v>
      </c>
      <c r="AF63" s="226">
        <f t="shared" si="16"/>
        <v>1.7550000000000001</v>
      </c>
      <c r="AG63" s="226">
        <f t="shared" si="17"/>
        <v>1.8</v>
      </c>
      <c r="AH63" s="226">
        <f t="shared" si="18"/>
        <v>2.3400000000000003</v>
      </c>
      <c r="AI63" s="226">
        <f t="shared" si="19"/>
        <v>4.6116666666666664</v>
      </c>
      <c r="AJ63" s="274" t="str">
        <f t="shared" si="13"/>
        <v>Steve Baxter</v>
      </c>
    </row>
    <row r="64" spans="2:36" ht="13.8" thickBot="1" x14ac:dyDescent="0.3">
      <c r="B64" s="233"/>
      <c r="C64" s="233" t="str">
        <f>Picks!B64</f>
        <v>Wolves</v>
      </c>
      <c r="D64" s="234" t="str">
        <f>Picks!C64</f>
        <v>1/2</v>
      </c>
      <c r="E64" s="234">
        <f>Picks!D64</f>
        <v>1.5</v>
      </c>
      <c r="F64" s="276">
        <v>1</v>
      </c>
      <c r="G64" s="233">
        <f>Picks!M64</f>
        <v>1</v>
      </c>
      <c r="H64" s="234">
        <f t="shared" si="24"/>
        <v>0.5</v>
      </c>
      <c r="I64" s="273" t="str">
        <f t="shared" si="5"/>
        <v>Steve Carter</v>
      </c>
      <c r="J64" s="226">
        <f>H188</f>
        <v>0.60000000000000009</v>
      </c>
      <c r="K64" s="226">
        <f>H189</f>
        <v>0</v>
      </c>
      <c r="L64" s="226">
        <f>H190</f>
        <v>1.6</v>
      </c>
      <c r="M64" s="226">
        <f t="shared" si="20"/>
        <v>1.6</v>
      </c>
      <c r="N64" s="226">
        <f t="shared" si="21"/>
        <v>0</v>
      </c>
      <c r="O64" s="226">
        <f t="shared" si="3"/>
        <v>2.6</v>
      </c>
      <c r="P64" s="226">
        <f t="shared" si="6"/>
        <v>0</v>
      </c>
      <c r="Q64" s="226">
        <f t="shared" si="7"/>
        <v>0</v>
      </c>
      <c r="R64" s="226">
        <f t="shared" si="8"/>
        <v>4.16</v>
      </c>
      <c r="S64" s="226">
        <f t="shared" si="14"/>
        <v>0</v>
      </c>
      <c r="T64" s="226">
        <f t="shared" si="9"/>
        <v>1.3599999999999994</v>
      </c>
      <c r="U64" s="225">
        <f>SUM(G188:G190)</f>
        <v>2</v>
      </c>
      <c r="V64" s="139" t="s">
        <v>324</v>
      </c>
      <c r="W64" s="227">
        <f>SUM(F188:F190)</f>
        <v>3</v>
      </c>
      <c r="X64" s="229">
        <f t="shared" si="23"/>
        <v>0.5</v>
      </c>
      <c r="Y64" s="226">
        <f>X188</f>
        <v>0.60000000000000009</v>
      </c>
      <c r="Z64" s="226">
        <f>X189</f>
        <v>0.75</v>
      </c>
      <c r="AA64" s="226">
        <f>X190</f>
        <v>1.6</v>
      </c>
      <c r="AB64" s="226">
        <f t="shared" si="10"/>
        <v>1.6</v>
      </c>
      <c r="AC64" s="236">
        <f t="shared" si="11"/>
        <v>1.75</v>
      </c>
      <c r="AD64" s="226">
        <f t="shared" si="12"/>
        <v>2.6</v>
      </c>
      <c r="AE64" s="226">
        <f t="shared" si="15"/>
        <v>2.8000000000000003</v>
      </c>
      <c r="AF64" s="226">
        <f t="shared" si="16"/>
        <v>4.5500000000000007</v>
      </c>
      <c r="AG64" s="226">
        <f t="shared" si="17"/>
        <v>4.16</v>
      </c>
      <c r="AH64" s="226">
        <f t="shared" si="18"/>
        <v>7.2800000000000011</v>
      </c>
      <c r="AI64" s="226">
        <f t="shared" si="19"/>
        <v>17.740000000000002</v>
      </c>
      <c r="AJ64" s="274" t="str">
        <f t="shared" si="13"/>
        <v>Steve Carter</v>
      </c>
    </row>
    <row r="65" spans="2:36" x14ac:dyDescent="0.25">
      <c r="B65" s="228" t="str">
        <f>$V23</f>
        <v>Gerard Ventom</v>
      </c>
      <c r="C65" s="228" t="str">
        <f>Picks!B65</f>
        <v>Blackpool</v>
      </c>
      <c r="D65" s="229" t="str">
        <f>Picks!C65</f>
        <v>5/4</v>
      </c>
      <c r="E65" s="229">
        <f>Picks!D65</f>
        <v>2.25</v>
      </c>
      <c r="F65" s="230">
        <v>1</v>
      </c>
      <c r="G65" s="228">
        <f>Picks!M65</f>
        <v>0</v>
      </c>
      <c r="H65" s="229">
        <f t="shared" si="24"/>
        <v>0</v>
      </c>
      <c r="I65" s="273" t="str">
        <f t="shared" si="5"/>
        <v>Tom Robinson</v>
      </c>
      <c r="J65" s="226">
        <f>H191</f>
        <v>0.30000000000000004</v>
      </c>
      <c r="K65" s="226">
        <f>H192</f>
        <v>0</v>
      </c>
      <c r="L65" s="226">
        <f>H193</f>
        <v>2.25</v>
      </c>
      <c r="M65" s="226">
        <f t="shared" si="20"/>
        <v>1.3</v>
      </c>
      <c r="N65" s="226">
        <f t="shared" si="21"/>
        <v>0</v>
      </c>
      <c r="O65" s="226">
        <f t="shared" si="3"/>
        <v>3.25</v>
      </c>
      <c r="P65" s="226">
        <f t="shared" si="6"/>
        <v>0</v>
      </c>
      <c r="Q65" s="226">
        <f t="shared" si="7"/>
        <v>0</v>
      </c>
      <c r="R65" s="226">
        <f t="shared" si="8"/>
        <v>4.2249999999999996</v>
      </c>
      <c r="S65" s="226">
        <f t="shared" si="14"/>
        <v>0</v>
      </c>
      <c r="T65" s="226">
        <f t="shared" si="9"/>
        <v>1.7749999999999986</v>
      </c>
      <c r="U65" s="225">
        <f>SUM(G191:G193)</f>
        <v>2</v>
      </c>
      <c r="V65" s="143" t="s">
        <v>391</v>
      </c>
      <c r="W65" s="227">
        <f>SUM(F191:F193)</f>
        <v>3</v>
      </c>
      <c r="X65" s="229">
        <f t="shared" si="23"/>
        <v>1.25</v>
      </c>
      <c r="Y65" s="226">
        <f>X191</f>
        <v>0.30000000000000004</v>
      </c>
      <c r="Z65" s="226">
        <f>X192</f>
        <v>2.7</v>
      </c>
      <c r="AA65" s="226">
        <f>X193</f>
        <v>2.25</v>
      </c>
      <c r="AB65" s="226">
        <f t="shared" si="10"/>
        <v>1.3</v>
      </c>
      <c r="AC65" s="236">
        <f t="shared" si="11"/>
        <v>3.7</v>
      </c>
      <c r="AD65" s="226">
        <f t="shared" si="12"/>
        <v>3.25</v>
      </c>
      <c r="AE65" s="226">
        <f t="shared" si="15"/>
        <v>4.8100000000000005</v>
      </c>
      <c r="AF65" s="226">
        <f t="shared" si="16"/>
        <v>12.025000000000002</v>
      </c>
      <c r="AG65" s="226">
        <f t="shared" si="17"/>
        <v>4.2249999999999996</v>
      </c>
      <c r="AH65" s="226">
        <f t="shared" si="18"/>
        <v>15.632500000000002</v>
      </c>
      <c r="AI65" s="226">
        <f t="shared" si="19"/>
        <v>37.942500000000003</v>
      </c>
      <c r="AJ65" s="274" t="str">
        <f t="shared" si="13"/>
        <v>Tom Robinson</v>
      </c>
    </row>
    <row r="66" spans="2:36" x14ac:dyDescent="0.25">
      <c r="B66" s="228"/>
      <c r="C66" s="228" t="str">
        <f>Picks!B66</f>
        <v>Sunderland</v>
      </c>
      <c r="D66" s="229" t="str">
        <f>Picks!C66</f>
        <v>6/5</v>
      </c>
      <c r="E66" s="229">
        <f>Picks!D66</f>
        <v>2.2000000000000002</v>
      </c>
      <c r="F66" s="230">
        <v>1</v>
      </c>
      <c r="G66" s="228">
        <f>Picks!M66</f>
        <v>0</v>
      </c>
      <c r="H66" s="229">
        <f t="shared" si="24"/>
        <v>0</v>
      </c>
      <c r="I66" s="273" t="str">
        <f t="shared" si="5"/>
        <v>Vinny Topping</v>
      </c>
      <c r="J66" s="226">
        <f>H194</f>
        <v>0.60000000000000009</v>
      </c>
      <c r="K66" s="226">
        <f>H195</f>
        <v>0</v>
      </c>
      <c r="L66" s="226">
        <f>H196</f>
        <v>1.2999999999999998</v>
      </c>
      <c r="M66" s="226">
        <f t="shared" si="20"/>
        <v>1.6</v>
      </c>
      <c r="N66" s="226">
        <f t="shared" si="21"/>
        <v>0</v>
      </c>
      <c r="O66" s="226">
        <f t="shared" si="21"/>
        <v>2.2999999999999998</v>
      </c>
      <c r="P66" s="226">
        <f t="shared" si="6"/>
        <v>0</v>
      </c>
      <c r="Q66" s="226">
        <f t="shared" si="7"/>
        <v>0</v>
      </c>
      <c r="R66" s="226">
        <f t="shared" si="8"/>
        <v>3.6799999999999997</v>
      </c>
      <c r="S66" s="226">
        <f t="shared" si="14"/>
        <v>0</v>
      </c>
      <c r="T66" s="226">
        <f t="shared" si="9"/>
        <v>0.58000000000000007</v>
      </c>
      <c r="U66" s="225">
        <f>SUM(G194:G196)</f>
        <v>2</v>
      </c>
      <c r="V66" s="143" t="s">
        <v>346</v>
      </c>
      <c r="W66" s="227">
        <f>SUM(F194:F196)</f>
        <v>3</v>
      </c>
      <c r="X66" s="229">
        <f t="shared" ref="X66:X97" si="25">+((E66-1)*F66*A$2)</f>
        <v>1.2000000000000002</v>
      </c>
      <c r="Y66" s="226">
        <f>X194</f>
        <v>0.60000000000000009</v>
      </c>
      <c r="Z66" s="226">
        <f>X195</f>
        <v>2.25</v>
      </c>
      <c r="AA66" s="226">
        <f>X196</f>
        <v>1.2999999999999998</v>
      </c>
      <c r="AB66" s="226">
        <f t="shared" si="10"/>
        <v>1.6</v>
      </c>
      <c r="AC66" s="236">
        <f t="shared" si="11"/>
        <v>3.25</v>
      </c>
      <c r="AD66" s="226">
        <f t="shared" si="12"/>
        <v>2.2999999999999998</v>
      </c>
      <c r="AE66" s="226">
        <f t="shared" si="15"/>
        <v>5.2</v>
      </c>
      <c r="AF66" s="226">
        <f t="shared" si="16"/>
        <v>7.4749999999999996</v>
      </c>
      <c r="AG66" s="226">
        <f t="shared" si="17"/>
        <v>3.6799999999999997</v>
      </c>
      <c r="AH66" s="226">
        <f t="shared" si="18"/>
        <v>11.959999999999999</v>
      </c>
      <c r="AI66" s="226">
        <f t="shared" si="19"/>
        <v>28.464999999999996</v>
      </c>
      <c r="AJ66" s="274" t="str">
        <f t="shared" si="13"/>
        <v>Vinny Topping</v>
      </c>
    </row>
    <row r="67" spans="2:36" ht="13.8" thickBot="1" x14ac:dyDescent="0.3">
      <c r="B67" s="233"/>
      <c r="C67" s="233" t="str">
        <f>Picks!B67</f>
        <v>Lincoln</v>
      </c>
      <c r="D67" s="234" t="str">
        <f>Picks!C67</f>
        <v>5/4</v>
      </c>
      <c r="E67" s="234">
        <f>Picks!D67</f>
        <v>2.25</v>
      </c>
      <c r="F67" s="276">
        <v>1</v>
      </c>
      <c r="G67" s="233">
        <f>Picks!M67</f>
        <v>0</v>
      </c>
      <c r="H67" s="234">
        <f t="shared" si="24"/>
        <v>0</v>
      </c>
      <c r="I67" s="273" t="str">
        <f t="shared" ref="I67:I127" si="26">IF(V67="","",V67)</f>
        <v/>
      </c>
      <c r="X67" s="229">
        <f t="shared" si="25"/>
        <v>1.25</v>
      </c>
      <c r="AJ67" s="274"/>
    </row>
    <row r="68" spans="2:36" x14ac:dyDescent="0.25">
      <c r="B68" s="229" t="str">
        <f>$V24</f>
        <v>Graeme Holmes</v>
      </c>
      <c r="C68" s="228" t="str">
        <f>Picks!B68</f>
        <v>Newcastle</v>
      </c>
      <c r="D68" s="229" t="str">
        <f>Picks!C68</f>
        <v>9/1</v>
      </c>
      <c r="E68" s="229">
        <f>Picks!D68</f>
        <v>10</v>
      </c>
      <c r="F68" s="230">
        <v>1</v>
      </c>
      <c r="G68" s="228">
        <f>Picks!M68</f>
        <v>0</v>
      </c>
      <c r="H68" s="229">
        <f t="shared" si="24"/>
        <v>0</v>
      </c>
      <c r="I68" s="273" t="str">
        <f t="shared" si="26"/>
        <v/>
      </c>
      <c r="X68" s="229">
        <f t="shared" si="25"/>
        <v>9</v>
      </c>
      <c r="AJ68" s="274"/>
    </row>
    <row r="69" spans="2:36" x14ac:dyDescent="0.25">
      <c r="B69" s="228"/>
      <c r="C69" s="228" t="str">
        <f>Picks!B69</f>
        <v>Charlton</v>
      </c>
      <c r="D69" s="229" t="str">
        <f>Picks!C69</f>
        <v>3/4</v>
      </c>
      <c r="E69" s="229">
        <f>Picks!D69</f>
        <v>1.75</v>
      </c>
      <c r="F69" s="230">
        <v>1</v>
      </c>
      <c r="G69" s="228">
        <f>Picks!M69</f>
        <v>1</v>
      </c>
      <c r="H69" s="229">
        <f t="shared" si="24"/>
        <v>0.75</v>
      </c>
      <c r="I69" s="273" t="str">
        <f t="shared" si="26"/>
        <v/>
      </c>
      <c r="X69" s="229">
        <f t="shared" si="25"/>
        <v>0.75</v>
      </c>
      <c r="AJ69" s="274"/>
    </row>
    <row r="70" spans="2:36" ht="13.8" thickBot="1" x14ac:dyDescent="0.3">
      <c r="B70" s="233"/>
      <c r="C70" s="233" t="str">
        <f>Picks!B70</f>
        <v>Peterborough</v>
      </c>
      <c r="D70" s="234" t="str">
        <f>Picks!C70</f>
        <v>23/20</v>
      </c>
      <c r="E70" s="234">
        <f>Picks!D70</f>
        <v>2.15</v>
      </c>
      <c r="F70" s="276">
        <v>1</v>
      </c>
      <c r="G70" s="233">
        <f>Picks!M70</f>
        <v>1</v>
      </c>
      <c r="H70" s="234">
        <f t="shared" si="24"/>
        <v>1.1499999999999999</v>
      </c>
      <c r="I70" s="273" t="str">
        <f t="shared" si="26"/>
        <v/>
      </c>
      <c r="X70" s="229">
        <f t="shared" si="25"/>
        <v>1.1499999999999999</v>
      </c>
      <c r="AJ70" s="274"/>
    </row>
    <row r="71" spans="2:36" x14ac:dyDescent="0.25">
      <c r="B71" s="229" t="str">
        <f>$V25</f>
        <v>Graham Miller</v>
      </c>
      <c r="C71" s="228" t="str">
        <f>Picks!B71</f>
        <v>Bournemouth</v>
      </c>
      <c r="D71" s="229" t="str">
        <f>Picks!C71</f>
        <v>17/5</v>
      </c>
      <c r="E71" s="229">
        <f>Picks!D71</f>
        <v>4.4000000000000004</v>
      </c>
      <c r="F71" s="230">
        <v>1</v>
      </c>
      <c r="G71" s="228">
        <f>Picks!M71</f>
        <v>1</v>
      </c>
      <c r="H71" s="229">
        <f t="shared" si="24"/>
        <v>3.4000000000000004</v>
      </c>
      <c r="I71" s="273" t="str">
        <f t="shared" si="26"/>
        <v/>
      </c>
      <c r="X71" s="229">
        <f t="shared" si="25"/>
        <v>3.4000000000000004</v>
      </c>
      <c r="AJ71" s="274"/>
    </row>
    <row r="72" spans="2:36" x14ac:dyDescent="0.25">
      <c r="B72" s="228"/>
      <c r="C72" s="228" t="str">
        <f>Picks!B72</f>
        <v>Newcastle Draw</v>
      </c>
      <c r="D72" s="229" t="str">
        <f>Picks!C72</f>
        <v>4/1</v>
      </c>
      <c r="E72" s="229">
        <f>Picks!D72</f>
        <v>5</v>
      </c>
      <c r="F72" s="230">
        <v>1</v>
      </c>
      <c r="G72" s="228">
        <f>Picks!M72</f>
        <v>0</v>
      </c>
      <c r="H72" s="229">
        <f t="shared" si="24"/>
        <v>0</v>
      </c>
      <c r="I72" s="273" t="str">
        <f t="shared" si="26"/>
        <v/>
      </c>
      <c r="X72" s="229">
        <f t="shared" si="25"/>
        <v>4</v>
      </c>
      <c r="AJ72" s="274"/>
    </row>
    <row r="73" spans="2:36" ht="13.8" thickBot="1" x14ac:dyDescent="0.3">
      <c r="B73" s="233"/>
      <c r="C73" s="233" t="str">
        <f>Picks!B73</f>
        <v>Shrewsbury</v>
      </c>
      <c r="D73" s="234" t="str">
        <f>Picks!C73</f>
        <v>19/10</v>
      </c>
      <c r="E73" s="234">
        <f>Picks!D73</f>
        <v>2.9</v>
      </c>
      <c r="F73" s="276">
        <v>1</v>
      </c>
      <c r="G73" s="233">
        <f>Picks!M73</f>
        <v>0</v>
      </c>
      <c r="H73" s="234">
        <f t="shared" si="24"/>
        <v>0</v>
      </c>
      <c r="I73" s="273" t="str">
        <f t="shared" si="26"/>
        <v/>
      </c>
      <c r="X73" s="229">
        <f t="shared" si="25"/>
        <v>1.9</v>
      </c>
      <c r="AJ73" s="274"/>
    </row>
    <row r="74" spans="2:36" x14ac:dyDescent="0.25">
      <c r="B74" s="228" t="str">
        <f>$V26</f>
        <v>Howard Bradley</v>
      </c>
      <c r="C74" s="228" t="str">
        <f>Picks!B74</f>
        <v>Sheff W</v>
      </c>
      <c r="D74" s="229" t="str">
        <f>Picks!C74</f>
        <v>11/13</v>
      </c>
      <c r="E74" s="229">
        <f>Picks!D74</f>
        <v>1.8461538461538463</v>
      </c>
      <c r="F74" s="230">
        <v>1</v>
      </c>
      <c r="G74" s="228">
        <f>Picks!M74</f>
        <v>0</v>
      </c>
      <c r="H74" s="229">
        <f t="shared" si="24"/>
        <v>0</v>
      </c>
      <c r="I74" s="273" t="str">
        <f t="shared" si="26"/>
        <v/>
      </c>
      <c r="X74" s="229">
        <f t="shared" si="25"/>
        <v>0.84615384615384626</v>
      </c>
      <c r="AJ74" s="274"/>
    </row>
    <row r="75" spans="2:36" x14ac:dyDescent="0.25">
      <c r="B75" s="228"/>
      <c r="C75" s="228" t="str">
        <f>Picks!B75</f>
        <v>Stoke</v>
      </c>
      <c r="D75" s="229" t="str">
        <f>Picks!C75</f>
        <v>14/5</v>
      </c>
      <c r="E75" s="229">
        <f>Picks!D75</f>
        <v>3.8</v>
      </c>
      <c r="F75" s="230">
        <v>1</v>
      </c>
      <c r="G75" s="228">
        <f>Picks!M75</f>
        <v>0</v>
      </c>
      <c r="H75" s="229">
        <f t="shared" si="24"/>
        <v>0</v>
      </c>
      <c r="I75" s="273" t="str">
        <f t="shared" si="26"/>
        <v/>
      </c>
      <c r="X75" s="229">
        <f t="shared" si="25"/>
        <v>2.8</v>
      </c>
      <c r="AJ75" s="274"/>
    </row>
    <row r="76" spans="2:36" ht="13.8" thickBot="1" x14ac:dyDescent="0.3">
      <c r="B76" s="233"/>
      <c r="C76" s="233" t="str">
        <f>Picks!B76</f>
        <v>Villa draw</v>
      </c>
      <c r="D76" s="234" t="str">
        <f>Picks!C76</f>
        <v>13/5</v>
      </c>
      <c r="E76" s="234">
        <f>Picks!D76</f>
        <v>3.6</v>
      </c>
      <c r="F76" s="276">
        <v>1</v>
      </c>
      <c r="G76" s="233">
        <f>Picks!M76</f>
        <v>0</v>
      </c>
      <c r="H76" s="234">
        <f t="shared" si="24"/>
        <v>0</v>
      </c>
      <c r="I76" s="273" t="str">
        <f t="shared" si="26"/>
        <v/>
      </c>
      <c r="X76" s="229">
        <f t="shared" si="25"/>
        <v>2.6</v>
      </c>
    </row>
    <row r="77" spans="2:36" x14ac:dyDescent="0.25">
      <c r="B77" s="228" t="str">
        <f>$V27</f>
        <v>Ian Davies</v>
      </c>
      <c r="C77" s="228" t="str">
        <f>Picks!B77</f>
        <v>Charlton draw</v>
      </c>
      <c r="D77" s="229" t="str">
        <f>Picks!C77</f>
        <v>27/10</v>
      </c>
      <c r="E77" s="229">
        <f>Picks!D77</f>
        <v>3.7</v>
      </c>
      <c r="F77" s="230">
        <v>1</v>
      </c>
      <c r="G77" s="228">
        <f>Picks!M77</f>
        <v>0</v>
      </c>
      <c r="H77" s="229">
        <f t="shared" si="24"/>
        <v>0</v>
      </c>
      <c r="I77" s="273" t="str">
        <f t="shared" si="26"/>
        <v/>
      </c>
      <c r="X77" s="229">
        <f t="shared" si="25"/>
        <v>2.7</v>
      </c>
    </row>
    <row r="78" spans="2:36" x14ac:dyDescent="0.25">
      <c r="B78" s="228"/>
      <c r="C78" s="228" t="str">
        <f>Picks!B78</f>
        <v>Plymouth draw</v>
      </c>
      <c r="D78" s="229" t="str">
        <f>Picks!C78</f>
        <v>12/5</v>
      </c>
      <c r="E78" s="229">
        <f>Picks!D78</f>
        <v>3.4</v>
      </c>
      <c r="F78" s="230">
        <v>1</v>
      </c>
      <c r="G78" s="228">
        <f>Picks!M78</f>
        <v>0</v>
      </c>
      <c r="H78" s="229">
        <f t="shared" si="24"/>
        <v>0</v>
      </c>
      <c r="I78" s="273" t="str">
        <f t="shared" si="26"/>
        <v/>
      </c>
      <c r="X78" s="229">
        <f t="shared" si="25"/>
        <v>2.4</v>
      </c>
    </row>
    <row r="79" spans="2:36" ht="13.8" thickBot="1" x14ac:dyDescent="0.3">
      <c r="B79" s="233"/>
      <c r="C79" s="233" t="str">
        <f>Picks!B79</f>
        <v>Wycombe draw</v>
      </c>
      <c r="D79" s="234" t="str">
        <f>Picks!C79</f>
        <v>23/10</v>
      </c>
      <c r="E79" s="234">
        <f>Picks!D79</f>
        <v>3.3</v>
      </c>
      <c r="F79" s="276">
        <v>1</v>
      </c>
      <c r="G79" s="233">
        <f>Picks!M79</f>
        <v>0</v>
      </c>
      <c r="H79" s="234">
        <f t="shared" si="24"/>
        <v>0</v>
      </c>
      <c r="I79" s="273" t="str">
        <f t="shared" si="26"/>
        <v/>
      </c>
      <c r="X79" s="229">
        <f t="shared" si="25"/>
        <v>2.2999999999999998</v>
      </c>
    </row>
    <row r="80" spans="2:36" x14ac:dyDescent="0.25">
      <c r="B80" s="228" t="str">
        <f>$V28</f>
        <v>Jack Walsh</v>
      </c>
      <c r="C80" s="228" t="str">
        <f>Picks!B80</f>
        <v>Bournemouth</v>
      </c>
      <c r="D80" s="229" t="str">
        <f>Picks!C80</f>
        <v>17/5</v>
      </c>
      <c r="E80" s="229">
        <f>Picks!D80</f>
        <v>4.4000000000000004</v>
      </c>
      <c r="F80" s="230">
        <v>1</v>
      </c>
      <c r="G80" s="228">
        <f>Picks!M80</f>
        <v>1</v>
      </c>
      <c r="H80" s="229">
        <f t="shared" si="24"/>
        <v>3.4000000000000004</v>
      </c>
      <c r="I80" s="273" t="str">
        <f t="shared" si="26"/>
        <v/>
      </c>
      <c r="X80" s="229">
        <f t="shared" si="25"/>
        <v>3.4000000000000004</v>
      </c>
    </row>
    <row r="81" spans="2:24" x14ac:dyDescent="0.25">
      <c r="B81" s="228"/>
      <c r="C81" s="228" t="str">
        <f>Picks!B81</f>
        <v>Newcastle</v>
      </c>
      <c r="D81" s="229" t="str">
        <f>Picks!C81</f>
        <v>9/1</v>
      </c>
      <c r="E81" s="229">
        <f>Picks!D81</f>
        <v>10</v>
      </c>
      <c r="F81" s="230">
        <v>1</v>
      </c>
      <c r="G81" s="228">
        <f>Picks!M81</f>
        <v>0</v>
      </c>
      <c r="H81" s="229">
        <f t="shared" si="24"/>
        <v>0</v>
      </c>
      <c r="I81" s="273" t="str">
        <f t="shared" si="26"/>
        <v/>
      </c>
      <c r="X81" s="229">
        <f t="shared" si="25"/>
        <v>9</v>
      </c>
    </row>
    <row r="82" spans="2:24" ht="13.8" thickBot="1" x14ac:dyDescent="0.3">
      <c r="B82" s="233"/>
      <c r="C82" s="233" t="str">
        <f>Picks!B82</f>
        <v>Arsenal Draw</v>
      </c>
      <c r="D82" s="234" t="str">
        <f>Picks!C82</f>
        <v>19/5</v>
      </c>
      <c r="E82" s="234">
        <f>Picks!D82</f>
        <v>4.8</v>
      </c>
      <c r="F82" s="276">
        <v>1</v>
      </c>
      <c r="G82" s="233">
        <f>Picks!M82</f>
        <v>1</v>
      </c>
      <c r="H82" s="234">
        <f t="shared" si="24"/>
        <v>3.8</v>
      </c>
      <c r="I82" s="273" t="str">
        <f t="shared" si="26"/>
        <v/>
      </c>
      <c r="X82" s="229">
        <f t="shared" si="25"/>
        <v>3.8</v>
      </c>
    </row>
    <row r="83" spans="2:24" x14ac:dyDescent="0.25">
      <c r="B83" s="229" t="str">
        <f>$V29</f>
        <v>James Bell</v>
      </c>
      <c r="C83" s="228" t="str">
        <f>Picks!B83</f>
        <v>Ipswich draw</v>
      </c>
      <c r="D83" s="229" t="str">
        <f>Picks!C83</f>
        <v>37/13</v>
      </c>
      <c r="E83" s="229">
        <f>Picks!D83</f>
        <v>3.8461538461538463</v>
      </c>
      <c r="F83" s="230">
        <v>1</v>
      </c>
      <c r="G83" s="228">
        <f>Picks!M83</f>
        <v>0</v>
      </c>
      <c r="H83" s="229">
        <f t="shared" si="24"/>
        <v>0</v>
      </c>
      <c r="I83" s="273" t="str">
        <f t="shared" si="26"/>
        <v/>
      </c>
      <c r="X83" s="229">
        <f t="shared" si="25"/>
        <v>2.8461538461538463</v>
      </c>
    </row>
    <row r="84" spans="2:24" x14ac:dyDescent="0.25">
      <c r="B84" s="228"/>
      <c r="C84" s="228" t="str">
        <f>Picks!B84</f>
        <v>Chelsea draw</v>
      </c>
      <c r="D84" s="229" t="str">
        <f>Picks!C84</f>
        <v>17/4</v>
      </c>
      <c r="E84" s="229">
        <f>Picks!D84</f>
        <v>5.25</v>
      </c>
      <c r="F84" s="230">
        <v>1</v>
      </c>
      <c r="G84" s="228">
        <f>Picks!M84</f>
        <v>0</v>
      </c>
      <c r="H84" s="229">
        <f t="shared" si="24"/>
        <v>0</v>
      </c>
      <c r="I84" s="273" t="str">
        <f t="shared" si="26"/>
        <v/>
      </c>
      <c r="X84" s="229">
        <f t="shared" si="25"/>
        <v>4.25</v>
      </c>
    </row>
    <row r="85" spans="2:24" ht="13.8" thickBot="1" x14ac:dyDescent="0.3">
      <c r="B85" s="233"/>
      <c r="C85" s="233" t="str">
        <f>Picks!B85</f>
        <v>Burnley</v>
      </c>
      <c r="D85" s="234" t="str">
        <f>Picks!C85</f>
        <v>24/5</v>
      </c>
      <c r="E85" s="234">
        <f>Picks!D85</f>
        <v>5.8</v>
      </c>
      <c r="F85" s="276">
        <v>1</v>
      </c>
      <c r="G85" s="233">
        <f>Picks!M85</f>
        <v>0</v>
      </c>
      <c r="H85" s="234">
        <f t="shared" si="24"/>
        <v>0</v>
      </c>
      <c r="I85" s="273" t="str">
        <f t="shared" si="26"/>
        <v/>
      </c>
      <c r="X85" s="229">
        <f t="shared" si="25"/>
        <v>4.8</v>
      </c>
    </row>
    <row r="86" spans="2:24" x14ac:dyDescent="0.25">
      <c r="B86" s="229" t="str">
        <f>$V30</f>
        <v>John Brown</v>
      </c>
      <c r="C86" s="228" t="str">
        <f>Picks!B86</f>
        <v>Plymouth</v>
      </c>
      <c r="D86" s="229" t="str">
        <f>Picks!C86</f>
        <v>5/4</v>
      </c>
      <c r="E86" s="229">
        <f>Picks!D86</f>
        <v>2.25</v>
      </c>
      <c r="F86" s="230">
        <v>1</v>
      </c>
      <c r="G86" s="228">
        <f>Picks!M86</f>
        <v>1</v>
      </c>
      <c r="H86" s="229">
        <f t="shared" si="24"/>
        <v>1.25</v>
      </c>
      <c r="I86" s="273" t="str">
        <f t="shared" si="26"/>
        <v/>
      </c>
      <c r="X86" s="229">
        <f t="shared" si="25"/>
        <v>1.25</v>
      </c>
    </row>
    <row r="87" spans="2:24" x14ac:dyDescent="0.25">
      <c r="B87" s="228"/>
      <c r="C87" s="228" t="str">
        <f>Picks!B87</f>
        <v>MK Dons</v>
      </c>
      <c r="D87" s="229" t="str">
        <f>Picks!C87</f>
        <v>6/5</v>
      </c>
      <c r="E87" s="229">
        <f>Picks!D87</f>
        <v>2.2000000000000002</v>
      </c>
      <c r="F87" s="230">
        <v>1</v>
      </c>
      <c r="G87" s="228">
        <f>Picks!M87</f>
        <v>1</v>
      </c>
      <c r="H87" s="229">
        <f t="shared" si="24"/>
        <v>1.2000000000000002</v>
      </c>
      <c r="I87" s="273" t="str">
        <f t="shared" si="26"/>
        <v/>
      </c>
      <c r="X87" s="229">
        <f t="shared" si="25"/>
        <v>1.2000000000000002</v>
      </c>
    </row>
    <row r="88" spans="2:24" ht="13.8" thickBot="1" x14ac:dyDescent="0.3">
      <c r="B88" s="233"/>
      <c r="C88" s="233" t="str">
        <f>Picks!B88</f>
        <v>Shrewsbury</v>
      </c>
      <c r="D88" s="234" t="str">
        <f>Picks!C88</f>
        <v>19/10</v>
      </c>
      <c r="E88" s="234">
        <f>Picks!D88</f>
        <v>2.9</v>
      </c>
      <c r="F88" s="276">
        <v>1</v>
      </c>
      <c r="G88" s="233">
        <f>Picks!M88</f>
        <v>0</v>
      </c>
      <c r="H88" s="234">
        <f t="shared" si="24"/>
        <v>0</v>
      </c>
      <c r="I88" s="273" t="str">
        <f t="shared" si="26"/>
        <v/>
      </c>
      <c r="X88" s="229">
        <f t="shared" si="25"/>
        <v>1.9</v>
      </c>
    </row>
    <row r="89" spans="2:24" x14ac:dyDescent="0.25">
      <c r="B89" s="229" t="str">
        <f>$V31</f>
        <v>John Evans</v>
      </c>
      <c r="C89" s="228" t="str">
        <f>Picks!B89</f>
        <v>West Ham</v>
      </c>
      <c r="D89" s="229" t="str">
        <f>Picks!C89</f>
        <v>11/8</v>
      </c>
      <c r="E89" s="229">
        <f>Picks!D89</f>
        <v>2.375</v>
      </c>
      <c r="F89" s="230">
        <v>1</v>
      </c>
      <c r="G89" s="228">
        <f>Picks!M89</f>
        <v>1</v>
      </c>
      <c r="H89" s="229">
        <f t="shared" si="24"/>
        <v>1.375</v>
      </c>
      <c r="I89" s="273" t="str">
        <f t="shared" si="26"/>
        <v/>
      </c>
      <c r="X89" s="229">
        <f t="shared" si="25"/>
        <v>1.375</v>
      </c>
    </row>
    <row r="90" spans="2:24" x14ac:dyDescent="0.25">
      <c r="B90" s="228"/>
      <c r="C90" s="228" t="str">
        <f>Picks!B90</f>
        <v>Wycombe</v>
      </c>
      <c r="D90" s="229" t="str">
        <f>Picks!C90</f>
        <v>21/20</v>
      </c>
      <c r="E90" s="229">
        <f>Picks!D90</f>
        <v>2.0499999999999998</v>
      </c>
      <c r="F90" s="230">
        <v>1</v>
      </c>
      <c r="G90" s="228">
        <f>Picks!M90</f>
        <v>1</v>
      </c>
      <c r="H90" s="229">
        <f t="shared" si="24"/>
        <v>1.0499999999999998</v>
      </c>
      <c r="I90" s="273" t="str">
        <f t="shared" si="26"/>
        <v/>
      </c>
      <c r="X90" s="229">
        <f t="shared" si="25"/>
        <v>1.0499999999999998</v>
      </c>
    </row>
    <row r="91" spans="2:24" ht="13.8" thickBot="1" x14ac:dyDescent="0.3">
      <c r="B91" s="233"/>
      <c r="C91" s="233" t="str">
        <f>Picks!B91</f>
        <v>Wigan</v>
      </c>
      <c r="D91" s="234" t="str">
        <f>Picks!C91</f>
        <v>13/10</v>
      </c>
      <c r="E91" s="234">
        <f>Picks!D91</f>
        <v>2.2999999999999998</v>
      </c>
      <c r="F91" s="276">
        <v>1</v>
      </c>
      <c r="G91" s="233">
        <f>Picks!M91</f>
        <v>1</v>
      </c>
      <c r="H91" s="234">
        <f t="shared" si="24"/>
        <v>1.2999999999999998</v>
      </c>
      <c r="I91" s="273" t="str">
        <f t="shared" si="26"/>
        <v/>
      </c>
      <c r="X91" s="229">
        <f t="shared" si="25"/>
        <v>1.2999999999999998</v>
      </c>
    </row>
    <row r="92" spans="2:24" x14ac:dyDescent="0.25">
      <c r="B92" s="228" t="str">
        <f>$V32</f>
        <v>John Robinson</v>
      </c>
      <c r="C92" s="228" t="str">
        <f>Picks!B92</f>
        <v/>
      </c>
      <c r="D92" s="229" t="str">
        <f>Picks!C92</f>
        <v/>
      </c>
      <c r="E92" s="229" t="str">
        <f>Picks!D92</f>
        <v/>
      </c>
      <c r="F92" s="230">
        <v>1</v>
      </c>
      <c r="G92" s="228" t="e">
        <f>Picks!M92</f>
        <v>#N/A</v>
      </c>
      <c r="H92" s="229" t="e">
        <f t="shared" ref="H92:H120" si="27">+((E92-1)*G92*F92*A$2)</f>
        <v>#VALUE!</v>
      </c>
      <c r="I92" s="273" t="str">
        <f t="shared" si="26"/>
        <v/>
      </c>
      <c r="X92" s="229" t="e">
        <f t="shared" si="25"/>
        <v>#VALUE!</v>
      </c>
    </row>
    <row r="93" spans="2:24" x14ac:dyDescent="0.25">
      <c r="B93" s="228"/>
      <c r="C93" s="228" t="str">
        <f>Picks!B93</f>
        <v/>
      </c>
      <c r="D93" s="229" t="str">
        <f>Picks!C93</f>
        <v/>
      </c>
      <c r="E93" s="229" t="str">
        <f>Picks!D93</f>
        <v/>
      </c>
      <c r="F93" s="230">
        <v>1</v>
      </c>
      <c r="G93" s="228" t="e">
        <f>Picks!M93</f>
        <v>#N/A</v>
      </c>
      <c r="H93" s="229" t="e">
        <f t="shared" si="27"/>
        <v>#VALUE!</v>
      </c>
      <c r="I93" s="273" t="str">
        <f t="shared" si="26"/>
        <v/>
      </c>
      <c r="X93" s="229" t="e">
        <f t="shared" si="25"/>
        <v>#VALUE!</v>
      </c>
    </row>
    <row r="94" spans="2:24" ht="13.8" thickBot="1" x14ac:dyDescent="0.3">
      <c r="B94" s="233"/>
      <c r="C94" s="233" t="str">
        <f>Picks!B94</f>
        <v/>
      </c>
      <c r="D94" s="234" t="str">
        <f>Picks!C94</f>
        <v/>
      </c>
      <c r="E94" s="234" t="str">
        <f>Picks!D94</f>
        <v/>
      </c>
      <c r="F94" s="276">
        <v>1</v>
      </c>
      <c r="G94" s="233" t="e">
        <f>Picks!M94</f>
        <v>#N/A</v>
      </c>
      <c r="H94" s="234" t="e">
        <f t="shared" si="27"/>
        <v>#VALUE!</v>
      </c>
      <c r="I94" s="273" t="str">
        <f t="shared" si="26"/>
        <v/>
      </c>
      <c r="X94" s="229" t="e">
        <f t="shared" si="25"/>
        <v>#VALUE!</v>
      </c>
    </row>
    <row r="95" spans="2:24" x14ac:dyDescent="0.25">
      <c r="B95" s="229" t="str">
        <f>$V33</f>
        <v>John Ronan</v>
      </c>
      <c r="C95" s="228" t="str">
        <f>Picks!B95</f>
        <v>Crawley</v>
      </c>
      <c r="D95" s="229" t="str">
        <f>Picks!C95</f>
        <v>3/1</v>
      </c>
      <c r="E95" s="229">
        <f>Picks!D95</f>
        <v>4</v>
      </c>
      <c r="F95" s="230">
        <v>1</v>
      </c>
      <c r="G95" s="228">
        <f>Picks!M95</f>
        <v>1</v>
      </c>
      <c r="H95" s="229">
        <f t="shared" si="27"/>
        <v>3</v>
      </c>
      <c r="I95" s="273" t="str">
        <f t="shared" si="26"/>
        <v/>
      </c>
      <c r="X95" s="229">
        <f t="shared" si="25"/>
        <v>3</v>
      </c>
    </row>
    <row r="96" spans="2:24" x14ac:dyDescent="0.25">
      <c r="B96" s="235"/>
      <c r="C96" s="228" t="str">
        <f>Picks!B96</f>
        <v>Reading</v>
      </c>
      <c r="D96" s="229" t="str">
        <f>Picks!C96</f>
        <v>7/4</v>
      </c>
      <c r="E96" s="229">
        <f>Picks!D96</f>
        <v>2.75</v>
      </c>
      <c r="F96" s="230">
        <v>1</v>
      </c>
      <c r="G96" s="228">
        <f>Picks!M96</f>
        <v>0</v>
      </c>
      <c r="H96" s="229">
        <f t="shared" si="27"/>
        <v>0</v>
      </c>
      <c r="I96" s="273" t="str">
        <f t="shared" si="26"/>
        <v/>
      </c>
      <c r="X96" s="229">
        <f t="shared" si="25"/>
        <v>1.75</v>
      </c>
    </row>
    <row r="97" spans="2:24" ht="13.8" thickBot="1" x14ac:dyDescent="0.3">
      <c r="B97" s="233"/>
      <c r="C97" s="233" t="str">
        <f>Picks!B97</f>
        <v>Villa</v>
      </c>
      <c r="D97" s="234" t="str">
        <f>Picks!C97</f>
        <v>6/4</v>
      </c>
      <c r="E97" s="234">
        <f>Picks!D97</f>
        <v>2.5</v>
      </c>
      <c r="F97" s="276">
        <v>1</v>
      </c>
      <c r="G97" s="233">
        <f>Picks!M97</f>
        <v>0</v>
      </c>
      <c r="H97" s="234">
        <f t="shared" si="27"/>
        <v>0</v>
      </c>
      <c r="I97" s="273" t="str">
        <f t="shared" si="26"/>
        <v/>
      </c>
      <c r="X97" s="229">
        <f t="shared" si="25"/>
        <v>1.5</v>
      </c>
    </row>
    <row r="98" spans="2:24" x14ac:dyDescent="0.25">
      <c r="B98" s="228" t="str">
        <f>$V34</f>
        <v>Kei Lok Ma</v>
      </c>
      <c r="C98" s="228" t="str">
        <f>Picks!B98</f>
        <v>West Ham</v>
      </c>
      <c r="D98" s="229" t="str">
        <f>Picks!C98</f>
        <v>11/8</v>
      </c>
      <c r="E98" s="229">
        <f>Picks!D98</f>
        <v>2.375</v>
      </c>
      <c r="F98" s="230">
        <v>1</v>
      </c>
      <c r="G98" s="228">
        <f>Picks!M98</f>
        <v>1</v>
      </c>
      <c r="H98" s="229">
        <f t="shared" si="27"/>
        <v>1.375</v>
      </c>
      <c r="I98" s="273" t="str">
        <f t="shared" si="26"/>
        <v/>
      </c>
      <c r="X98" s="229">
        <f t="shared" ref="X98:X130" si="28">+((E98-1)*F98*A$2)</f>
        <v>1.375</v>
      </c>
    </row>
    <row r="99" spans="2:24" x14ac:dyDescent="0.25">
      <c r="B99" s="228"/>
      <c r="C99" s="228" t="str">
        <f>Picks!B99</f>
        <v>Cardiff draw</v>
      </c>
      <c r="D99" s="229" t="str">
        <f>Picks!C99</f>
        <v>9/4</v>
      </c>
      <c r="E99" s="229">
        <f>Picks!D99</f>
        <v>3.25</v>
      </c>
      <c r="F99" s="230">
        <v>1</v>
      </c>
      <c r="G99" s="228">
        <f>Picks!M99</f>
        <v>0</v>
      </c>
      <c r="H99" s="229">
        <f t="shared" si="27"/>
        <v>0</v>
      </c>
      <c r="I99" s="273" t="str">
        <f t="shared" si="26"/>
        <v/>
      </c>
      <c r="X99" s="229">
        <f t="shared" si="28"/>
        <v>2.25</v>
      </c>
    </row>
    <row r="100" spans="2:24" ht="13.8" thickBot="1" x14ac:dyDescent="0.3">
      <c r="B100" s="233"/>
      <c r="C100" s="233" t="str">
        <f>Picks!B100</f>
        <v>Chelsea draw</v>
      </c>
      <c r="D100" s="234" t="str">
        <f>Picks!C100</f>
        <v>17/4</v>
      </c>
      <c r="E100" s="234">
        <f>Picks!D100</f>
        <v>5.25</v>
      </c>
      <c r="F100" s="276">
        <v>1</v>
      </c>
      <c r="G100" s="233">
        <f>Picks!M100</f>
        <v>0</v>
      </c>
      <c r="H100" s="234">
        <f t="shared" si="27"/>
        <v>0</v>
      </c>
      <c r="I100" s="273" t="str">
        <f t="shared" si="26"/>
        <v/>
      </c>
      <c r="X100" s="229">
        <f t="shared" si="28"/>
        <v>4.25</v>
      </c>
    </row>
    <row r="101" spans="2:24" x14ac:dyDescent="0.25">
      <c r="B101" s="229" t="str">
        <f>$V35</f>
        <v>Kevin Carter</v>
      </c>
      <c r="C101" s="228" t="str">
        <f>Picks!B101</f>
        <v>Palace</v>
      </c>
      <c r="D101" s="229" t="str">
        <f>Picks!C101</f>
        <v>8/5</v>
      </c>
      <c r="E101" s="229">
        <f>Picks!D101</f>
        <v>2.6</v>
      </c>
      <c r="F101" s="230">
        <v>1</v>
      </c>
      <c r="G101" s="228">
        <f>Picks!M101</f>
        <v>1</v>
      </c>
      <c r="H101" s="229">
        <f t="shared" si="27"/>
        <v>1.6</v>
      </c>
      <c r="I101" s="273" t="str">
        <f t="shared" si="26"/>
        <v/>
      </c>
      <c r="X101" s="229">
        <f t="shared" si="28"/>
        <v>1.6</v>
      </c>
    </row>
    <row r="102" spans="2:24" x14ac:dyDescent="0.25">
      <c r="B102" s="228"/>
      <c r="C102" s="228" t="str">
        <f>Picks!B102</f>
        <v>Bournemouth</v>
      </c>
      <c r="D102" s="229" t="str">
        <f>Picks!C102</f>
        <v>17/5</v>
      </c>
      <c r="E102" s="229">
        <f>Picks!D102</f>
        <v>4.4000000000000004</v>
      </c>
      <c r="F102" s="230">
        <v>1</v>
      </c>
      <c r="G102" s="228">
        <f>Picks!M102</f>
        <v>1</v>
      </c>
      <c r="H102" s="229">
        <f t="shared" si="27"/>
        <v>3.4000000000000004</v>
      </c>
      <c r="I102" s="273" t="str">
        <f t="shared" si="26"/>
        <v/>
      </c>
      <c r="X102" s="229">
        <f t="shared" si="28"/>
        <v>3.4000000000000004</v>
      </c>
    </row>
    <row r="103" spans="2:24" ht="13.8" thickBot="1" x14ac:dyDescent="0.3">
      <c r="B103" s="233"/>
      <c r="C103" s="233" t="str">
        <f>Picks!B103</f>
        <v>Arsenal draw</v>
      </c>
      <c r="D103" s="234" t="str">
        <f>Picks!C103</f>
        <v>19/5</v>
      </c>
      <c r="E103" s="234">
        <f>Picks!D103</f>
        <v>4.8</v>
      </c>
      <c r="F103" s="276">
        <v>1</v>
      </c>
      <c r="G103" s="233">
        <f>Picks!M103</f>
        <v>1</v>
      </c>
      <c r="H103" s="234">
        <f t="shared" si="27"/>
        <v>3.8</v>
      </c>
      <c r="I103" s="273" t="str">
        <f t="shared" si="26"/>
        <v/>
      </c>
      <c r="X103" s="229">
        <f t="shared" si="28"/>
        <v>3.8</v>
      </c>
    </row>
    <row r="104" spans="2:24" x14ac:dyDescent="0.25">
      <c r="B104" s="229" t="str">
        <f>$V36</f>
        <v>Lennie Bow</v>
      </c>
      <c r="C104" s="228" t="str">
        <f>Picks!B104</f>
        <v>Charlton</v>
      </c>
      <c r="D104" s="229" t="str">
        <f>Picks!C104</f>
        <v>3/4</v>
      </c>
      <c r="E104" s="229">
        <f>Picks!D104</f>
        <v>1.75</v>
      </c>
      <c r="F104" s="230">
        <v>1</v>
      </c>
      <c r="G104" s="228">
        <f>Picks!M104</f>
        <v>1</v>
      </c>
      <c r="H104" s="229">
        <f t="shared" si="27"/>
        <v>0.75</v>
      </c>
      <c r="I104" s="273" t="str">
        <f t="shared" si="26"/>
        <v/>
      </c>
      <c r="X104" s="229">
        <f t="shared" si="28"/>
        <v>0.75</v>
      </c>
    </row>
    <row r="105" spans="2:24" x14ac:dyDescent="0.25">
      <c r="B105" s="228"/>
      <c r="C105" s="228" t="str">
        <f>Picks!B105</f>
        <v>Brentford</v>
      </c>
      <c r="D105" s="229" t="str">
        <f>Picks!C105</f>
        <v>11/10</v>
      </c>
      <c r="E105" s="229">
        <f>Picks!D105</f>
        <v>2.1</v>
      </c>
      <c r="F105" s="230">
        <v>1</v>
      </c>
      <c r="G105" s="228">
        <f>Picks!M105</f>
        <v>1</v>
      </c>
      <c r="H105" s="229">
        <f t="shared" si="27"/>
        <v>1.1000000000000001</v>
      </c>
      <c r="I105" s="273" t="str">
        <f t="shared" si="26"/>
        <v/>
      </c>
      <c r="X105" s="229">
        <f t="shared" si="28"/>
        <v>1.1000000000000001</v>
      </c>
    </row>
    <row r="106" spans="2:24" ht="13.8" thickBot="1" x14ac:dyDescent="0.3">
      <c r="B106" s="233"/>
      <c r="C106" s="233" t="str">
        <f>Picks!B106</f>
        <v>Sheff W</v>
      </c>
      <c r="D106" s="234" t="str">
        <f>Picks!C106</f>
        <v>11/13</v>
      </c>
      <c r="E106" s="234">
        <f>Picks!D106</f>
        <v>1.8461538461538463</v>
      </c>
      <c r="F106" s="276">
        <v>1</v>
      </c>
      <c r="G106" s="233">
        <f>Picks!M106</f>
        <v>0</v>
      </c>
      <c r="H106" s="234">
        <f t="shared" si="27"/>
        <v>0</v>
      </c>
      <c r="I106" s="273" t="str">
        <f t="shared" si="26"/>
        <v/>
      </c>
      <c r="X106" s="229">
        <f t="shared" si="28"/>
        <v>0.84615384615384626</v>
      </c>
    </row>
    <row r="107" spans="2:24" x14ac:dyDescent="0.25">
      <c r="B107" s="228" t="str">
        <f>$V37</f>
        <v>Liam Wah</v>
      </c>
      <c r="C107" s="228" t="str">
        <f>Picks!B107</f>
        <v>Bournemouth</v>
      </c>
      <c r="D107" s="229" t="str">
        <f>Picks!C107</f>
        <v>17/5</v>
      </c>
      <c r="E107" s="229">
        <f>Picks!D107</f>
        <v>4.4000000000000004</v>
      </c>
      <c r="F107" s="230">
        <v>1</v>
      </c>
      <c r="G107" s="228">
        <f>Picks!M107</f>
        <v>1</v>
      </c>
      <c r="H107" s="229">
        <f t="shared" si="27"/>
        <v>3.4000000000000004</v>
      </c>
      <c r="I107" s="273" t="str">
        <f t="shared" si="26"/>
        <v/>
      </c>
      <c r="X107" s="229">
        <f t="shared" si="28"/>
        <v>3.4000000000000004</v>
      </c>
    </row>
    <row r="108" spans="2:24" x14ac:dyDescent="0.25">
      <c r="B108" s="228"/>
      <c r="C108" s="228" t="str">
        <f>Picks!B108</f>
        <v>Forest Green draw</v>
      </c>
      <c r="D108" s="229" t="str">
        <f>Picks!C108</f>
        <v>12/5</v>
      </c>
      <c r="E108" s="229">
        <f>Picks!D108</f>
        <v>3.4</v>
      </c>
      <c r="F108" s="230">
        <v>1</v>
      </c>
      <c r="G108" s="228">
        <f>Picks!M108</f>
        <v>1</v>
      </c>
      <c r="H108" s="229">
        <f t="shared" si="27"/>
        <v>2.4</v>
      </c>
      <c r="I108" s="273" t="str">
        <f t="shared" si="26"/>
        <v/>
      </c>
      <c r="X108" s="229">
        <f t="shared" si="28"/>
        <v>2.4</v>
      </c>
    </row>
    <row r="109" spans="2:24" ht="13.8" thickBot="1" x14ac:dyDescent="0.3">
      <c r="B109" s="233"/>
      <c r="C109" s="233" t="str">
        <f>Picks!B109</f>
        <v>Crewe</v>
      </c>
      <c r="D109" s="234" t="str">
        <f>Picks!C109</f>
        <v>2/1</v>
      </c>
      <c r="E109" s="234">
        <f>Picks!D109</f>
        <v>3</v>
      </c>
      <c r="F109" s="276">
        <v>1</v>
      </c>
      <c r="G109" s="233">
        <f>Picks!M109</f>
        <v>0</v>
      </c>
      <c r="H109" s="234">
        <f t="shared" si="27"/>
        <v>0</v>
      </c>
      <c r="I109" s="273" t="str">
        <f t="shared" si="26"/>
        <v/>
      </c>
      <c r="X109" s="229">
        <f t="shared" si="28"/>
        <v>2</v>
      </c>
    </row>
    <row r="110" spans="2:24" x14ac:dyDescent="0.25">
      <c r="B110" s="229" t="str">
        <f>$V38</f>
        <v>Mal Stott</v>
      </c>
      <c r="C110" s="228" t="str">
        <f>Picks!B110</f>
        <v>Sunderland</v>
      </c>
      <c r="D110" s="229" t="str">
        <f>Picks!C110</f>
        <v>6/5</v>
      </c>
      <c r="E110" s="229">
        <f>Picks!D110</f>
        <v>2.2000000000000002</v>
      </c>
      <c r="F110" s="230">
        <v>1</v>
      </c>
      <c r="G110" s="228">
        <f>Picks!M110</f>
        <v>0</v>
      </c>
      <c r="H110" s="229">
        <f t="shared" si="27"/>
        <v>0</v>
      </c>
      <c r="I110" s="273" t="str">
        <f t="shared" si="26"/>
        <v/>
      </c>
      <c r="X110" s="229">
        <f t="shared" si="28"/>
        <v>1.2000000000000002</v>
      </c>
    </row>
    <row r="111" spans="2:24" x14ac:dyDescent="0.25">
      <c r="B111" s="228"/>
      <c r="C111" s="228" t="str">
        <f>Picks!B111</f>
        <v>Swindon</v>
      </c>
      <c r="D111" s="229" t="str">
        <f>Picks!C111</f>
        <v>8/5</v>
      </c>
      <c r="E111" s="229">
        <f>Picks!D111</f>
        <v>2.6</v>
      </c>
      <c r="F111" s="230">
        <v>1</v>
      </c>
      <c r="G111" s="228">
        <f>Picks!M111</f>
        <v>1</v>
      </c>
      <c r="H111" s="229">
        <f t="shared" si="27"/>
        <v>1.6</v>
      </c>
      <c r="I111" s="273" t="str">
        <f t="shared" si="26"/>
        <v/>
      </c>
      <c r="X111" s="229">
        <f t="shared" si="28"/>
        <v>1.6</v>
      </c>
    </row>
    <row r="112" spans="2:24" ht="13.8" thickBot="1" x14ac:dyDescent="0.3">
      <c r="B112" s="233"/>
      <c r="C112" s="233" t="str">
        <f>Picks!B112</f>
        <v>Wigan</v>
      </c>
      <c r="D112" s="234" t="str">
        <f>Picks!C112</f>
        <v>13/10</v>
      </c>
      <c r="E112" s="234">
        <f>Picks!D112</f>
        <v>2.2999999999999998</v>
      </c>
      <c r="F112" s="276">
        <v>1</v>
      </c>
      <c r="G112" s="233">
        <f>Picks!M112</f>
        <v>1</v>
      </c>
      <c r="H112" s="234">
        <f t="shared" si="27"/>
        <v>1.2999999999999998</v>
      </c>
      <c r="I112" s="273" t="str">
        <f t="shared" si="26"/>
        <v/>
      </c>
      <c r="X112" s="229">
        <f t="shared" si="28"/>
        <v>1.2999999999999998</v>
      </c>
    </row>
    <row r="113" spans="2:24" x14ac:dyDescent="0.25">
      <c r="B113" s="229" t="str">
        <f>$V39</f>
        <v>Mark Bunn</v>
      </c>
      <c r="C113" s="228" t="str">
        <f>Picks!B113</f>
        <v>Forest Green draw</v>
      </c>
      <c r="D113" s="229" t="str">
        <f>Picks!C113</f>
        <v>12/5</v>
      </c>
      <c r="E113" s="229">
        <f>Picks!D113</f>
        <v>3.4</v>
      </c>
      <c r="F113" s="230">
        <v>1</v>
      </c>
      <c r="G113" s="228">
        <f>Picks!M113</f>
        <v>1</v>
      </c>
      <c r="H113" s="229">
        <f t="shared" si="27"/>
        <v>2.4</v>
      </c>
      <c r="I113" s="273" t="str">
        <f t="shared" si="26"/>
        <v/>
      </c>
      <c r="X113" s="229">
        <f t="shared" si="28"/>
        <v>2.4</v>
      </c>
    </row>
    <row r="114" spans="2:24" x14ac:dyDescent="0.25">
      <c r="B114" s="228"/>
      <c r="C114" s="228" t="str">
        <f>Picks!B114</f>
        <v>MK Dons draw</v>
      </c>
      <c r="D114" s="229" t="str">
        <f>Picks!C114</f>
        <v>23/10</v>
      </c>
      <c r="E114" s="229">
        <f>Picks!D114</f>
        <v>3.3</v>
      </c>
      <c r="F114" s="230">
        <v>1</v>
      </c>
      <c r="G114" s="228">
        <f>Picks!M114</f>
        <v>0</v>
      </c>
      <c r="H114" s="229">
        <f t="shared" si="27"/>
        <v>0</v>
      </c>
      <c r="I114" s="273" t="str">
        <f t="shared" si="26"/>
        <v/>
      </c>
      <c r="X114" s="229">
        <f t="shared" si="28"/>
        <v>2.2999999999999998</v>
      </c>
    </row>
    <row r="115" spans="2:24" ht="13.8" thickBot="1" x14ac:dyDescent="0.3">
      <c r="B115" s="233"/>
      <c r="C115" s="233" t="str">
        <f>Picks!B115</f>
        <v>Blackburn draw</v>
      </c>
      <c r="D115" s="234" t="str">
        <f>Picks!C115</f>
        <v>5/2</v>
      </c>
      <c r="E115" s="234">
        <f>Picks!D115</f>
        <v>3.5</v>
      </c>
      <c r="F115" s="276">
        <v>1</v>
      </c>
      <c r="G115" s="233">
        <f>Picks!M115</f>
        <v>1</v>
      </c>
      <c r="H115" s="234">
        <f t="shared" si="27"/>
        <v>2.5</v>
      </c>
      <c r="I115" s="273" t="str">
        <f t="shared" si="26"/>
        <v/>
      </c>
      <c r="X115" s="229">
        <f t="shared" si="28"/>
        <v>2.5</v>
      </c>
    </row>
    <row r="116" spans="2:24" x14ac:dyDescent="0.25">
      <c r="B116" s="229" t="str">
        <f>$V40</f>
        <v>Mark Saunders</v>
      </c>
      <c r="C116" s="228" t="str">
        <f>Picks!B116</f>
        <v>Everton draw</v>
      </c>
      <c r="D116" s="229" t="str">
        <f>Picks!C116</f>
        <v>3/1</v>
      </c>
      <c r="E116" s="229">
        <f>Picks!D116</f>
        <v>4</v>
      </c>
      <c r="F116" s="230">
        <v>1</v>
      </c>
      <c r="G116" s="228">
        <f>Picks!M116</f>
        <v>0</v>
      </c>
      <c r="H116" s="229">
        <f t="shared" si="27"/>
        <v>0</v>
      </c>
      <c r="I116" s="273" t="str">
        <f t="shared" si="26"/>
        <v/>
      </c>
      <c r="X116" s="229">
        <f t="shared" si="28"/>
        <v>3</v>
      </c>
    </row>
    <row r="117" spans="2:24" x14ac:dyDescent="0.25">
      <c r="B117" s="228"/>
      <c r="C117" s="228" t="str">
        <f>Picks!B117</f>
        <v>Newcastle draw</v>
      </c>
      <c r="D117" s="229" t="str">
        <f>Picks!C117</f>
        <v>4/1</v>
      </c>
      <c r="E117" s="229">
        <f>Picks!D117</f>
        <v>5</v>
      </c>
      <c r="F117" s="230">
        <v>1</v>
      </c>
      <c r="G117" s="228">
        <f>Picks!M117</f>
        <v>0</v>
      </c>
      <c r="H117" s="229">
        <f t="shared" si="27"/>
        <v>0</v>
      </c>
      <c r="I117" s="273" t="str">
        <f t="shared" si="26"/>
        <v/>
      </c>
      <c r="X117" s="229">
        <f t="shared" si="28"/>
        <v>4</v>
      </c>
    </row>
    <row r="118" spans="2:24" ht="13.8" thickBot="1" x14ac:dyDescent="0.3">
      <c r="B118" s="233"/>
      <c r="C118" s="233" t="str">
        <f>Picks!B118</f>
        <v>Blackburn draw</v>
      </c>
      <c r="D118" s="234" t="str">
        <f>Picks!C118</f>
        <v>5/2</v>
      </c>
      <c r="E118" s="234">
        <f>Picks!D118</f>
        <v>3.5</v>
      </c>
      <c r="F118" s="276">
        <v>1</v>
      </c>
      <c r="G118" s="233">
        <f>Picks!M118</f>
        <v>1</v>
      </c>
      <c r="H118" s="234">
        <f t="shared" si="27"/>
        <v>2.5</v>
      </c>
      <c r="I118" s="273" t="str">
        <f t="shared" si="26"/>
        <v/>
      </c>
      <c r="X118" s="229">
        <f t="shared" si="28"/>
        <v>2.5</v>
      </c>
    </row>
    <row r="119" spans="2:24" x14ac:dyDescent="0.25">
      <c r="B119" s="229" t="str">
        <f>$V41</f>
        <v>Martin Molyneux</v>
      </c>
      <c r="C119" s="228" t="str">
        <f>Picks!B119</f>
        <v/>
      </c>
      <c r="D119" s="229" t="str">
        <f>Picks!C119</f>
        <v/>
      </c>
      <c r="E119" s="229" t="str">
        <f>Picks!D119</f>
        <v/>
      </c>
      <c r="F119" s="230">
        <v>1</v>
      </c>
      <c r="G119" s="228" t="e">
        <f>Picks!M119</f>
        <v>#N/A</v>
      </c>
      <c r="H119" s="229" t="e">
        <f t="shared" si="27"/>
        <v>#VALUE!</v>
      </c>
      <c r="I119" s="273" t="str">
        <f t="shared" si="26"/>
        <v/>
      </c>
      <c r="X119" s="229" t="e">
        <f t="shared" si="28"/>
        <v>#VALUE!</v>
      </c>
    </row>
    <row r="120" spans="2:24" x14ac:dyDescent="0.25">
      <c r="B120" s="228"/>
      <c r="C120" s="228" t="str">
        <f>Picks!B120</f>
        <v/>
      </c>
      <c r="D120" s="229" t="str">
        <f>Picks!C120</f>
        <v/>
      </c>
      <c r="E120" s="229" t="str">
        <f>Picks!D120</f>
        <v/>
      </c>
      <c r="F120" s="230">
        <v>1</v>
      </c>
      <c r="G120" s="228" t="e">
        <f>Picks!M120</f>
        <v>#N/A</v>
      </c>
      <c r="H120" s="229" t="e">
        <f t="shared" si="27"/>
        <v>#VALUE!</v>
      </c>
      <c r="I120" s="273" t="str">
        <f t="shared" si="26"/>
        <v/>
      </c>
      <c r="X120" s="229" t="e">
        <f t="shared" si="28"/>
        <v>#VALUE!</v>
      </c>
    </row>
    <row r="121" spans="2:24" ht="13.8" thickBot="1" x14ac:dyDescent="0.3">
      <c r="B121" s="233"/>
      <c r="C121" s="233" t="str">
        <f>Picks!B121</f>
        <v/>
      </c>
      <c r="D121" s="234" t="str">
        <f>Picks!C121</f>
        <v/>
      </c>
      <c r="E121" s="234" t="str">
        <f>Picks!D121</f>
        <v/>
      </c>
      <c r="F121" s="276">
        <v>1</v>
      </c>
      <c r="G121" s="233" t="e">
        <f>Picks!M121</f>
        <v>#N/A</v>
      </c>
      <c r="H121" s="234" t="e">
        <f t="shared" ref="H121:H152" si="29">+((E121-1)*G121*F121*A$2)</f>
        <v>#VALUE!</v>
      </c>
      <c r="I121" s="273" t="str">
        <f t="shared" si="26"/>
        <v/>
      </c>
      <c r="X121" s="229" t="e">
        <f t="shared" si="28"/>
        <v>#VALUE!</v>
      </c>
    </row>
    <row r="122" spans="2:24" x14ac:dyDescent="0.25">
      <c r="B122" s="229" t="str">
        <f>$V42</f>
        <v>Martin Tarbuck</v>
      </c>
      <c r="C122" s="228" t="str">
        <f>Picks!B122</f>
        <v>Norwich</v>
      </c>
      <c r="D122" s="229" t="str">
        <f>Picks!C122</f>
        <v>2/1</v>
      </c>
      <c r="E122" s="229">
        <f>Picks!D122</f>
        <v>3</v>
      </c>
      <c r="F122" s="230">
        <v>1</v>
      </c>
      <c r="G122" s="228">
        <f>Picks!M122</f>
        <v>1</v>
      </c>
      <c r="H122" s="229">
        <f t="shared" si="29"/>
        <v>2</v>
      </c>
      <c r="I122" s="273" t="str">
        <f t="shared" si="26"/>
        <v/>
      </c>
      <c r="X122" s="229">
        <f t="shared" si="28"/>
        <v>2</v>
      </c>
    </row>
    <row r="123" spans="2:24" x14ac:dyDescent="0.25">
      <c r="B123" s="228"/>
      <c r="C123" s="228" t="str">
        <f>Picks!B123</f>
        <v>Stoke</v>
      </c>
      <c r="D123" s="229" t="str">
        <f>Picks!C123</f>
        <v>14/5</v>
      </c>
      <c r="E123" s="229">
        <f>Picks!D123</f>
        <v>3.8</v>
      </c>
      <c r="F123" s="230">
        <v>1</v>
      </c>
      <c r="G123" s="228">
        <f>Picks!M123</f>
        <v>0</v>
      </c>
      <c r="H123" s="229">
        <f t="shared" si="29"/>
        <v>0</v>
      </c>
      <c r="I123" s="273" t="str">
        <f t="shared" si="26"/>
        <v/>
      </c>
      <c r="X123" s="229">
        <f t="shared" si="28"/>
        <v>2.8</v>
      </c>
    </row>
    <row r="124" spans="2:24" ht="13.8" thickBot="1" x14ac:dyDescent="0.3">
      <c r="B124" s="233"/>
      <c r="C124" s="233" t="str">
        <f>Picks!B124</f>
        <v>Carlisle</v>
      </c>
      <c r="D124" s="234" t="str">
        <f>Picks!C124</f>
        <v>19/20</v>
      </c>
      <c r="E124" s="234">
        <f>Picks!D124</f>
        <v>1.95</v>
      </c>
      <c r="F124" s="276">
        <v>1</v>
      </c>
      <c r="G124" s="233">
        <f>Picks!M124</f>
        <v>0</v>
      </c>
      <c r="H124" s="234">
        <f t="shared" si="29"/>
        <v>0</v>
      </c>
      <c r="I124" s="273" t="str">
        <f t="shared" si="26"/>
        <v/>
      </c>
      <c r="X124" s="229">
        <f t="shared" si="28"/>
        <v>0.95</v>
      </c>
    </row>
    <row r="125" spans="2:24" x14ac:dyDescent="0.25">
      <c r="B125" s="229" t="str">
        <f>$V43</f>
        <v>Mike Penk</v>
      </c>
      <c r="C125" s="228" t="str">
        <f>Picks!B125</f>
        <v>Walsall</v>
      </c>
      <c r="D125" s="229" t="str">
        <f>Picks!C125</f>
        <v>7/5</v>
      </c>
      <c r="E125" s="229">
        <f>Picks!D125</f>
        <v>2.4</v>
      </c>
      <c r="F125" s="230">
        <v>1</v>
      </c>
      <c r="G125" s="228">
        <f>Picks!M125</f>
        <v>0</v>
      </c>
      <c r="H125" s="229">
        <f t="shared" si="29"/>
        <v>0</v>
      </c>
      <c r="I125" s="273" t="str">
        <f t="shared" si="26"/>
        <v/>
      </c>
      <c r="X125" s="229">
        <f t="shared" si="28"/>
        <v>1.4</v>
      </c>
    </row>
    <row r="126" spans="2:24" x14ac:dyDescent="0.25">
      <c r="B126" s="228"/>
      <c r="C126" s="228" t="str">
        <f>Picks!B126</f>
        <v>Scunthorpe</v>
      </c>
      <c r="D126" s="229" t="str">
        <f>Picks!C126</f>
        <v>21/10</v>
      </c>
      <c r="E126" s="229">
        <f>Picks!D126</f>
        <v>3.1</v>
      </c>
      <c r="F126" s="230">
        <v>1</v>
      </c>
      <c r="G126" s="228">
        <f>Picks!M126</f>
        <v>0</v>
      </c>
      <c r="H126" s="229">
        <f t="shared" si="29"/>
        <v>0</v>
      </c>
      <c r="I126" s="273" t="str">
        <f t="shared" si="26"/>
        <v/>
      </c>
      <c r="X126" s="229">
        <f t="shared" si="28"/>
        <v>2.1</v>
      </c>
    </row>
    <row r="127" spans="2:24" ht="13.8" thickBot="1" x14ac:dyDescent="0.3">
      <c r="B127" s="233"/>
      <c r="C127" s="233" t="str">
        <f>Picks!B127</f>
        <v>Macclesfield</v>
      </c>
      <c r="D127" s="234" t="str">
        <f>Picks!C127</f>
        <v>16/11</v>
      </c>
      <c r="E127" s="234">
        <f>Picks!D127</f>
        <v>2.4545454545454546</v>
      </c>
      <c r="F127" s="276">
        <v>1</v>
      </c>
      <c r="G127" s="233">
        <f>Picks!M127</f>
        <v>0</v>
      </c>
      <c r="H127" s="234">
        <f t="shared" si="29"/>
        <v>0</v>
      </c>
      <c r="I127" s="273" t="str">
        <f t="shared" si="26"/>
        <v/>
      </c>
      <c r="X127" s="229">
        <f t="shared" si="28"/>
        <v>1.4545454545454546</v>
      </c>
    </row>
    <row r="128" spans="2:24" x14ac:dyDescent="0.25">
      <c r="B128" s="228" t="str">
        <f>$V44</f>
        <v>Mo Sudell</v>
      </c>
      <c r="C128" s="228" t="str">
        <f>Picks!B128</f>
        <v>Villa</v>
      </c>
      <c r="D128" s="229" t="str">
        <f>Picks!C128</f>
        <v>6/4</v>
      </c>
      <c r="E128" s="229">
        <f>Picks!D128</f>
        <v>2.5</v>
      </c>
      <c r="F128" s="230">
        <v>1</v>
      </c>
      <c r="G128" s="228">
        <f>Picks!M128</f>
        <v>0</v>
      </c>
      <c r="H128" s="229">
        <f t="shared" si="29"/>
        <v>0</v>
      </c>
      <c r="I128" s="273" t="str">
        <f t="shared" ref="I128:I191" si="30">IF(V128="","",V128)</f>
        <v/>
      </c>
      <c r="X128" s="229">
        <f t="shared" si="28"/>
        <v>1.5</v>
      </c>
    </row>
    <row r="129" spans="2:24" x14ac:dyDescent="0.25">
      <c r="B129" s="228"/>
      <c r="C129" s="228" t="str">
        <f>Picks!B129</f>
        <v>Wigan</v>
      </c>
      <c r="D129" s="229" t="str">
        <f>Picks!C129</f>
        <v>13/10</v>
      </c>
      <c r="E129" s="229">
        <f>Picks!D129</f>
        <v>2.2999999999999998</v>
      </c>
      <c r="F129" s="230">
        <v>1</v>
      </c>
      <c r="G129" s="228">
        <f>Picks!M129</f>
        <v>1</v>
      </c>
      <c r="H129" s="229">
        <f t="shared" si="29"/>
        <v>1.2999999999999998</v>
      </c>
      <c r="I129" s="273" t="str">
        <f t="shared" si="30"/>
        <v/>
      </c>
      <c r="X129" s="229">
        <f t="shared" si="28"/>
        <v>1.2999999999999998</v>
      </c>
    </row>
    <row r="130" spans="2:24" ht="13.8" thickBot="1" x14ac:dyDescent="0.3">
      <c r="B130" s="233"/>
      <c r="C130" s="233" t="str">
        <f>Picks!B130</f>
        <v>Sheff U</v>
      </c>
      <c r="D130" s="234" t="str">
        <f>Picks!C130</f>
        <v>21/20</v>
      </c>
      <c r="E130" s="234">
        <f>Picks!D130</f>
        <v>2.0499999999999998</v>
      </c>
      <c r="F130" s="276">
        <v>1</v>
      </c>
      <c r="G130" s="233">
        <f>Picks!M130</f>
        <v>0</v>
      </c>
      <c r="H130" s="234">
        <f t="shared" si="29"/>
        <v>0</v>
      </c>
      <c r="I130" s="273" t="str">
        <f t="shared" si="30"/>
        <v/>
      </c>
      <c r="X130" s="229">
        <f t="shared" si="28"/>
        <v>1.0499999999999998</v>
      </c>
    </row>
    <row r="131" spans="2:24" x14ac:dyDescent="0.25">
      <c r="B131" s="229" t="str">
        <f>$V45</f>
        <v>Nick Blocksidge</v>
      </c>
      <c r="C131" s="228" t="str">
        <f>Picks!B131</f>
        <v>Brentford</v>
      </c>
      <c r="D131" s="229" t="str">
        <f>Picks!C131</f>
        <v>11/10</v>
      </c>
      <c r="E131" s="229">
        <f>Picks!D131</f>
        <v>2.1</v>
      </c>
      <c r="F131" s="230">
        <v>1</v>
      </c>
      <c r="G131" s="228">
        <f>Picks!M131</f>
        <v>1</v>
      </c>
      <c r="H131" s="229">
        <f t="shared" si="29"/>
        <v>1.1000000000000001</v>
      </c>
      <c r="I131" s="273" t="str">
        <f t="shared" si="30"/>
        <v/>
      </c>
      <c r="X131" s="229">
        <f t="shared" ref="X131:X194" si="31">+((E131-1)*F131*A$2)</f>
        <v>1.1000000000000001</v>
      </c>
    </row>
    <row r="132" spans="2:24" x14ac:dyDescent="0.25">
      <c r="B132" s="228"/>
      <c r="C132" s="228" t="str">
        <f>Picks!B132</f>
        <v>Bristol C</v>
      </c>
      <c r="D132" s="229" t="str">
        <f>Picks!C132</f>
        <v>7/5</v>
      </c>
      <c r="E132" s="229">
        <f>Picks!D132</f>
        <v>2.4</v>
      </c>
      <c r="F132" s="230">
        <v>1</v>
      </c>
      <c r="G132" s="228">
        <f>Picks!M132</f>
        <v>0</v>
      </c>
      <c r="H132" s="229">
        <f t="shared" si="29"/>
        <v>0</v>
      </c>
      <c r="I132" s="273" t="str">
        <f t="shared" si="30"/>
        <v/>
      </c>
      <c r="X132" s="229">
        <f t="shared" si="31"/>
        <v>1.4</v>
      </c>
    </row>
    <row r="133" spans="2:24" ht="13.8" thickBot="1" x14ac:dyDescent="0.3">
      <c r="B133" s="233"/>
      <c r="C133" s="233" t="str">
        <f>Picks!B133</f>
        <v>Wigan</v>
      </c>
      <c r="D133" s="234" t="str">
        <f>Picks!C133</f>
        <v>13/10</v>
      </c>
      <c r="E133" s="234">
        <f>Picks!D133</f>
        <v>2.2999999999999998</v>
      </c>
      <c r="F133" s="276">
        <v>1</v>
      </c>
      <c r="G133" s="233">
        <f>Picks!M133</f>
        <v>1</v>
      </c>
      <c r="H133" s="234">
        <f t="shared" si="29"/>
        <v>1.2999999999999998</v>
      </c>
      <c r="I133" s="273" t="str">
        <f t="shared" si="30"/>
        <v/>
      </c>
      <c r="X133" s="229">
        <f t="shared" si="31"/>
        <v>1.2999999999999998</v>
      </c>
    </row>
    <row r="134" spans="2:24" x14ac:dyDescent="0.25">
      <c r="B134" s="229" t="str">
        <f>$V46</f>
        <v>Nigel Heyes</v>
      </c>
      <c r="C134" s="228" t="str">
        <f>Picks!B134</f>
        <v>Peterborough</v>
      </c>
      <c r="D134" s="229" t="str">
        <f>Picks!C134</f>
        <v>23/20</v>
      </c>
      <c r="E134" s="229">
        <f>Picks!D134</f>
        <v>2.15</v>
      </c>
      <c r="F134" s="230">
        <v>1</v>
      </c>
      <c r="G134" s="228">
        <f>Picks!M134</f>
        <v>1</v>
      </c>
      <c r="H134" s="229">
        <f t="shared" si="29"/>
        <v>1.1499999999999999</v>
      </c>
      <c r="I134" s="273" t="str">
        <f t="shared" si="30"/>
        <v/>
      </c>
      <c r="X134" s="229">
        <f t="shared" si="31"/>
        <v>1.1499999999999999</v>
      </c>
    </row>
    <row r="135" spans="2:24" x14ac:dyDescent="0.25">
      <c r="B135" s="228"/>
      <c r="C135" s="228" t="str">
        <f>Picks!B135</f>
        <v>Mansfield</v>
      </c>
      <c r="D135" s="229" t="str">
        <f>Picks!C135</f>
        <v>5/2</v>
      </c>
      <c r="E135" s="229">
        <f>Picks!D135</f>
        <v>3.5</v>
      </c>
      <c r="F135" s="230">
        <v>1</v>
      </c>
      <c r="G135" s="228">
        <f>Picks!M135</f>
        <v>0</v>
      </c>
      <c r="H135" s="229">
        <f t="shared" si="29"/>
        <v>0</v>
      </c>
      <c r="I135" s="273" t="str">
        <f t="shared" si="30"/>
        <v/>
      </c>
      <c r="X135" s="229">
        <f t="shared" si="31"/>
        <v>2.5</v>
      </c>
    </row>
    <row r="136" spans="2:24" ht="13.8" thickBot="1" x14ac:dyDescent="0.3">
      <c r="B136" s="233"/>
      <c r="C136" s="233" t="str">
        <f>Picks!B136</f>
        <v>Notts Co</v>
      </c>
      <c r="D136" s="234" t="str">
        <f>Picks!C136</f>
        <v>9/5</v>
      </c>
      <c r="E136" s="234">
        <f>Picks!D136</f>
        <v>2.8</v>
      </c>
      <c r="F136" s="276">
        <v>1</v>
      </c>
      <c r="G136" s="233">
        <f>Picks!M136</f>
        <v>0</v>
      </c>
      <c r="H136" s="234">
        <f t="shared" si="29"/>
        <v>0</v>
      </c>
      <c r="I136" s="273" t="str">
        <f t="shared" si="30"/>
        <v/>
      </c>
      <c r="X136" s="229">
        <f t="shared" si="31"/>
        <v>1.7999999999999998</v>
      </c>
    </row>
    <row r="137" spans="2:24" x14ac:dyDescent="0.25">
      <c r="B137" s="228" t="str">
        <f>$V47</f>
        <v>Oscar Jackson</v>
      </c>
      <c r="C137" s="228" t="str">
        <f>Picks!B137</f>
        <v>Stoke</v>
      </c>
      <c r="D137" s="229" t="str">
        <f>Picks!C137</f>
        <v>14/5</v>
      </c>
      <c r="E137" s="229">
        <f>Picks!D137</f>
        <v>3.8</v>
      </c>
      <c r="F137" s="230">
        <v>1</v>
      </c>
      <c r="G137" s="228">
        <f>Picks!M137</f>
        <v>0</v>
      </c>
      <c r="H137" s="229">
        <f t="shared" si="29"/>
        <v>0</v>
      </c>
      <c r="I137" s="273" t="str">
        <f t="shared" si="30"/>
        <v/>
      </c>
      <c r="X137" s="229">
        <f t="shared" si="31"/>
        <v>2.8</v>
      </c>
    </row>
    <row r="138" spans="2:24" x14ac:dyDescent="0.25">
      <c r="B138" s="228"/>
      <c r="C138" s="228" t="str">
        <f>Picks!B138</f>
        <v>Notts Co</v>
      </c>
      <c r="D138" s="229" t="str">
        <f>Picks!C138</f>
        <v>9/5</v>
      </c>
      <c r="E138" s="229">
        <f>Picks!D138</f>
        <v>2.8</v>
      </c>
      <c r="F138" s="230">
        <v>1</v>
      </c>
      <c r="G138" s="228">
        <f>Picks!M138</f>
        <v>0</v>
      </c>
      <c r="H138" s="229">
        <f t="shared" si="29"/>
        <v>0</v>
      </c>
      <c r="I138" s="273" t="str">
        <f t="shared" si="30"/>
        <v/>
      </c>
      <c r="X138" s="229">
        <f t="shared" si="31"/>
        <v>1.7999999999999998</v>
      </c>
    </row>
    <row r="139" spans="2:24" ht="13.8" thickBot="1" x14ac:dyDescent="0.3">
      <c r="B139" s="233"/>
      <c r="C139" s="233" t="str">
        <f>Picks!B139</f>
        <v>Newcastle</v>
      </c>
      <c r="D139" s="234" t="str">
        <f>Picks!C139</f>
        <v>9/1</v>
      </c>
      <c r="E139" s="234">
        <f>Picks!D139</f>
        <v>10</v>
      </c>
      <c r="F139" s="276">
        <v>1</v>
      </c>
      <c r="G139" s="233">
        <f>Picks!M139</f>
        <v>0</v>
      </c>
      <c r="H139" s="234">
        <f t="shared" si="29"/>
        <v>0</v>
      </c>
      <c r="I139" s="273" t="str">
        <f t="shared" si="30"/>
        <v/>
      </c>
      <c r="X139" s="229">
        <f t="shared" si="31"/>
        <v>9</v>
      </c>
    </row>
    <row r="140" spans="2:24" x14ac:dyDescent="0.25">
      <c r="B140" s="229" t="str">
        <f>$V48</f>
        <v>Paul Adderley</v>
      </c>
      <c r="C140" s="228" t="str">
        <f>Picks!B140</f>
        <v>Newcastle</v>
      </c>
      <c r="D140" s="229" t="str">
        <f>Picks!C140</f>
        <v>9/1</v>
      </c>
      <c r="E140" s="229">
        <f>Picks!D140</f>
        <v>10</v>
      </c>
      <c r="F140" s="230">
        <v>1</v>
      </c>
      <c r="G140" s="228">
        <f>Picks!M140</f>
        <v>0</v>
      </c>
      <c r="H140" s="229">
        <f t="shared" si="29"/>
        <v>0</v>
      </c>
      <c r="I140" s="273" t="str">
        <f t="shared" si="30"/>
        <v/>
      </c>
      <c r="X140" s="229">
        <f t="shared" si="31"/>
        <v>9</v>
      </c>
    </row>
    <row r="141" spans="2:24" x14ac:dyDescent="0.25">
      <c r="B141" s="228"/>
      <c r="C141" s="228" t="str">
        <f>Picks!B141</f>
        <v>Watford</v>
      </c>
      <c r="D141" s="229" t="str">
        <f>Picks!C141</f>
        <v>15/2</v>
      </c>
      <c r="E141" s="229">
        <f>Picks!D141</f>
        <v>8.5</v>
      </c>
      <c r="F141" s="230">
        <v>1</v>
      </c>
      <c r="G141" s="228">
        <f>Picks!M141</f>
        <v>0</v>
      </c>
      <c r="H141" s="229">
        <f t="shared" si="29"/>
        <v>0</v>
      </c>
      <c r="I141" s="273" t="str">
        <f t="shared" si="30"/>
        <v/>
      </c>
      <c r="X141" s="229">
        <f t="shared" si="31"/>
        <v>7.5</v>
      </c>
    </row>
    <row r="142" spans="2:24" ht="13.8" thickBot="1" x14ac:dyDescent="0.3">
      <c r="B142" s="233"/>
      <c r="C142" s="233" t="str">
        <f>Picks!B142</f>
        <v>Brighton</v>
      </c>
      <c r="D142" s="234" t="str">
        <f>Picks!C142</f>
        <v>17/2</v>
      </c>
      <c r="E142" s="234">
        <f>Picks!D142</f>
        <v>9.5</v>
      </c>
      <c r="F142" s="276">
        <v>1</v>
      </c>
      <c r="G142" s="233">
        <f>Picks!M142</f>
        <v>0</v>
      </c>
      <c r="H142" s="234">
        <f t="shared" si="29"/>
        <v>0</v>
      </c>
      <c r="I142" s="273" t="str">
        <f t="shared" si="30"/>
        <v/>
      </c>
      <c r="X142" s="229">
        <f t="shared" si="31"/>
        <v>8.5</v>
      </c>
    </row>
    <row r="143" spans="2:24" x14ac:dyDescent="0.25">
      <c r="B143" s="229" t="str">
        <f>$V49</f>
        <v>Paul Allen</v>
      </c>
      <c r="C143" s="228" t="str">
        <f>Picks!B143</f>
        <v>Luton</v>
      </c>
      <c r="D143" s="229" t="str">
        <f>Picks!C143</f>
        <v>3/10</v>
      </c>
      <c r="E143" s="229">
        <f>Picks!D143</f>
        <v>1.3</v>
      </c>
      <c r="F143" s="230">
        <v>1</v>
      </c>
      <c r="G143" s="228">
        <f>Picks!M143</f>
        <v>1</v>
      </c>
      <c r="H143" s="229">
        <f t="shared" si="29"/>
        <v>0.30000000000000004</v>
      </c>
      <c r="I143" s="273" t="str">
        <f t="shared" si="30"/>
        <v/>
      </c>
      <c r="X143" s="229">
        <f t="shared" si="31"/>
        <v>0.30000000000000004</v>
      </c>
    </row>
    <row r="144" spans="2:24" x14ac:dyDescent="0.25">
      <c r="B144" s="228"/>
      <c r="C144" s="228" t="str">
        <f>Picks!B144</f>
        <v>Peterborough</v>
      </c>
      <c r="D144" s="229" t="str">
        <f>Picks!C144</f>
        <v>23/20</v>
      </c>
      <c r="E144" s="229">
        <f>Picks!D144</f>
        <v>2.15</v>
      </c>
      <c r="F144" s="230">
        <v>1</v>
      </c>
      <c r="G144" s="228">
        <f>Picks!M144</f>
        <v>1</v>
      </c>
      <c r="H144" s="229">
        <f t="shared" si="29"/>
        <v>1.1499999999999999</v>
      </c>
      <c r="I144" s="273" t="str">
        <f t="shared" si="30"/>
        <v/>
      </c>
      <c r="X144" s="229">
        <f t="shared" si="31"/>
        <v>1.1499999999999999</v>
      </c>
    </row>
    <row r="145" spans="2:24" ht="13.8" thickBot="1" x14ac:dyDescent="0.3">
      <c r="B145" s="233"/>
      <c r="C145" s="233" t="str">
        <f>Picks!B145</f>
        <v>Portsmouth</v>
      </c>
      <c r="D145" s="234" t="str">
        <f>Picks!C145</f>
        <v>7/20</v>
      </c>
      <c r="E145" s="234">
        <f>Picks!D145</f>
        <v>1.35</v>
      </c>
      <c r="F145" s="276">
        <v>1</v>
      </c>
      <c r="G145" s="233">
        <f>Picks!M145</f>
        <v>0</v>
      </c>
      <c r="H145" s="234">
        <f t="shared" si="29"/>
        <v>0</v>
      </c>
      <c r="I145" s="273" t="str">
        <f t="shared" si="30"/>
        <v/>
      </c>
      <c r="X145" s="229">
        <f t="shared" si="31"/>
        <v>0.35000000000000009</v>
      </c>
    </row>
    <row r="146" spans="2:24" x14ac:dyDescent="0.25">
      <c r="B146" s="229" t="str">
        <f>$V50</f>
        <v>Paul Barnes</v>
      </c>
      <c r="C146" s="228" t="str">
        <f>Picks!B146</f>
        <v>Bournemouth</v>
      </c>
      <c r="D146" s="229" t="str">
        <f>Picks!C146</f>
        <v>17/5</v>
      </c>
      <c r="E146" s="229">
        <f>Picks!D146</f>
        <v>4.4000000000000004</v>
      </c>
      <c r="F146" s="230">
        <v>1</v>
      </c>
      <c r="G146" s="228">
        <f>Picks!M146</f>
        <v>1</v>
      </c>
      <c r="H146" s="229">
        <f t="shared" si="29"/>
        <v>3.4000000000000004</v>
      </c>
      <c r="I146" s="273" t="str">
        <f t="shared" si="30"/>
        <v/>
      </c>
      <c r="X146" s="229">
        <f t="shared" si="31"/>
        <v>3.4000000000000004</v>
      </c>
    </row>
    <row r="147" spans="2:24" x14ac:dyDescent="0.25">
      <c r="B147" s="228"/>
      <c r="C147" s="228" t="str">
        <f>Picks!B147</f>
        <v>Watford</v>
      </c>
      <c r="D147" s="229" t="str">
        <f>Picks!C147</f>
        <v>15/2</v>
      </c>
      <c r="E147" s="229">
        <f>Picks!D147</f>
        <v>8.5</v>
      </c>
      <c r="F147" s="230">
        <v>1</v>
      </c>
      <c r="G147" s="228">
        <f>Picks!M147</f>
        <v>0</v>
      </c>
      <c r="H147" s="229">
        <f t="shared" si="29"/>
        <v>0</v>
      </c>
      <c r="I147" s="273" t="str">
        <f t="shared" si="30"/>
        <v/>
      </c>
      <c r="X147" s="229">
        <f t="shared" si="31"/>
        <v>7.5</v>
      </c>
    </row>
    <row r="148" spans="2:24" ht="13.8" thickBot="1" x14ac:dyDescent="0.3">
      <c r="B148" s="233"/>
      <c r="C148" s="233" t="str">
        <f>Picks!B148</f>
        <v>Palace</v>
      </c>
      <c r="D148" s="234" t="str">
        <f>Picks!C148</f>
        <v>8/5</v>
      </c>
      <c r="E148" s="234">
        <f>Picks!D148</f>
        <v>2.6</v>
      </c>
      <c r="F148" s="276">
        <v>1</v>
      </c>
      <c r="G148" s="233">
        <f>Picks!M148</f>
        <v>1</v>
      </c>
      <c r="H148" s="234">
        <f t="shared" si="29"/>
        <v>1.6</v>
      </c>
      <c r="I148" s="273" t="str">
        <f t="shared" si="30"/>
        <v/>
      </c>
      <c r="X148" s="229">
        <f t="shared" si="31"/>
        <v>1.6</v>
      </c>
    </row>
    <row r="149" spans="2:24" x14ac:dyDescent="0.25">
      <c r="B149" s="229" t="str">
        <f>$V51</f>
        <v>Paul Fairhurst</v>
      </c>
      <c r="C149" s="228" t="str">
        <f>Picks!B149</f>
        <v>Cardiff</v>
      </c>
      <c r="D149" s="229" t="str">
        <f>Picks!C149</f>
        <v>9/5</v>
      </c>
      <c r="E149" s="229">
        <f>Picks!D149</f>
        <v>2.8</v>
      </c>
      <c r="F149" s="230">
        <v>1</v>
      </c>
      <c r="G149" s="228">
        <f>Picks!M149</f>
        <v>0</v>
      </c>
      <c r="H149" s="229">
        <f t="shared" si="29"/>
        <v>0</v>
      </c>
      <c r="I149" s="273" t="str">
        <f t="shared" si="30"/>
        <v/>
      </c>
      <c r="X149" s="229">
        <f t="shared" si="31"/>
        <v>1.7999999999999998</v>
      </c>
    </row>
    <row r="150" spans="2:24" x14ac:dyDescent="0.25">
      <c r="B150" s="228"/>
      <c r="C150" s="228" t="str">
        <f>Picks!B150</f>
        <v>Portsmouth</v>
      </c>
      <c r="D150" s="229" t="str">
        <f>Picks!C150</f>
        <v>7/20</v>
      </c>
      <c r="E150" s="229">
        <f>Picks!D150</f>
        <v>1.35</v>
      </c>
      <c r="F150" s="230">
        <v>1</v>
      </c>
      <c r="G150" s="228">
        <f>Picks!M150</f>
        <v>0</v>
      </c>
      <c r="H150" s="229">
        <f t="shared" si="29"/>
        <v>0</v>
      </c>
      <c r="I150" s="273" t="str">
        <f t="shared" si="30"/>
        <v/>
      </c>
      <c r="X150" s="229">
        <f t="shared" si="31"/>
        <v>0.35000000000000009</v>
      </c>
    </row>
    <row r="151" spans="2:24" ht="13.8" thickBot="1" x14ac:dyDescent="0.3">
      <c r="B151" s="233"/>
      <c r="C151" s="233" t="str">
        <f>Picks!B151</f>
        <v>Norwich</v>
      </c>
      <c r="D151" s="234" t="str">
        <f>Picks!C151</f>
        <v>2/1</v>
      </c>
      <c r="E151" s="234">
        <f>Picks!D151</f>
        <v>3</v>
      </c>
      <c r="F151" s="276">
        <v>1</v>
      </c>
      <c r="G151" s="233">
        <f>Picks!M151</f>
        <v>1</v>
      </c>
      <c r="H151" s="234">
        <f t="shared" si="29"/>
        <v>2</v>
      </c>
      <c r="I151" s="273" t="str">
        <f t="shared" si="30"/>
        <v/>
      </c>
      <c r="X151" s="229">
        <f t="shared" si="31"/>
        <v>2</v>
      </c>
    </row>
    <row r="152" spans="2:24" x14ac:dyDescent="0.25">
      <c r="B152" s="229" t="str">
        <f>$V52</f>
        <v>Paul Fiddler</v>
      </c>
      <c r="C152" s="228" t="str">
        <f>Picks!B152</f>
        <v>Spurs</v>
      </c>
      <c r="D152" s="229" t="str">
        <f>Picks!C152</f>
        <v>3/4</v>
      </c>
      <c r="E152" s="229">
        <f>Picks!D152</f>
        <v>1.75</v>
      </c>
      <c r="F152" s="230">
        <v>1</v>
      </c>
      <c r="G152" s="228">
        <f>Picks!M152</f>
        <v>0</v>
      </c>
      <c r="H152" s="229">
        <f t="shared" si="29"/>
        <v>0</v>
      </c>
      <c r="I152" s="273" t="str">
        <f t="shared" si="30"/>
        <v/>
      </c>
      <c r="X152" s="229">
        <f t="shared" si="31"/>
        <v>0.75</v>
      </c>
    </row>
    <row r="153" spans="2:24" x14ac:dyDescent="0.25">
      <c r="B153" s="228"/>
      <c r="C153" s="228" t="str">
        <f>Picks!B153</f>
        <v>Sunderland</v>
      </c>
      <c r="D153" s="229" t="str">
        <f>Picks!C153</f>
        <v>6/5</v>
      </c>
      <c r="E153" s="229">
        <f>Picks!D153</f>
        <v>2.2000000000000002</v>
      </c>
      <c r="F153" s="230">
        <v>1</v>
      </c>
      <c r="G153" s="228">
        <f>Picks!M153</f>
        <v>0</v>
      </c>
      <c r="H153" s="229">
        <f t="shared" ref="H153:H184" si="32">+((E153-1)*G153*F153*A$2)</f>
        <v>0</v>
      </c>
      <c r="I153" s="273" t="str">
        <f t="shared" si="30"/>
        <v/>
      </c>
      <c r="X153" s="229">
        <f t="shared" si="31"/>
        <v>1.2000000000000002</v>
      </c>
    </row>
    <row r="154" spans="2:24" ht="13.8" thickBot="1" x14ac:dyDescent="0.3">
      <c r="B154" s="233"/>
      <c r="C154" s="233" t="str">
        <f>Picks!B154</f>
        <v>Sheff U</v>
      </c>
      <c r="D154" s="234" t="str">
        <f>Picks!C154</f>
        <v>21/20</v>
      </c>
      <c r="E154" s="234">
        <f>Picks!D154</f>
        <v>2.0499999999999998</v>
      </c>
      <c r="F154" s="276">
        <v>1</v>
      </c>
      <c r="G154" s="233">
        <f>Picks!M154</f>
        <v>0</v>
      </c>
      <c r="H154" s="234">
        <f t="shared" si="32"/>
        <v>0</v>
      </c>
      <c r="I154" s="273" t="str">
        <f t="shared" si="30"/>
        <v/>
      </c>
      <c r="X154" s="229">
        <f t="shared" si="31"/>
        <v>1.0499999999999998</v>
      </c>
    </row>
    <row r="155" spans="2:24" x14ac:dyDescent="0.25">
      <c r="B155" s="229" t="str">
        <f>$V53</f>
        <v>Paul Ridgeway</v>
      </c>
      <c r="C155" s="228" t="str">
        <f>Picks!B155</f>
        <v>Chelsea</v>
      </c>
      <c r="D155" s="229" t="str">
        <f>Picks!C155</f>
        <v>4/9</v>
      </c>
      <c r="E155" s="229">
        <f>Picks!D155</f>
        <v>1.4444444444444444</v>
      </c>
      <c r="F155" s="230">
        <v>1</v>
      </c>
      <c r="G155" s="228">
        <f>Picks!M155</f>
        <v>1</v>
      </c>
      <c r="H155" s="229">
        <f t="shared" si="32"/>
        <v>0.44444444444444442</v>
      </c>
      <c r="I155" s="273" t="str">
        <f t="shared" si="30"/>
        <v/>
      </c>
      <c r="X155" s="229">
        <f t="shared" si="31"/>
        <v>0.44444444444444442</v>
      </c>
    </row>
    <row r="156" spans="2:24" x14ac:dyDescent="0.25">
      <c r="B156" s="228"/>
      <c r="C156" s="228" t="str">
        <f>Picks!B156</f>
        <v>Spurs</v>
      </c>
      <c r="D156" s="229" t="str">
        <f>Picks!C156</f>
        <v>3/4</v>
      </c>
      <c r="E156" s="229">
        <f>Picks!D156</f>
        <v>1.75</v>
      </c>
      <c r="F156" s="230">
        <v>1</v>
      </c>
      <c r="G156" s="228">
        <f>Picks!M156</f>
        <v>0</v>
      </c>
      <c r="H156" s="229">
        <f t="shared" si="32"/>
        <v>0</v>
      </c>
      <c r="I156" s="273" t="str">
        <f t="shared" si="30"/>
        <v/>
      </c>
      <c r="X156" s="229">
        <f t="shared" si="31"/>
        <v>0.75</v>
      </c>
    </row>
    <row r="157" spans="2:24" ht="13.8" thickBot="1" x14ac:dyDescent="0.3">
      <c r="B157" s="233"/>
      <c r="C157" s="233" t="str">
        <f>Picks!B157</f>
        <v>Everton</v>
      </c>
      <c r="D157" s="234" t="str">
        <f>Picks!C157</f>
        <v>6/10</v>
      </c>
      <c r="E157" s="234">
        <f>Picks!D157</f>
        <v>1.6</v>
      </c>
      <c r="F157" s="276">
        <v>1</v>
      </c>
      <c r="G157" s="233">
        <f>Picks!M157</f>
        <v>1</v>
      </c>
      <c r="H157" s="234">
        <f t="shared" si="32"/>
        <v>0.60000000000000009</v>
      </c>
      <c r="I157" s="273" t="str">
        <f t="shared" si="30"/>
        <v/>
      </c>
      <c r="X157" s="229">
        <f t="shared" si="31"/>
        <v>0.60000000000000009</v>
      </c>
    </row>
    <row r="158" spans="2:24" x14ac:dyDescent="0.25">
      <c r="B158" s="229" t="str">
        <f>$V54</f>
        <v>Pete Baron</v>
      </c>
      <c r="C158" s="228" t="str">
        <f>Picks!B158</f>
        <v>Cardiff</v>
      </c>
      <c r="D158" s="229" t="str">
        <f>Picks!C158</f>
        <v>9/5</v>
      </c>
      <c r="E158" s="229">
        <f>Picks!D158</f>
        <v>2.8</v>
      </c>
      <c r="F158" s="230">
        <v>1</v>
      </c>
      <c r="G158" s="228">
        <f>Picks!M158</f>
        <v>0</v>
      </c>
      <c r="H158" s="229">
        <f t="shared" si="32"/>
        <v>0</v>
      </c>
      <c r="I158" s="273" t="str">
        <f t="shared" si="30"/>
        <v/>
      </c>
      <c r="X158" s="229">
        <f t="shared" si="31"/>
        <v>1.7999999999999998</v>
      </c>
    </row>
    <row r="159" spans="2:24" x14ac:dyDescent="0.25">
      <c r="B159" s="228"/>
      <c r="C159" s="228" t="str">
        <f>Picks!B159</f>
        <v>Exeter</v>
      </c>
      <c r="D159" s="229" t="str">
        <f>Picks!C159</f>
        <v>2/1</v>
      </c>
      <c r="E159" s="229">
        <f>Picks!D159</f>
        <v>3</v>
      </c>
      <c r="F159" s="230">
        <v>1</v>
      </c>
      <c r="G159" s="228">
        <f>Picks!M159</f>
        <v>0</v>
      </c>
      <c r="H159" s="229">
        <f t="shared" si="32"/>
        <v>0</v>
      </c>
      <c r="I159" s="273" t="str">
        <f t="shared" si="30"/>
        <v/>
      </c>
      <c r="X159" s="229">
        <f t="shared" si="31"/>
        <v>2</v>
      </c>
    </row>
    <row r="160" spans="2:24" ht="13.8" thickBot="1" x14ac:dyDescent="0.3">
      <c r="B160" s="233"/>
      <c r="C160" s="233" t="str">
        <f>Picks!B160</f>
        <v>Norwich</v>
      </c>
      <c r="D160" s="234" t="str">
        <f>Picks!C160</f>
        <v>2/1</v>
      </c>
      <c r="E160" s="234">
        <f>Picks!D160</f>
        <v>3</v>
      </c>
      <c r="F160" s="276">
        <v>1</v>
      </c>
      <c r="G160" s="233">
        <f>Picks!M160</f>
        <v>1</v>
      </c>
      <c r="H160" s="234">
        <f t="shared" si="32"/>
        <v>2</v>
      </c>
      <c r="I160" s="273" t="str">
        <f t="shared" si="30"/>
        <v/>
      </c>
      <c r="X160" s="229">
        <f t="shared" si="31"/>
        <v>2</v>
      </c>
    </row>
    <row r="161" spans="2:24" x14ac:dyDescent="0.25">
      <c r="B161" s="229" t="str">
        <f>$V55</f>
        <v>Phil Brown</v>
      </c>
      <c r="C161" s="228" t="str">
        <f>Picks!B161</f>
        <v>Cardiff</v>
      </c>
      <c r="D161" s="229" t="str">
        <f>Picks!C161</f>
        <v>9/5</v>
      </c>
      <c r="E161" s="229">
        <f>Picks!D161</f>
        <v>2.8</v>
      </c>
      <c r="F161" s="230">
        <v>1</v>
      </c>
      <c r="G161" s="228">
        <f>Picks!M161</f>
        <v>0</v>
      </c>
      <c r="H161" s="229">
        <f t="shared" si="32"/>
        <v>0</v>
      </c>
      <c r="I161" s="273" t="str">
        <f t="shared" si="30"/>
        <v/>
      </c>
      <c r="X161" s="229">
        <f t="shared" si="31"/>
        <v>1.7999999999999998</v>
      </c>
    </row>
    <row r="162" spans="2:24" x14ac:dyDescent="0.25">
      <c r="B162" s="228"/>
      <c r="C162" s="228" t="str">
        <f>Picks!B162</f>
        <v>West Ham</v>
      </c>
      <c r="D162" s="229" t="str">
        <f>Picks!C162</f>
        <v>11/8</v>
      </c>
      <c r="E162" s="229">
        <f>Picks!D162</f>
        <v>2.375</v>
      </c>
      <c r="F162" s="230">
        <v>1</v>
      </c>
      <c r="G162" s="228">
        <f>Picks!M162</f>
        <v>1</v>
      </c>
      <c r="H162" s="229">
        <f t="shared" si="32"/>
        <v>1.375</v>
      </c>
      <c r="I162" s="273" t="str">
        <f t="shared" si="30"/>
        <v/>
      </c>
      <c r="X162" s="229">
        <f t="shared" si="31"/>
        <v>1.375</v>
      </c>
    </row>
    <row r="163" spans="2:24" ht="13.8" thickBot="1" x14ac:dyDescent="0.3">
      <c r="B163" s="233"/>
      <c r="C163" s="233" t="str">
        <f>Picks!B163</f>
        <v>Swansea</v>
      </c>
      <c r="D163" s="234" t="str">
        <f>Picks!C163</f>
        <v>7/4</v>
      </c>
      <c r="E163" s="234">
        <f>Picks!D163</f>
        <v>2.75</v>
      </c>
      <c r="F163" s="276">
        <v>1</v>
      </c>
      <c r="G163" s="233">
        <f>Picks!M163</f>
        <v>0</v>
      </c>
      <c r="H163" s="234">
        <f t="shared" si="32"/>
        <v>0</v>
      </c>
      <c r="I163" s="273" t="str">
        <f t="shared" si="30"/>
        <v/>
      </c>
      <c r="X163" s="229">
        <f t="shared" si="31"/>
        <v>1.75</v>
      </c>
    </row>
    <row r="164" spans="2:24" x14ac:dyDescent="0.25">
      <c r="B164" s="229" t="str">
        <f>$V56</f>
        <v>Phil Miller</v>
      </c>
      <c r="C164" s="228" t="str">
        <f>Picks!B164</f>
        <v>Chelsea</v>
      </c>
      <c r="D164" s="229" t="str">
        <f>Picks!C164</f>
        <v>4/9</v>
      </c>
      <c r="E164" s="229">
        <f>Picks!D164</f>
        <v>1.4444444444444444</v>
      </c>
      <c r="F164" s="230">
        <v>1</v>
      </c>
      <c r="G164" s="228">
        <f>Picks!M164</f>
        <v>1</v>
      </c>
      <c r="H164" s="229">
        <f t="shared" si="32"/>
        <v>0.44444444444444442</v>
      </c>
      <c r="I164" s="273" t="str">
        <f t="shared" si="30"/>
        <v/>
      </c>
      <c r="X164" s="229">
        <f t="shared" si="31"/>
        <v>0.44444444444444442</v>
      </c>
    </row>
    <row r="165" spans="2:24" x14ac:dyDescent="0.25">
      <c r="B165" s="228"/>
      <c r="C165" s="228" t="str">
        <f>Picks!B165</f>
        <v>Leeds</v>
      </c>
      <c r="D165" s="229" t="str">
        <f>Picks!C165</f>
        <v>9/13</v>
      </c>
      <c r="E165" s="229">
        <f>Picks!D165</f>
        <v>1.6923076923076923</v>
      </c>
      <c r="F165" s="230">
        <v>1</v>
      </c>
      <c r="G165" s="228">
        <f>Picks!M165</f>
        <v>0</v>
      </c>
      <c r="H165" s="229">
        <f t="shared" si="32"/>
        <v>0</v>
      </c>
      <c r="I165" s="273" t="str">
        <f t="shared" si="30"/>
        <v/>
      </c>
      <c r="X165" s="229">
        <f t="shared" si="31"/>
        <v>0.69230769230769229</v>
      </c>
    </row>
    <row r="166" spans="2:24" ht="13.8" thickBot="1" x14ac:dyDescent="0.3">
      <c r="B166" s="233"/>
      <c r="C166" s="233" t="str">
        <f>Picks!B166</f>
        <v>Wolves</v>
      </c>
      <c r="D166" s="234" t="str">
        <f>Picks!C166</f>
        <v>1/2</v>
      </c>
      <c r="E166" s="234">
        <f>Picks!D166</f>
        <v>1.5</v>
      </c>
      <c r="F166" s="276">
        <v>1</v>
      </c>
      <c r="G166" s="233">
        <f>Picks!M166</f>
        <v>1</v>
      </c>
      <c r="H166" s="234">
        <f t="shared" si="32"/>
        <v>0.5</v>
      </c>
      <c r="I166" s="273" t="str">
        <f t="shared" si="30"/>
        <v/>
      </c>
      <c r="X166" s="229">
        <f t="shared" si="31"/>
        <v>0.5</v>
      </c>
    </row>
    <row r="167" spans="2:24" x14ac:dyDescent="0.25">
      <c r="B167" s="229" t="str">
        <f>$V57</f>
        <v>Rob England</v>
      </c>
      <c r="C167" s="228" t="str">
        <f>Picks!B167</f>
        <v>Bury</v>
      </c>
      <c r="D167" s="229" t="str">
        <f>Picks!C167</f>
        <v>1/2</v>
      </c>
      <c r="E167" s="229">
        <f>Picks!D167</f>
        <v>1.5</v>
      </c>
      <c r="F167" s="230">
        <v>1</v>
      </c>
      <c r="G167" s="228">
        <f>Picks!M167</f>
        <v>0</v>
      </c>
      <c r="H167" s="229">
        <f t="shared" si="32"/>
        <v>0</v>
      </c>
      <c r="I167" s="273" t="str">
        <f t="shared" si="30"/>
        <v/>
      </c>
      <c r="X167" s="229">
        <f t="shared" si="31"/>
        <v>0.5</v>
      </c>
    </row>
    <row r="168" spans="2:24" x14ac:dyDescent="0.25">
      <c r="B168" s="228"/>
      <c r="C168" s="228" t="str">
        <f>Picks!B168</f>
        <v>Newport</v>
      </c>
      <c r="D168" s="229" t="str">
        <f>Picks!C168</f>
        <v>15/13</v>
      </c>
      <c r="E168" s="229">
        <f>Picks!D168</f>
        <v>2.1538461538461537</v>
      </c>
      <c r="F168" s="230">
        <v>1</v>
      </c>
      <c r="G168" s="228">
        <f>Picks!M168</f>
        <v>0</v>
      </c>
      <c r="H168" s="229">
        <f t="shared" si="32"/>
        <v>0</v>
      </c>
      <c r="I168" s="273" t="str">
        <f t="shared" si="30"/>
        <v/>
      </c>
      <c r="X168" s="229">
        <f t="shared" si="31"/>
        <v>1.1538461538461537</v>
      </c>
    </row>
    <row r="169" spans="2:24" ht="13.8" thickBot="1" x14ac:dyDescent="0.3">
      <c r="B169" s="233"/>
      <c r="C169" s="233" t="str">
        <f>Picks!B169</f>
        <v>Middlesbro</v>
      </c>
      <c r="D169" s="234" t="str">
        <f>Picks!C169</f>
        <v>11/13</v>
      </c>
      <c r="E169" s="234">
        <f>Picks!D169</f>
        <v>1.8461538461538463</v>
      </c>
      <c r="F169" s="276">
        <v>1</v>
      </c>
      <c r="G169" s="233">
        <f>Picks!M169</f>
        <v>1</v>
      </c>
      <c r="H169" s="234">
        <f t="shared" si="32"/>
        <v>0.84615384615384626</v>
      </c>
      <c r="I169" s="273" t="str">
        <f t="shared" si="30"/>
        <v/>
      </c>
      <c r="X169" s="229">
        <f t="shared" si="31"/>
        <v>0.84615384615384626</v>
      </c>
    </row>
    <row r="170" spans="2:24" x14ac:dyDescent="0.25">
      <c r="B170" s="229" t="str">
        <f>$V58</f>
        <v>Sally Williams</v>
      </c>
      <c r="C170" s="228" t="str">
        <f>Picks!B170</f>
        <v>Southend</v>
      </c>
      <c r="D170" s="229" t="str">
        <f>Picks!C170</f>
        <v>11/5</v>
      </c>
      <c r="E170" s="229">
        <f>Picks!D170</f>
        <v>3.2</v>
      </c>
      <c r="F170" s="230">
        <v>1</v>
      </c>
      <c r="G170" s="228">
        <f>Picks!M170</f>
        <v>1</v>
      </c>
      <c r="H170" s="229">
        <f t="shared" si="32"/>
        <v>2.2000000000000002</v>
      </c>
      <c r="I170" s="273" t="str">
        <f t="shared" si="30"/>
        <v/>
      </c>
      <c r="X170" s="229">
        <f t="shared" si="31"/>
        <v>2.2000000000000002</v>
      </c>
    </row>
    <row r="171" spans="2:24" x14ac:dyDescent="0.25">
      <c r="B171" s="228"/>
      <c r="C171" s="228" t="str">
        <f>Picks!B171</f>
        <v>Notts co</v>
      </c>
      <c r="D171" s="229" t="str">
        <f>Picks!C171</f>
        <v>9/5</v>
      </c>
      <c r="E171" s="229">
        <f>Picks!D171</f>
        <v>2.8</v>
      </c>
      <c r="F171" s="230">
        <v>1</v>
      </c>
      <c r="G171" s="228">
        <f>Picks!M171</f>
        <v>0</v>
      </c>
      <c r="H171" s="229">
        <f t="shared" si="32"/>
        <v>0</v>
      </c>
      <c r="I171" s="273" t="str">
        <f t="shared" si="30"/>
        <v/>
      </c>
      <c r="X171" s="229">
        <f t="shared" si="31"/>
        <v>1.7999999999999998</v>
      </c>
    </row>
    <row r="172" spans="2:24" ht="13.8" thickBot="1" x14ac:dyDescent="0.3">
      <c r="B172" s="233"/>
      <c r="C172" s="233" t="str">
        <f>Picks!B172</f>
        <v>Brentford draw</v>
      </c>
      <c r="D172" s="234" t="str">
        <f>Picks!C172</f>
        <v>5/2</v>
      </c>
      <c r="E172" s="234">
        <f>Picks!D172</f>
        <v>3.5</v>
      </c>
      <c r="F172" s="276">
        <v>1</v>
      </c>
      <c r="G172" s="233">
        <f>Picks!M172</f>
        <v>0</v>
      </c>
      <c r="H172" s="234">
        <f t="shared" si="32"/>
        <v>0</v>
      </c>
      <c r="I172" s="273" t="str">
        <f t="shared" si="30"/>
        <v/>
      </c>
      <c r="X172" s="229">
        <f t="shared" si="31"/>
        <v>2.5</v>
      </c>
    </row>
    <row r="173" spans="2:24" x14ac:dyDescent="0.25">
      <c r="B173" s="229" t="str">
        <f>$V59</f>
        <v>Simon Greenhalgh</v>
      </c>
      <c r="C173" s="228" t="str">
        <f>Picks!B173</f>
        <v>Everton Draw</v>
      </c>
      <c r="D173" s="229" t="str">
        <f>Picks!C173</f>
        <v>3/1</v>
      </c>
      <c r="E173" s="229">
        <f>Picks!D173</f>
        <v>4</v>
      </c>
      <c r="F173" s="230">
        <v>1</v>
      </c>
      <c r="G173" s="228">
        <f>Picks!M173</f>
        <v>0</v>
      </c>
      <c r="H173" s="229">
        <f t="shared" si="32"/>
        <v>0</v>
      </c>
      <c r="I173" s="273" t="str">
        <f t="shared" si="30"/>
        <v/>
      </c>
      <c r="X173" s="229">
        <f t="shared" si="31"/>
        <v>3</v>
      </c>
    </row>
    <row r="174" spans="2:24" x14ac:dyDescent="0.25">
      <c r="B174" s="228"/>
      <c r="C174" s="228" t="str">
        <f>Picks!B174</f>
        <v>Wolves Draw</v>
      </c>
      <c r="D174" s="229" t="str">
        <f>Picks!C174</f>
        <v>16/5</v>
      </c>
      <c r="E174" s="229">
        <f>Picks!D174</f>
        <v>4.2</v>
      </c>
      <c r="F174" s="230">
        <v>1</v>
      </c>
      <c r="G174" s="228">
        <f>Picks!M174</f>
        <v>0</v>
      </c>
      <c r="H174" s="229">
        <f t="shared" si="32"/>
        <v>0</v>
      </c>
      <c r="I174" s="273" t="str">
        <f t="shared" si="30"/>
        <v/>
      </c>
      <c r="X174" s="229">
        <f t="shared" si="31"/>
        <v>3.2</v>
      </c>
    </row>
    <row r="175" spans="2:24" ht="13.8" thickBot="1" x14ac:dyDescent="0.3">
      <c r="B175" s="233"/>
      <c r="C175" s="233" t="str">
        <f>Picks!B175</f>
        <v>Cardiff Draw</v>
      </c>
      <c r="D175" s="234" t="str">
        <f>Picks!C175</f>
        <v>9/4</v>
      </c>
      <c r="E175" s="234">
        <f>Picks!D175</f>
        <v>3.25</v>
      </c>
      <c r="F175" s="276">
        <v>1</v>
      </c>
      <c r="G175" s="233">
        <f>Picks!M175</f>
        <v>0</v>
      </c>
      <c r="H175" s="234">
        <f t="shared" si="32"/>
        <v>0</v>
      </c>
      <c r="I175" s="273" t="str">
        <f t="shared" si="30"/>
        <v/>
      </c>
      <c r="X175" s="229">
        <f t="shared" si="31"/>
        <v>2.25</v>
      </c>
    </row>
    <row r="176" spans="2:24" x14ac:dyDescent="0.25">
      <c r="B176" s="229" t="str">
        <f>$V60</f>
        <v>Ste Bentley</v>
      </c>
      <c r="C176" s="228" t="str">
        <f>Picks!B176</f>
        <v>West Ham</v>
      </c>
      <c r="D176" s="229" t="str">
        <f>Picks!C176</f>
        <v>11/8</v>
      </c>
      <c r="E176" s="229">
        <f>Picks!D176</f>
        <v>2.375</v>
      </c>
      <c r="F176" s="230">
        <v>1</v>
      </c>
      <c r="G176" s="228">
        <f>Picks!M176</f>
        <v>1</v>
      </c>
      <c r="H176" s="229">
        <f t="shared" si="32"/>
        <v>1.375</v>
      </c>
      <c r="I176" s="273" t="str">
        <f t="shared" si="30"/>
        <v/>
      </c>
      <c r="X176" s="229">
        <f t="shared" si="31"/>
        <v>1.375</v>
      </c>
    </row>
    <row r="177" spans="2:24" x14ac:dyDescent="0.25">
      <c r="B177" s="228"/>
      <c r="C177" s="228" t="str">
        <f>Picks!B177</f>
        <v>Wolves</v>
      </c>
      <c r="D177" s="229" t="str">
        <f>Picks!C177</f>
        <v>1/2</v>
      </c>
      <c r="E177" s="229">
        <f>Picks!D177</f>
        <v>1.5</v>
      </c>
      <c r="F177" s="230">
        <v>1</v>
      </c>
      <c r="G177" s="228">
        <f>Picks!M177</f>
        <v>1</v>
      </c>
      <c r="H177" s="229">
        <f t="shared" si="32"/>
        <v>0.5</v>
      </c>
      <c r="I177" s="273" t="str">
        <f t="shared" si="30"/>
        <v/>
      </c>
      <c r="X177" s="229">
        <f t="shared" si="31"/>
        <v>0.5</v>
      </c>
    </row>
    <row r="178" spans="2:24" ht="13.8" thickBot="1" x14ac:dyDescent="0.3">
      <c r="B178" s="233"/>
      <c r="C178" s="233" t="str">
        <f>Picks!B178</f>
        <v>MK Dons</v>
      </c>
      <c r="D178" s="234" t="str">
        <f>Picks!C178</f>
        <v>6/5</v>
      </c>
      <c r="E178" s="234">
        <f>Picks!D178</f>
        <v>2.2000000000000002</v>
      </c>
      <c r="F178" s="276">
        <v>1</v>
      </c>
      <c r="G178" s="233">
        <f>Picks!M178</f>
        <v>1</v>
      </c>
      <c r="H178" s="234">
        <f t="shared" si="32"/>
        <v>1.2000000000000002</v>
      </c>
      <c r="I178" s="273" t="str">
        <f t="shared" si="30"/>
        <v/>
      </c>
      <c r="X178" s="229">
        <f t="shared" si="31"/>
        <v>1.2000000000000002</v>
      </c>
    </row>
    <row r="179" spans="2:24" x14ac:dyDescent="0.25">
      <c r="B179" s="229" t="str">
        <f>$V61</f>
        <v>Stephen Barr</v>
      </c>
      <c r="C179" s="228" t="str">
        <f>Picks!B179</f>
        <v>Spurs</v>
      </c>
      <c r="D179" s="229" t="str">
        <f>Picks!C179</f>
        <v>3/4</v>
      </c>
      <c r="E179" s="229">
        <f>Picks!D179</f>
        <v>1.75</v>
      </c>
      <c r="F179" s="230">
        <v>1</v>
      </c>
      <c r="G179" s="228">
        <f>Picks!M179</f>
        <v>0</v>
      </c>
      <c r="H179" s="229">
        <f t="shared" si="32"/>
        <v>0</v>
      </c>
      <c r="I179" s="273" t="str">
        <f t="shared" si="30"/>
        <v/>
      </c>
      <c r="X179" s="229">
        <f t="shared" si="31"/>
        <v>0.75</v>
      </c>
    </row>
    <row r="180" spans="2:24" x14ac:dyDescent="0.25">
      <c r="B180" s="228"/>
      <c r="C180" s="228" t="str">
        <f>Picks!B180</f>
        <v>Fulham</v>
      </c>
      <c r="D180" s="229" t="str">
        <f>Picks!C180</f>
        <v>11/2</v>
      </c>
      <c r="E180" s="229">
        <f>Picks!D180</f>
        <v>6.5</v>
      </c>
      <c r="F180" s="230">
        <v>1</v>
      </c>
      <c r="G180" s="228">
        <f>Picks!M180</f>
        <v>0</v>
      </c>
      <c r="H180" s="229">
        <f t="shared" si="32"/>
        <v>0</v>
      </c>
      <c r="I180" s="273" t="str">
        <f t="shared" si="30"/>
        <v/>
      </c>
      <c r="X180" s="229">
        <f t="shared" si="31"/>
        <v>5.5</v>
      </c>
    </row>
    <row r="181" spans="2:24" ht="13.8" thickBot="1" x14ac:dyDescent="0.3">
      <c r="B181" s="233"/>
      <c r="C181" s="233" t="str">
        <f>Picks!B181</f>
        <v>Huddersfield</v>
      </c>
      <c r="D181" s="234" t="str">
        <f>Picks!C181</f>
        <v>9/1</v>
      </c>
      <c r="E181" s="234">
        <f>Picks!D181</f>
        <v>10</v>
      </c>
      <c r="F181" s="276">
        <v>1</v>
      </c>
      <c r="G181" s="233">
        <f>Picks!M181</f>
        <v>0</v>
      </c>
      <c r="H181" s="234">
        <f t="shared" si="32"/>
        <v>0</v>
      </c>
      <c r="I181" s="273" t="str">
        <f t="shared" si="30"/>
        <v/>
      </c>
      <c r="X181" s="229">
        <f t="shared" si="31"/>
        <v>9</v>
      </c>
    </row>
    <row r="182" spans="2:24" x14ac:dyDescent="0.25">
      <c r="B182" s="229" t="str">
        <f>$V62</f>
        <v>Stephen Troop</v>
      </c>
      <c r="C182" s="228" t="str">
        <f>Picks!B182</f>
        <v>Bournemouth</v>
      </c>
      <c r="D182" s="229" t="str">
        <f>Picks!C182</f>
        <v>17/5</v>
      </c>
      <c r="E182" s="229">
        <f>Picks!D182</f>
        <v>4.4000000000000004</v>
      </c>
      <c r="F182" s="230">
        <v>1</v>
      </c>
      <c r="G182" s="228">
        <f>Picks!M182</f>
        <v>1</v>
      </c>
      <c r="H182" s="229">
        <f t="shared" si="32"/>
        <v>3.4000000000000004</v>
      </c>
      <c r="I182" s="273" t="str">
        <f t="shared" si="30"/>
        <v/>
      </c>
      <c r="X182" s="229">
        <f t="shared" si="31"/>
        <v>3.4000000000000004</v>
      </c>
    </row>
    <row r="183" spans="2:24" x14ac:dyDescent="0.25">
      <c r="B183" s="228"/>
      <c r="C183" s="228" t="str">
        <f>Picks!B183</f>
        <v>Liverpool</v>
      </c>
      <c r="D183" s="229" t="str">
        <f>Picks!C183</f>
        <v>1/3</v>
      </c>
      <c r="E183" s="229">
        <f>Picks!D183</f>
        <v>1.3333333333333333</v>
      </c>
      <c r="F183" s="230">
        <v>1</v>
      </c>
      <c r="G183" s="228">
        <f>Picks!M183</f>
        <v>1</v>
      </c>
      <c r="H183" s="229">
        <f t="shared" si="32"/>
        <v>0.33333333333333326</v>
      </c>
      <c r="I183" s="273" t="str">
        <f t="shared" si="30"/>
        <v/>
      </c>
      <c r="X183" s="229">
        <f t="shared" si="31"/>
        <v>0.33333333333333326</v>
      </c>
    </row>
    <row r="184" spans="2:24" ht="13.8" thickBot="1" x14ac:dyDescent="0.3">
      <c r="B184" s="233"/>
      <c r="C184" s="233" t="str">
        <f>Picks!B184</f>
        <v>Charlton</v>
      </c>
      <c r="D184" s="234" t="str">
        <f>Picks!C184</f>
        <v>3/4</v>
      </c>
      <c r="E184" s="234">
        <f>Picks!D184</f>
        <v>1.75</v>
      </c>
      <c r="F184" s="276">
        <v>1</v>
      </c>
      <c r="G184" s="233">
        <f>Picks!M184</f>
        <v>1</v>
      </c>
      <c r="H184" s="234">
        <f t="shared" si="32"/>
        <v>0.75</v>
      </c>
      <c r="I184" s="273" t="str">
        <f t="shared" si="30"/>
        <v/>
      </c>
      <c r="X184" s="229">
        <f t="shared" si="31"/>
        <v>0.75</v>
      </c>
    </row>
    <row r="185" spans="2:24" x14ac:dyDescent="0.25">
      <c r="B185" s="229" t="str">
        <f>$V63</f>
        <v>Steve Baxter</v>
      </c>
      <c r="C185" s="228" t="str">
        <f>Picks!B185</f>
        <v>Liverpool</v>
      </c>
      <c r="D185" s="229" t="str">
        <f>Picks!C185</f>
        <v>1/3</v>
      </c>
      <c r="E185" s="229">
        <f>Picks!D185</f>
        <v>1.3333333333333333</v>
      </c>
      <c r="F185" s="230">
        <v>1</v>
      </c>
      <c r="G185" s="228">
        <f>Picks!M185</f>
        <v>1</v>
      </c>
      <c r="H185" s="229">
        <f t="shared" ref="H185:H196" si="33">+((E185-1)*G185*F185*A$2)</f>
        <v>0.33333333333333326</v>
      </c>
      <c r="I185" s="273" t="str">
        <f t="shared" si="30"/>
        <v/>
      </c>
      <c r="X185" s="229">
        <f t="shared" si="31"/>
        <v>0.33333333333333326</v>
      </c>
    </row>
    <row r="186" spans="2:24" x14ac:dyDescent="0.25">
      <c r="B186" s="228"/>
      <c r="C186" s="228" t="str">
        <f>Picks!B186</f>
        <v>Man U</v>
      </c>
      <c r="D186" s="229" t="str">
        <f>Picks!C186</f>
        <v>3/10</v>
      </c>
      <c r="E186" s="229">
        <f>Picks!D186</f>
        <v>1.3</v>
      </c>
      <c r="F186" s="230">
        <v>1</v>
      </c>
      <c r="G186" s="228">
        <f>Picks!M186</f>
        <v>0</v>
      </c>
      <c r="H186" s="229">
        <f t="shared" si="33"/>
        <v>0</v>
      </c>
      <c r="I186" s="273" t="str">
        <f t="shared" si="30"/>
        <v/>
      </c>
      <c r="X186" s="229">
        <f t="shared" si="31"/>
        <v>0.30000000000000004</v>
      </c>
    </row>
    <row r="187" spans="2:24" ht="13.8" thickBot="1" x14ac:dyDescent="0.3">
      <c r="B187" s="233"/>
      <c r="C187" s="233" t="str">
        <f>Picks!B187</f>
        <v>Arsenal</v>
      </c>
      <c r="D187" s="234" t="str">
        <f>Picks!C187</f>
        <v>7/20</v>
      </c>
      <c r="E187" s="234">
        <f>Picks!D187</f>
        <v>1.35</v>
      </c>
      <c r="F187" s="276">
        <v>1</v>
      </c>
      <c r="G187" s="233">
        <f>Picks!M187</f>
        <v>0</v>
      </c>
      <c r="H187" s="234">
        <f t="shared" si="33"/>
        <v>0</v>
      </c>
      <c r="I187" s="273" t="str">
        <f t="shared" si="30"/>
        <v/>
      </c>
      <c r="X187" s="229">
        <f t="shared" si="31"/>
        <v>0.35000000000000009</v>
      </c>
    </row>
    <row r="188" spans="2:24" x14ac:dyDescent="0.25">
      <c r="B188" s="229" t="str">
        <f>$V64</f>
        <v>Steve Carter</v>
      </c>
      <c r="C188" s="228" t="str">
        <f>Picks!B188</f>
        <v>Everton</v>
      </c>
      <c r="D188" s="229" t="str">
        <f>Picks!C188</f>
        <v>6/10</v>
      </c>
      <c r="E188" s="229">
        <f>Picks!D188</f>
        <v>1.6</v>
      </c>
      <c r="F188" s="230">
        <v>1</v>
      </c>
      <c r="G188" s="228">
        <f>Picks!M188</f>
        <v>1</v>
      </c>
      <c r="H188" s="229">
        <f t="shared" si="33"/>
        <v>0.60000000000000009</v>
      </c>
      <c r="I188" s="273" t="str">
        <f t="shared" si="30"/>
        <v/>
      </c>
      <c r="X188" s="229">
        <f t="shared" si="31"/>
        <v>0.60000000000000009</v>
      </c>
    </row>
    <row r="189" spans="2:24" x14ac:dyDescent="0.25">
      <c r="B189" s="228"/>
      <c r="C189" s="228" t="str">
        <f>Picks!B189</f>
        <v>Spurs</v>
      </c>
      <c r="D189" s="229" t="str">
        <f>Picks!C189</f>
        <v>3/4</v>
      </c>
      <c r="E189" s="229">
        <f>Picks!D189</f>
        <v>1.75</v>
      </c>
      <c r="F189" s="230">
        <v>1</v>
      </c>
      <c r="G189" s="228">
        <f>Picks!M189</f>
        <v>0</v>
      </c>
      <c r="H189" s="229">
        <f t="shared" si="33"/>
        <v>0</v>
      </c>
      <c r="I189" s="273" t="str">
        <f t="shared" si="30"/>
        <v/>
      </c>
      <c r="X189" s="229">
        <f t="shared" si="31"/>
        <v>0.75</v>
      </c>
    </row>
    <row r="190" spans="2:24" ht="13.8" thickBot="1" x14ac:dyDescent="0.3">
      <c r="B190" s="233"/>
      <c r="C190" s="233" t="str">
        <f>Picks!B190</f>
        <v>Palace</v>
      </c>
      <c r="D190" s="234" t="str">
        <f>Picks!C190</f>
        <v>8/5</v>
      </c>
      <c r="E190" s="234">
        <f>Picks!D190</f>
        <v>2.6</v>
      </c>
      <c r="F190" s="276">
        <v>1</v>
      </c>
      <c r="G190" s="233">
        <f>Picks!M190</f>
        <v>1</v>
      </c>
      <c r="H190" s="234">
        <f t="shared" si="33"/>
        <v>1.6</v>
      </c>
      <c r="I190" s="273" t="str">
        <f t="shared" si="30"/>
        <v/>
      </c>
      <c r="X190" s="229">
        <f t="shared" si="31"/>
        <v>1.6</v>
      </c>
    </row>
    <row r="191" spans="2:24" x14ac:dyDescent="0.25">
      <c r="B191" s="229" t="str">
        <f>$V65</f>
        <v>Tom Robinson</v>
      </c>
      <c r="C191" s="228" t="str">
        <f>Picks!B191</f>
        <v>Luton</v>
      </c>
      <c r="D191" s="229" t="str">
        <f>Picks!C191</f>
        <v>3/10</v>
      </c>
      <c r="E191" s="229">
        <f>Picks!D191</f>
        <v>1.3</v>
      </c>
      <c r="F191" s="230">
        <v>1</v>
      </c>
      <c r="G191" s="228">
        <f>Picks!M191</f>
        <v>1</v>
      </c>
      <c r="H191" s="229">
        <f t="shared" si="33"/>
        <v>0.30000000000000004</v>
      </c>
      <c r="I191" s="273" t="str">
        <f t="shared" si="30"/>
        <v/>
      </c>
      <c r="X191" s="229">
        <f t="shared" si="31"/>
        <v>0.30000000000000004</v>
      </c>
    </row>
    <row r="192" spans="2:24" x14ac:dyDescent="0.25">
      <c r="B192" s="228"/>
      <c r="C192" s="228" t="str">
        <f>Picks!B192</f>
        <v>Fleetwood</v>
      </c>
      <c r="D192" s="229" t="str">
        <f>Picks!C192</f>
        <v>27/10</v>
      </c>
      <c r="E192" s="229">
        <f>Picks!D192</f>
        <v>3.7</v>
      </c>
      <c r="F192" s="230">
        <v>1</v>
      </c>
      <c r="G192" s="228">
        <f>Picks!M192</f>
        <v>0</v>
      </c>
      <c r="H192" s="229">
        <f t="shared" si="33"/>
        <v>0</v>
      </c>
      <c r="I192" s="273" t="str">
        <f t="shared" ref="I192:I199" si="34">IF(V192="","",V192)</f>
        <v/>
      </c>
      <c r="X192" s="229">
        <f t="shared" si="31"/>
        <v>2.7</v>
      </c>
    </row>
    <row r="193" spans="2:25" ht="13.8" thickBot="1" x14ac:dyDescent="0.3">
      <c r="B193" s="233"/>
      <c r="C193" s="233" t="str">
        <f>Picks!B193</f>
        <v>Macclesfield draw</v>
      </c>
      <c r="D193" s="234" t="str">
        <f>Picks!C193</f>
        <v>9/4</v>
      </c>
      <c r="E193" s="234">
        <f>Picks!D193</f>
        <v>3.25</v>
      </c>
      <c r="F193" s="276">
        <v>1</v>
      </c>
      <c r="G193" s="233">
        <f>Picks!M193</f>
        <v>1</v>
      </c>
      <c r="H193" s="234">
        <f t="shared" si="33"/>
        <v>2.25</v>
      </c>
      <c r="I193" s="273" t="str">
        <f t="shared" si="34"/>
        <v/>
      </c>
      <c r="X193" s="229">
        <f t="shared" si="31"/>
        <v>2.25</v>
      </c>
    </row>
    <row r="194" spans="2:25" x14ac:dyDescent="0.25">
      <c r="B194" s="229" t="str">
        <f>$V66</f>
        <v>Vinny Topping</v>
      </c>
      <c r="C194" s="228" t="str">
        <f>Picks!B194</f>
        <v>Everton</v>
      </c>
      <c r="D194" s="229" t="str">
        <f>Picks!C194</f>
        <v>6/10</v>
      </c>
      <c r="E194" s="229">
        <f>Picks!D194</f>
        <v>1.6</v>
      </c>
      <c r="F194" s="230">
        <v>1</v>
      </c>
      <c r="G194" s="228">
        <f>Picks!M194</f>
        <v>1</v>
      </c>
      <c r="H194" s="229">
        <f t="shared" si="33"/>
        <v>0.60000000000000009</v>
      </c>
      <c r="I194" s="273" t="str">
        <f t="shared" si="34"/>
        <v/>
      </c>
      <c r="X194" s="229">
        <f t="shared" si="31"/>
        <v>0.60000000000000009</v>
      </c>
    </row>
    <row r="195" spans="2:25" x14ac:dyDescent="0.25">
      <c r="B195" s="228"/>
      <c r="C195" s="228" t="str">
        <f>Picks!B195</f>
        <v>West Brom</v>
      </c>
      <c r="D195" s="229" t="str">
        <f>Picks!C195</f>
        <v>9/4</v>
      </c>
      <c r="E195" s="229">
        <f>Picks!D195</f>
        <v>3.25</v>
      </c>
      <c r="F195" s="230">
        <v>1</v>
      </c>
      <c r="G195" s="228">
        <f>Picks!M195</f>
        <v>0</v>
      </c>
      <c r="H195" s="229">
        <f t="shared" si="33"/>
        <v>0</v>
      </c>
      <c r="I195" s="273" t="str">
        <f t="shared" si="34"/>
        <v/>
      </c>
      <c r="X195" s="229">
        <f>+((E195-1)*F195*A$2)</f>
        <v>2.25</v>
      </c>
    </row>
    <row r="196" spans="2:25" ht="13.8" thickBot="1" x14ac:dyDescent="0.3">
      <c r="B196" s="233"/>
      <c r="C196" s="233" t="str">
        <f>Picks!B196</f>
        <v>Wigan</v>
      </c>
      <c r="D196" s="234" t="str">
        <f>Picks!C196</f>
        <v>13/10</v>
      </c>
      <c r="E196" s="234">
        <f>Picks!D196</f>
        <v>2.2999999999999998</v>
      </c>
      <c r="F196" s="276">
        <v>1</v>
      </c>
      <c r="G196" s="233">
        <f>Picks!M196</f>
        <v>1</v>
      </c>
      <c r="H196" s="234">
        <f t="shared" si="33"/>
        <v>1.2999999999999998</v>
      </c>
      <c r="I196" s="273" t="str">
        <f t="shared" si="34"/>
        <v/>
      </c>
      <c r="X196" s="229">
        <f>+((E196-1)*F196*A$2)</f>
        <v>1.2999999999999998</v>
      </c>
    </row>
    <row r="197" spans="2:25" x14ac:dyDescent="0.25">
      <c r="I197" s="273" t="str">
        <f t="shared" si="34"/>
        <v/>
      </c>
    </row>
    <row r="198" spans="2:25" x14ac:dyDescent="0.25">
      <c r="I198" s="273" t="str">
        <f t="shared" si="34"/>
        <v/>
      </c>
    </row>
    <row r="199" spans="2:25" x14ac:dyDescent="0.25">
      <c r="I199" s="273" t="str">
        <f t="shared" si="34"/>
        <v/>
      </c>
      <c r="Y199" s="11" t="s">
        <v>210</v>
      </c>
    </row>
  </sheetData>
  <autoFilter ref="A1:AI271"/>
  <phoneticPr fontId="0" type="noConversion"/>
  <hyperlinks>
    <hyperlink ref="A1" location="Menu!A1" display="stake"/>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6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9"/>
  <sheetViews>
    <sheetView workbookViewId="0">
      <selection activeCell="A5" sqref="A5"/>
    </sheetView>
  </sheetViews>
  <sheetFormatPr defaultRowHeight="13.2" x14ac:dyDescent="0.25"/>
  <cols>
    <col min="1" max="1" width="15.6640625" bestFit="1" customWidth="1"/>
    <col min="2" max="2" width="4.77734375" bestFit="1" customWidth="1"/>
    <col min="3" max="6" width="15.6640625" bestFit="1" customWidth="1"/>
    <col min="7" max="7" width="10.5546875" bestFit="1" customWidth="1"/>
  </cols>
  <sheetData>
    <row r="1" spans="1:2" x14ac:dyDescent="0.25">
      <c r="A1" s="494" t="s">
        <v>423</v>
      </c>
    </row>
    <row r="3" spans="1:2" x14ac:dyDescent="0.25">
      <c r="A3" s="450" t="s">
        <v>161</v>
      </c>
      <c r="B3" s="455"/>
    </row>
    <row r="4" spans="1:2" x14ac:dyDescent="0.25">
      <c r="A4" s="450" t="s">
        <v>131</v>
      </c>
      <c r="B4" s="455" t="s">
        <v>159</v>
      </c>
    </row>
    <row r="5" spans="1:2" x14ac:dyDescent="0.25">
      <c r="A5" s="654">
        <v>3</v>
      </c>
      <c r="B5" s="672">
        <v>6</v>
      </c>
    </row>
    <row r="6" spans="1:2" x14ac:dyDescent="0.25">
      <c r="A6" s="656">
        <v>2</v>
      </c>
      <c r="B6" s="673">
        <v>23</v>
      </c>
    </row>
    <row r="7" spans="1:2" x14ac:dyDescent="0.25">
      <c r="A7" s="656">
        <v>1</v>
      </c>
      <c r="B7" s="673">
        <v>17</v>
      </c>
    </row>
    <row r="8" spans="1:2" x14ac:dyDescent="0.25">
      <c r="A8" s="656">
        <v>0</v>
      </c>
      <c r="B8" s="673">
        <v>19</v>
      </c>
    </row>
    <row r="9" spans="1:2" x14ac:dyDescent="0.25">
      <c r="A9" s="657" t="s">
        <v>160</v>
      </c>
      <c r="B9" s="674">
        <v>65</v>
      </c>
    </row>
  </sheetData>
  <hyperlinks>
    <hyperlink ref="A1" location="Menu!A1" display="Menu!A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K131"/>
  <sheetViews>
    <sheetView workbookViewId="0">
      <selection activeCell="I3" sqref="I3"/>
    </sheetView>
  </sheetViews>
  <sheetFormatPr defaultRowHeight="13.2" x14ac:dyDescent="0.25"/>
  <cols>
    <col min="1" max="1" width="16.5546875" bestFit="1" customWidth="1"/>
    <col min="2" max="4" width="9" bestFit="1" customWidth="1"/>
    <col min="5" max="5" width="10.33203125" bestFit="1" customWidth="1"/>
    <col min="9" max="9" width="29" customWidth="1"/>
    <col min="10" max="11" width="11.6640625" customWidth="1"/>
  </cols>
  <sheetData>
    <row r="1" spans="1:11" ht="96" customHeight="1" x14ac:dyDescent="0.25"/>
    <row r="2" spans="1:11" x14ac:dyDescent="0.25">
      <c r="A2" s="450" t="s">
        <v>567</v>
      </c>
      <c r="B2" s="450" t="s">
        <v>17</v>
      </c>
      <c r="C2" s="451"/>
      <c r="D2" s="451"/>
      <c r="E2" s="452"/>
    </row>
    <row r="3" spans="1:11" x14ac:dyDescent="0.25">
      <c r="A3" s="450" t="s">
        <v>578</v>
      </c>
      <c r="B3" s="654">
        <v>0</v>
      </c>
      <c r="C3" s="655">
        <v>1</v>
      </c>
      <c r="D3" s="655" t="s">
        <v>576</v>
      </c>
      <c r="E3" s="455" t="s">
        <v>160</v>
      </c>
      <c r="I3" s="102" t="s">
        <v>27</v>
      </c>
      <c r="J3" s="323" t="s">
        <v>245</v>
      </c>
      <c r="K3" s="323" t="s">
        <v>246</v>
      </c>
    </row>
    <row r="4" spans="1:11" x14ac:dyDescent="0.25">
      <c r="A4" s="654" t="s">
        <v>439</v>
      </c>
      <c r="B4" s="675">
        <v>1</v>
      </c>
      <c r="C4" s="676"/>
      <c r="D4" s="676"/>
      <c r="E4" s="672">
        <v>1</v>
      </c>
      <c r="I4" s="319" t="s">
        <v>619</v>
      </c>
      <c r="J4" s="319">
        <v>7</v>
      </c>
      <c r="K4" s="319"/>
    </row>
    <row r="5" spans="1:11" x14ac:dyDescent="0.25">
      <c r="A5" s="656" t="s">
        <v>520</v>
      </c>
      <c r="B5" s="677">
        <v>3</v>
      </c>
      <c r="C5" s="678"/>
      <c r="D5" s="678"/>
      <c r="E5" s="673">
        <v>3</v>
      </c>
      <c r="I5" s="319" t="s">
        <v>444</v>
      </c>
      <c r="J5" s="319">
        <v>6</v>
      </c>
      <c r="K5" s="319"/>
    </row>
    <row r="6" spans="1:11" x14ac:dyDescent="0.25">
      <c r="A6" s="656" t="s">
        <v>591</v>
      </c>
      <c r="B6" s="677"/>
      <c r="C6" s="678">
        <v>7</v>
      </c>
      <c r="D6" s="678"/>
      <c r="E6" s="673">
        <v>7</v>
      </c>
      <c r="I6" s="319" t="s">
        <v>194</v>
      </c>
      <c r="J6" s="319">
        <v>5</v>
      </c>
      <c r="K6" s="319"/>
    </row>
    <row r="7" spans="1:11" x14ac:dyDescent="0.25">
      <c r="A7" s="656" t="s">
        <v>650</v>
      </c>
      <c r="B7" s="677">
        <v>1</v>
      </c>
      <c r="C7" s="678"/>
      <c r="D7" s="678"/>
      <c r="E7" s="673">
        <v>1</v>
      </c>
      <c r="I7" s="319" t="s">
        <v>631</v>
      </c>
      <c r="J7" s="319">
        <v>4</v>
      </c>
      <c r="K7" s="319"/>
    </row>
    <row r="8" spans="1:11" x14ac:dyDescent="0.25">
      <c r="A8" s="656" t="s">
        <v>611</v>
      </c>
      <c r="B8" s="677"/>
      <c r="C8" s="678">
        <v>2</v>
      </c>
      <c r="D8" s="678"/>
      <c r="E8" s="673">
        <v>2</v>
      </c>
      <c r="I8" s="319" t="s">
        <v>531</v>
      </c>
      <c r="J8" s="319">
        <v>4</v>
      </c>
      <c r="K8" s="319"/>
    </row>
    <row r="9" spans="1:11" x14ac:dyDescent="0.25">
      <c r="A9" s="656" t="s">
        <v>588</v>
      </c>
      <c r="B9" s="677">
        <v>2</v>
      </c>
      <c r="C9" s="678"/>
      <c r="D9" s="678"/>
      <c r="E9" s="673">
        <v>2</v>
      </c>
      <c r="I9" s="319" t="s">
        <v>623</v>
      </c>
      <c r="J9" s="319">
        <v>4</v>
      </c>
      <c r="K9" s="319"/>
    </row>
    <row r="10" spans="1:11" x14ac:dyDescent="0.25">
      <c r="A10" s="656" t="s">
        <v>624</v>
      </c>
      <c r="B10" s="677">
        <v>2</v>
      </c>
      <c r="C10" s="678"/>
      <c r="D10" s="678"/>
      <c r="E10" s="673">
        <v>2</v>
      </c>
      <c r="I10" s="319" t="s">
        <v>570</v>
      </c>
      <c r="J10" s="319">
        <v>4</v>
      </c>
      <c r="K10" s="319"/>
    </row>
    <row r="11" spans="1:11" x14ac:dyDescent="0.25">
      <c r="A11" s="656" t="s">
        <v>523</v>
      </c>
      <c r="B11" s="677">
        <v>1</v>
      </c>
      <c r="C11" s="678"/>
      <c r="D11" s="678"/>
      <c r="E11" s="673">
        <v>1</v>
      </c>
      <c r="I11" s="319" t="s">
        <v>520</v>
      </c>
      <c r="J11" s="319">
        <v>3</v>
      </c>
      <c r="K11" s="319"/>
    </row>
    <row r="12" spans="1:11" x14ac:dyDescent="0.25">
      <c r="A12" s="656" t="s">
        <v>613</v>
      </c>
      <c r="B12" s="677"/>
      <c r="C12" s="678">
        <v>4</v>
      </c>
      <c r="D12" s="678"/>
      <c r="E12" s="673">
        <v>4</v>
      </c>
      <c r="I12" s="319" t="s">
        <v>524</v>
      </c>
      <c r="J12" s="319">
        <v>3</v>
      </c>
      <c r="K12" s="319"/>
    </row>
    <row r="13" spans="1:11" x14ac:dyDescent="0.25">
      <c r="A13" s="656" t="s">
        <v>625</v>
      </c>
      <c r="B13" s="677"/>
      <c r="C13" s="678">
        <v>4</v>
      </c>
      <c r="D13" s="678"/>
      <c r="E13" s="673">
        <v>4</v>
      </c>
      <c r="I13" s="319" t="s">
        <v>607</v>
      </c>
      <c r="J13" s="319">
        <v>3</v>
      </c>
      <c r="K13" s="319"/>
    </row>
    <row r="14" spans="1:11" x14ac:dyDescent="0.25">
      <c r="A14" s="656" t="s">
        <v>532</v>
      </c>
      <c r="B14" s="677"/>
      <c r="C14" s="678">
        <v>1</v>
      </c>
      <c r="D14" s="678"/>
      <c r="E14" s="673">
        <v>1</v>
      </c>
      <c r="I14" s="319" t="s">
        <v>21</v>
      </c>
      <c r="J14" s="319">
        <v>3</v>
      </c>
      <c r="K14" s="319"/>
    </row>
    <row r="15" spans="1:11" x14ac:dyDescent="0.25">
      <c r="A15" s="656" t="s">
        <v>521</v>
      </c>
      <c r="B15" s="677"/>
      <c r="C15" s="678">
        <v>1</v>
      </c>
      <c r="D15" s="678"/>
      <c r="E15" s="673">
        <v>1</v>
      </c>
      <c r="I15" s="319" t="s">
        <v>632</v>
      </c>
      <c r="J15" s="319">
        <v>3</v>
      </c>
      <c r="K15" s="319"/>
    </row>
    <row r="16" spans="1:11" x14ac:dyDescent="0.25">
      <c r="A16" s="656" t="s">
        <v>594</v>
      </c>
      <c r="B16" s="677"/>
      <c r="C16" s="678">
        <v>3</v>
      </c>
      <c r="D16" s="678"/>
      <c r="E16" s="673">
        <v>3</v>
      </c>
      <c r="I16" s="319" t="s">
        <v>588</v>
      </c>
      <c r="J16" s="319">
        <v>2</v>
      </c>
      <c r="K16" s="319"/>
    </row>
    <row r="17" spans="1:11" x14ac:dyDescent="0.25">
      <c r="A17" s="656" t="s">
        <v>631</v>
      </c>
      <c r="B17" s="677">
        <v>4</v>
      </c>
      <c r="C17" s="678"/>
      <c r="D17" s="678"/>
      <c r="E17" s="673">
        <v>4</v>
      </c>
      <c r="I17" s="319" t="s">
        <v>624</v>
      </c>
      <c r="J17" s="319">
        <v>2</v>
      </c>
      <c r="K17" s="319"/>
    </row>
    <row r="18" spans="1:11" x14ac:dyDescent="0.25">
      <c r="A18" s="656" t="s">
        <v>560</v>
      </c>
      <c r="B18" s="677">
        <v>1</v>
      </c>
      <c r="C18" s="678"/>
      <c r="D18" s="678"/>
      <c r="E18" s="673">
        <v>1</v>
      </c>
      <c r="I18" s="319" t="s">
        <v>621</v>
      </c>
      <c r="J18" s="319">
        <v>2</v>
      </c>
      <c r="K18" s="319"/>
    </row>
    <row r="19" spans="1:11" x14ac:dyDescent="0.25">
      <c r="A19" s="656" t="s">
        <v>612</v>
      </c>
      <c r="B19" s="677">
        <v>1</v>
      </c>
      <c r="C19" s="678"/>
      <c r="D19" s="678"/>
      <c r="E19" s="673">
        <v>1</v>
      </c>
      <c r="I19" s="319" t="s">
        <v>517</v>
      </c>
      <c r="J19" s="319">
        <v>2</v>
      </c>
      <c r="K19" s="319"/>
    </row>
    <row r="20" spans="1:11" x14ac:dyDescent="0.25">
      <c r="A20" s="656" t="s">
        <v>620</v>
      </c>
      <c r="B20" s="677">
        <v>1</v>
      </c>
      <c r="C20" s="678"/>
      <c r="D20" s="678"/>
      <c r="E20" s="673">
        <v>1</v>
      </c>
      <c r="I20" s="319" t="s">
        <v>608</v>
      </c>
      <c r="J20" s="319">
        <v>2</v>
      </c>
      <c r="K20" s="319"/>
    </row>
    <row r="21" spans="1:11" x14ac:dyDescent="0.25">
      <c r="A21" s="656" t="s">
        <v>649</v>
      </c>
      <c r="B21" s="677">
        <v>1</v>
      </c>
      <c r="C21" s="678"/>
      <c r="D21" s="678"/>
      <c r="E21" s="673">
        <v>1</v>
      </c>
      <c r="I21" s="319" t="s">
        <v>522</v>
      </c>
      <c r="J21" s="319">
        <v>2</v>
      </c>
      <c r="K21" s="319"/>
    </row>
    <row r="22" spans="1:11" x14ac:dyDescent="0.25">
      <c r="A22" s="656" t="s">
        <v>441</v>
      </c>
      <c r="B22" s="677">
        <v>1</v>
      </c>
      <c r="C22" s="678"/>
      <c r="D22" s="678"/>
      <c r="E22" s="673">
        <v>1</v>
      </c>
      <c r="I22" s="319" t="s">
        <v>609</v>
      </c>
      <c r="J22" s="319">
        <v>2</v>
      </c>
      <c r="K22" s="319"/>
    </row>
    <row r="23" spans="1:11" x14ac:dyDescent="0.25">
      <c r="A23" s="656" t="s">
        <v>443</v>
      </c>
      <c r="B23" s="677"/>
      <c r="C23" s="678">
        <v>3</v>
      </c>
      <c r="D23" s="678"/>
      <c r="E23" s="673">
        <v>3</v>
      </c>
      <c r="I23" s="319" t="s">
        <v>644</v>
      </c>
      <c r="J23" s="319">
        <v>2</v>
      </c>
      <c r="K23" s="319"/>
    </row>
    <row r="24" spans="1:11" x14ac:dyDescent="0.25">
      <c r="A24" s="656" t="s">
        <v>516</v>
      </c>
      <c r="B24" s="677"/>
      <c r="C24" s="678">
        <v>2</v>
      </c>
      <c r="D24" s="678"/>
      <c r="E24" s="673">
        <v>2</v>
      </c>
      <c r="I24" s="319" t="s">
        <v>605</v>
      </c>
      <c r="J24" s="319">
        <v>2</v>
      </c>
      <c r="K24" s="319"/>
    </row>
    <row r="25" spans="1:11" x14ac:dyDescent="0.25">
      <c r="A25" s="656" t="s">
        <v>621</v>
      </c>
      <c r="B25" s="677">
        <v>2</v>
      </c>
      <c r="C25" s="678"/>
      <c r="D25" s="678"/>
      <c r="E25" s="673">
        <v>2</v>
      </c>
      <c r="I25" s="319" t="s">
        <v>564</v>
      </c>
      <c r="J25" s="319">
        <v>2</v>
      </c>
      <c r="K25" s="319"/>
    </row>
    <row r="26" spans="1:11" x14ac:dyDescent="0.25">
      <c r="A26" s="656" t="s">
        <v>34</v>
      </c>
      <c r="B26" s="677"/>
      <c r="C26" s="678">
        <v>3</v>
      </c>
      <c r="D26" s="678"/>
      <c r="E26" s="673">
        <v>3</v>
      </c>
      <c r="I26" s="319" t="s">
        <v>582</v>
      </c>
      <c r="J26" s="319">
        <v>2</v>
      </c>
      <c r="K26" s="319"/>
    </row>
    <row r="27" spans="1:11" x14ac:dyDescent="0.25">
      <c r="A27" s="656" t="s">
        <v>559</v>
      </c>
      <c r="B27" s="677"/>
      <c r="C27" s="678">
        <v>3</v>
      </c>
      <c r="D27" s="678"/>
      <c r="E27" s="673">
        <v>3</v>
      </c>
      <c r="I27" s="319" t="s">
        <v>583</v>
      </c>
      <c r="J27" s="319">
        <v>2</v>
      </c>
      <c r="K27" s="319"/>
    </row>
    <row r="28" spans="1:11" x14ac:dyDescent="0.25">
      <c r="A28" s="656" t="s">
        <v>640</v>
      </c>
      <c r="B28" s="677">
        <v>1</v>
      </c>
      <c r="C28" s="678"/>
      <c r="D28" s="678"/>
      <c r="E28" s="673">
        <v>1</v>
      </c>
      <c r="I28" s="319" t="s">
        <v>593</v>
      </c>
      <c r="J28" s="319">
        <v>2</v>
      </c>
      <c r="K28" s="319"/>
    </row>
    <row r="29" spans="1:11" x14ac:dyDescent="0.25">
      <c r="A29" s="656" t="s">
        <v>444</v>
      </c>
      <c r="B29" s="677">
        <v>6</v>
      </c>
      <c r="C29" s="678"/>
      <c r="D29" s="678"/>
      <c r="E29" s="673">
        <v>6</v>
      </c>
      <c r="I29" s="319" t="s">
        <v>606</v>
      </c>
      <c r="J29" s="319">
        <v>2</v>
      </c>
      <c r="K29" s="319"/>
    </row>
    <row r="30" spans="1:11" x14ac:dyDescent="0.25">
      <c r="A30" s="656" t="s">
        <v>601</v>
      </c>
      <c r="B30" s="677"/>
      <c r="C30" s="678">
        <v>4</v>
      </c>
      <c r="D30" s="678"/>
      <c r="E30" s="673">
        <v>4</v>
      </c>
      <c r="I30" s="319" t="s">
        <v>637</v>
      </c>
      <c r="J30" s="319">
        <v>2</v>
      </c>
      <c r="K30" s="319"/>
    </row>
    <row r="31" spans="1:11" x14ac:dyDescent="0.25">
      <c r="A31" s="656" t="s">
        <v>617</v>
      </c>
      <c r="B31" s="677"/>
      <c r="C31" s="678">
        <v>4</v>
      </c>
      <c r="D31" s="678"/>
      <c r="E31" s="673">
        <v>4</v>
      </c>
      <c r="I31" s="319" t="s">
        <v>651</v>
      </c>
      <c r="J31" s="319">
        <v>2</v>
      </c>
      <c r="K31" s="319"/>
    </row>
    <row r="32" spans="1:11" x14ac:dyDescent="0.25">
      <c r="A32" s="656" t="s">
        <v>524</v>
      </c>
      <c r="B32" s="677">
        <v>3</v>
      </c>
      <c r="C32" s="678"/>
      <c r="D32" s="678"/>
      <c r="E32" s="673">
        <v>3</v>
      </c>
      <c r="I32" s="319" t="s">
        <v>439</v>
      </c>
      <c r="J32" s="319">
        <v>1</v>
      </c>
      <c r="K32" s="319"/>
    </row>
    <row r="33" spans="1:11" x14ac:dyDescent="0.25">
      <c r="A33" s="656" t="s">
        <v>517</v>
      </c>
      <c r="B33" s="677">
        <v>2</v>
      </c>
      <c r="C33" s="678"/>
      <c r="D33" s="678"/>
      <c r="E33" s="673">
        <v>2</v>
      </c>
      <c r="I33" s="319" t="s">
        <v>650</v>
      </c>
      <c r="J33" s="319">
        <v>1</v>
      </c>
      <c r="K33" s="319"/>
    </row>
    <row r="34" spans="1:11" x14ac:dyDescent="0.25">
      <c r="A34" s="656" t="s">
        <v>608</v>
      </c>
      <c r="B34" s="677">
        <v>2</v>
      </c>
      <c r="C34" s="678"/>
      <c r="D34" s="678"/>
      <c r="E34" s="673">
        <v>2</v>
      </c>
      <c r="I34" s="319" t="s">
        <v>523</v>
      </c>
      <c r="J34" s="319">
        <v>1</v>
      </c>
      <c r="K34" s="319"/>
    </row>
    <row r="35" spans="1:11" x14ac:dyDescent="0.25">
      <c r="A35" s="656" t="s">
        <v>522</v>
      </c>
      <c r="B35" s="677">
        <v>2</v>
      </c>
      <c r="C35" s="678"/>
      <c r="D35" s="678"/>
      <c r="E35" s="673">
        <v>2</v>
      </c>
      <c r="I35" s="319" t="s">
        <v>560</v>
      </c>
      <c r="J35" s="319">
        <v>1</v>
      </c>
      <c r="K35" s="319"/>
    </row>
    <row r="36" spans="1:11" x14ac:dyDescent="0.25">
      <c r="A36" s="656" t="s">
        <v>557</v>
      </c>
      <c r="B36" s="677"/>
      <c r="C36" s="678">
        <v>1</v>
      </c>
      <c r="D36" s="678"/>
      <c r="E36" s="673">
        <v>1</v>
      </c>
      <c r="I36" s="319" t="s">
        <v>612</v>
      </c>
      <c r="J36" s="319">
        <v>1</v>
      </c>
      <c r="K36" s="319"/>
    </row>
    <row r="37" spans="1:11" x14ac:dyDescent="0.25">
      <c r="A37" s="656" t="s">
        <v>607</v>
      </c>
      <c r="B37" s="677">
        <v>3</v>
      </c>
      <c r="C37" s="678"/>
      <c r="D37" s="678"/>
      <c r="E37" s="673">
        <v>3</v>
      </c>
      <c r="I37" s="319" t="s">
        <v>620</v>
      </c>
      <c r="J37" s="319">
        <v>1</v>
      </c>
      <c r="K37" s="319"/>
    </row>
    <row r="38" spans="1:11" x14ac:dyDescent="0.25">
      <c r="A38" s="656" t="s">
        <v>194</v>
      </c>
      <c r="B38" s="677">
        <v>5</v>
      </c>
      <c r="C38" s="678"/>
      <c r="D38" s="678"/>
      <c r="E38" s="673">
        <v>5</v>
      </c>
      <c r="I38" s="319" t="s">
        <v>649</v>
      </c>
      <c r="J38" s="319">
        <v>1</v>
      </c>
      <c r="K38" s="319"/>
    </row>
    <row r="39" spans="1:11" x14ac:dyDescent="0.25">
      <c r="A39" s="656" t="s">
        <v>597</v>
      </c>
      <c r="B39" s="677">
        <v>1</v>
      </c>
      <c r="C39" s="678"/>
      <c r="D39" s="678"/>
      <c r="E39" s="673">
        <v>1</v>
      </c>
      <c r="I39" s="319" t="s">
        <v>441</v>
      </c>
      <c r="J39" s="319">
        <v>1</v>
      </c>
      <c r="K39" s="319"/>
    </row>
    <row r="40" spans="1:11" x14ac:dyDescent="0.25">
      <c r="A40" s="656" t="s">
        <v>574</v>
      </c>
      <c r="B40" s="677"/>
      <c r="C40" s="678">
        <v>1</v>
      </c>
      <c r="D40" s="678"/>
      <c r="E40" s="673">
        <v>1</v>
      </c>
      <c r="I40" s="319" t="s">
        <v>640</v>
      </c>
      <c r="J40" s="319">
        <v>1</v>
      </c>
      <c r="K40" s="319"/>
    </row>
    <row r="41" spans="1:11" x14ac:dyDescent="0.25">
      <c r="A41" s="656" t="s">
        <v>609</v>
      </c>
      <c r="B41" s="677">
        <v>2</v>
      </c>
      <c r="C41" s="678"/>
      <c r="D41" s="678"/>
      <c r="E41" s="673">
        <v>2</v>
      </c>
      <c r="I41" s="319" t="s">
        <v>597</v>
      </c>
      <c r="J41" s="319">
        <v>1</v>
      </c>
      <c r="K41" s="319"/>
    </row>
    <row r="42" spans="1:11" x14ac:dyDescent="0.25">
      <c r="A42" s="656" t="s">
        <v>644</v>
      </c>
      <c r="B42" s="677">
        <v>2</v>
      </c>
      <c r="C42" s="678"/>
      <c r="D42" s="678"/>
      <c r="E42" s="673">
        <v>2</v>
      </c>
      <c r="I42" s="319" t="s">
        <v>585</v>
      </c>
      <c r="J42" s="319">
        <v>1</v>
      </c>
      <c r="K42" s="319"/>
    </row>
    <row r="43" spans="1:11" x14ac:dyDescent="0.25">
      <c r="A43" s="656" t="s">
        <v>21</v>
      </c>
      <c r="B43" s="677">
        <v>3</v>
      </c>
      <c r="C43" s="678"/>
      <c r="D43" s="678"/>
      <c r="E43" s="673">
        <v>3</v>
      </c>
      <c r="I43" s="319" t="s">
        <v>638</v>
      </c>
      <c r="J43" s="319">
        <v>1</v>
      </c>
      <c r="K43" s="319"/>
    </row>
    <row r="44" spans="1:11" x14ac:dyDescent="0.25">
      <c r="A44" s="656" t="s">
        <v>585</v>
      </c>
      <c r="B44" s="677">
        <v>1</v>
      </c>
      <c r="C44" s="678"/>
      <c r="D44" s="678"/>
      <c r="E44" s="673">
        <v>1</v>
      </c>
      <c r="I44" s="319" t="s">
        <v>635</v>
      </c>
      <c r="J44" s="319">
        <v>1</v>
      </c>
      <c r="K44" s="319"/>
    </row>
    <row r="45" spans="1:11" x14ac:dyDescent="0.25">
      <c r="A45" s="656" t="s">
        <v>622</v>
      </c>
      <c r="B45" s="677"/>
      <c r="C45" s="678">
        <v>8</v>
      </c>
      <c r="D45" s="678"/>
      <c r="E45" s="673">
        <v>8</v>
      </c>
      <c r="I45" s="319" t="s">
        <v>449</v>
      </c>
      <c r="J45" s="319">
        <v>1</v>
      </c>
      <c r="K45" s="319"/>
    </row>
    <row r="46" spans="1:11" x14ac:dyDescent="0.25">
      <c r="A46" s="656" t="s">
        <v>430</v>
      </c>
      <c r="B46" s="677"/>
      <c r="C46" s="678">
        <v>9</v>
      </c>
      <c r="D46" s="678"/>
      <c r="E46" s="673">
        <v>9</v>
      </c>
      <c r="I46" s="319" t="s">
        <v>569</v>
      </c>
      <c r="J46" s="319">
        <v>1</v>
      </c>
      <c r="K46" s="319"/>
    </row>
    <row r="47" spans="1:11" x14ac:dyDescent="0.25">
      <c r="A47" s="656" t="s">
        <v>638</v>
      </c>
      <c r="B47" s="677">
        <v>1</v>
      </c>
      <c r="C47" s="678"/>
      <c r="D47" s="678"/>
      <c r="E47" s="673">
        <v>1</v>
      </c>
      <c r="I47" s="319" t="s">
        <v>633</v>
      </c>
      <c r="J47" s="319">
        <v>1</v>
      </c>
      <c r="K47" s="319"/>
    </row>
    <row r="48" spans="1:11" x14ac:dyDescent="0.25">
      <c r="A48" s="656" t="s">
        <v>590</v>
      </c>
      <c r="B48" s="677"/>
      <c r="C48" s="678">
        <v>3</v>
      </c>
      <c r="D48" s="678"/>
      <c r="E48" s="673">
        <v>3</v>
      </c>
      <c r="I48" s="319" t="s">
        <v>616</v>
      </c>
      <c r="J48" s="319">
        <v>1</v>
      </c>
      <c r="K48" s="319"/>
    </row>
    <row r="49" spans="1:11" x14ac:dyDescent="0.25">
      <c r="A49" s="656" t="s">
        <v>635</v>
      </c>
      <c r="B49" s="677">
        <v>1</v>
      </c>
      <c r="C49" s="678"/>
      <c r="D49" s="678"/>
      <c r="E49" s="673">
        <v>1</v>
      </c>
      <c r="I49" s="319" t="s">
        <v>648</v>
      </c>
      <c r="J49" s="319">
        <v>1</v>
      </c>
      <c r="K49" s="319"/>
    </row>
    <row r="50" spans="1:11" x14ac:dyDescent="0.25">
      <c r="A50" s="656" t="s">
        <v>577</v>
      </c>
      <c r="B50" s="677"/>
      <c r="C50" s="678"/>
      <c r="D50" s="678">
        <v>9</v>
      </c>
      <c r="E50" s="673">
        <v>9</v>
      </c>
      <c r="I50" s="319" t="s">
        <v>589</v>
      </c>
      <c r="J50" s="319">
        <v>1</v>
      </c>
      <c r="K50" s="319"/>
    </row>
    <row r="51" spans="1:11" x14ac:dyDescent="0.25">
      <c r="A51" s="656" t="s">
        <v>642</v>
      </c>
      <c r="B51" s="677"/>
      <c r="C51" s="678">
        <v>3</v>
      </c>
      <c r="D51" s="678"/>
      <c r="E51" s="673">
        <v>3</v>
      </c>
      <c r="I51" s="319" t="s">
        <v>618</v>
      </c>
      <c r="J51" s="319">
        <v>1</v>
      </c>
      <c r="K51" s="319"/>
    </row>
    <row r="52" spans="1:11" x14ac:dyDescent="0.25">
      <c r="A52" s="656" t="s">
        <v>449</v>
      </c>
      <c r="B52" s="677">
        <v>1</v>
      </c>
      <c r="C52" s="678"/>
      <c r="D52" s="678"/>
      <c r="E52" s="673">
        <v>1</v>
      </c>
      <c r="I52" s="319" t="s">
        <v>628</v>
      </c>
      <c r="J52" s="319">
        <v>1</v>
      </c>
      <c r="K52" s="319"/>
    </row>
    <row r="53" spans="1:11" x14ac:dyDescent="0.25">
      <c r="A53" s="656" t="s">
        <v>569</v>
      </c>
      <c r="B53" s="677">
        <v>1</v>
      </c>
      <c r="C53" s="678"/>
      <c r="D53" s="678"/>
      <c r="E53" s="673">
        <v>1</v>
      </c>
      <c r="I53" s="319" t="s">
        <v>603</v>
      </c>
      <c r="J53" s="319">
        <v>1</v>
      </c>
      <c r="K53" s="319"/>
    </row>
    <row r="54" spans="1:11" x14ac:dyDescent="0.25">
      <c r="A54" s="656" t="s">
        <v>592</v>
      </c>
      <c r="B54" s="677"/>
      <c r="C54" s="678">
        <v>4</v>
      </c>
      <c r="D54" s="678"/>
      <c r="E54" s="673">
        <v>4</v>
      </c>
      <c r="I54" s="319" t="s">
        <v>629</v>
      </c>
      <c r="J54" s="319">
        <v>1</v>
      </c>
      <c r="K54" s="319"/>
    </row>
    <row r="55" spans="1:11" x14ac:dyDescent="0.25">
      <c r="A55" s="656" t="s">
        <v>605</v>
      </c>
      <c r="B55" s="677">
        <v>2</v>
      </c>
      <c r="C55" s="678"/>
      <c r="D55" s="678"/>
      <c r="E55" s="673">
        <v>2</v>
      </c>
      <c r="I55" s="319" t="s">
        <v>630</v>
      </c>
      <c r="J55" s="319">
        <v>1</v>
      </c>
      <c r="K55" s="319"/>
    </row>
    <row r="56" spans="1:11" x14ac:dyDescent="0.25">
      <c r="A56" s="656" t="s">
        <v>531</v>
      </c>
      <c r="B56" s="677">
        <v>4</v>
      </c>
      <c r="C56" s="678"/>
      <c r="D56" s="678"/>
      <c r="E56" s="673">
        <v>4</v>
      </c>
      <c r="I56" s="319" t="s">
        <v>430</v>
      </c>
      <c r="J56" s="319"/>
      <c r="K56" s="319">
        <v>9</v>
      </c>
    </row>
    <row r="57" spans="1:11" x14ac:dyDescent="0.25">
      <c r="A57" s="656" t="s">
        <v>564</v>
      </c>
      <c r="B57" s="677">
        <v>2</v>
      </c>
      <c r="C57" s="678"/>
      <c r="D57" s="678"/>
      <c r="E57" s="673">
        <v>2</v>
      </c>
      <c r="I57" s="319" t="s">
        <v>622</v>
      </c>
      <c r="J57" s="319"/>
      <c r="K57" s="319">
        <v>8</v>
      </c>
    </row>
    <row r="58" spans="1:11" x14ac:dyDescent="0.25">
      <c r="A58" s="656" t="s">
        <v>633</v>
      </c>
      <c r="B58" s="677">
        <v>1</v>
      </c>
      <c r="C58" s="678"/>
      <c r="D58" s="678"/>
      <c r="E58" s="673">
        <v>1</v>
      </c>
      <c r="I58" s="319" t="s">
        <v>591</v>
      </c>
      <c r="J58" s="319"/>
      <c r="K58" s="319">
        <v>7</v>
      </c>
    </row>
    <row r="59" spans="1:11" x14ac:dyDescent="0.25">
      <c r="A59" s="656" t="s">
        <v>652</v>
      </c>
      <c r="B59" s="677"/>
      <c r="C59" s="678">
        <v>1</v>
      </c>
      <c r="D59" s="678"/>
      <c r="E59" s="673">
        <v>1</v>
      </c>
      <c r="I59" s="319" t="s">
        <v>613</v>
      </c>
      <c r="J59" s="319"/>
      <c r="K59" s="319">
        <v>4</v>
      </c>
    </row>
    <row r="60" spans="1:11" x14ac:dyDescent="0.25">
      <c r="A60" s="656" t="s">
        <v>582</v>
      </c>
      <c r="B60" s="677">
        <v>2</v>
      </c>
      <c r="C60" s="678"/>
      <c r="D60" s="678"/>
      <c r="E60" s="673">
        <v>2</v>
      </c>
      <c r="I60" s="319" t="s">
        <v>625</v>
      </c>
      <c r="J60" s="319"/>
      <c r="K60" s="319">
        <v>4</v>
      </c>
    </row>
    <row r="61" spans="1:11" x14ac:dyDescent="0.25">
      <c r="A61" s="656" t="s">
        <v>558</v>
      </c>
      <c r="B61" s="677"/>
      <c r="C61" s="678">
        <v>1</v>
      </c>
      <c r="D61" s="678"/>
      <c r="E61" s="673">
        <v>1</v>
      </c>
      <c r="I61" s="319" t="s">
        <v>601</v>
      </c>
      <c r="J61" s="319"/>
      <c r="K61" s="319">
        <v>4</v>
      </c>
    </row>
    <row r="62" spans="1:11" x14ac:dyDescent="0.25">
      <c r="A62" s="656" t="s">
        <v>583</v>
      </c>
      <c r="B62" s="677">
        <v>2</v>
      </c>
      <c r="C62" s="678"/>
      <c r="D62" s="678"/>
      <c r="E62" s="673">
        <v>2</v>
      </c>
      <c r="I62" s="319" t="s">
        <v>617</v>
      </c>
      <c r="J62" s="319"/>
      <c r="K62" s="319">
        <v>4</v>
      </c>
    </row>
    <row r="63" spans="1:11" x14ac:dyDescent="0.25">
      <c r="A63" s="656" t="s">
        <v>619</v>
      </c>
      <c r="B63" s="677">
        <v>7</v>
      </c>
      <c r="C63" s="678"/>
      <c r="D63" s="678"/>
      <c r="E63" s="673">
        <v>7</v>
      </c>
      <c r="I63" s="319" t="s">
        <v>592</v>
      </c>
      <c r="J63" s="319"/>
      <c r="K63" s="319">
        <v>4</v>
      </c>
    </row>
    <row r="64" spans="1:11" x14ac:dyDescent="0.25">
      <c r="A64" s="656" t="s">
        <v>623</v>
      </c>
      <c r="B64" s="677">
        <v>4</v>
      </c>
      <c r="C64" s="678"/>
      <c r="D64" s="678"/>
      <c r="E64" s="673">
        <v>4</v>
      </c>
      <c r="I64" s="319" t="s">
        <v>594</v>
      </c>
      <c r="J64" s="319"/>
      <c r="K64" s="319">
        <v>3</v>
      </c>
    </row>
    <row r="65" spans="1:11" x14ac:dyDescent="0.25">
      <c r="A65" s="656" t="s">
        <v>616</v>
      </c>
      <c r="B65" s="677">
        <v>1</v>
      </c>
      <c r="C65" s="678"/>
      <c r="D65" s="678"/>
      <c r="E65" s="673">
        <v>1</v>
      </c>
      <c r="I65" s="319" t="s">
        <v>443</v>
      </c>
      <c r="J65" s="319"/>
      <c r="K65" s="319">
        <v>3</v>
      </c>
    </row>
    <row r="66" spans="1:11" x14ac:dyDescent="0.25">
      <c r="A66" s="656" t="s">
        <v>648</v>
      </c>
      <c r="B66" s="677">
        <v>1</v>
      </c>
      <c r="C66" s="678"/>
      <c r="D66" s="678"/>
      <c r="E66" s="673">
        <v>1</v>
      </c>
      <c r="I66" s="319" t="s">
        <v>34</v>
      </c>
      <c r="J66" s="319"/>
      <c r="K66" s="319">
        <v>3</v>
      </c>
    </row>
    <row r="67" spans="1:11" x14ac:dyDescent="0.25">
      <c r="A67" s="656" t="s">
        <v>614</v>
      </c>
      <c r="B67" s="677"/>
      <c r="C67" s="678">
        <v>2</v>
      </c>
      <c r="D67" s="678"/>
      <c r="E67" s="673">
        <v>2</v>
      </c>
      <c r="I67" s="319" t="s">
        <v>559</v>
      </c>
      <c r="J67" s="319"/>
      <c r="K67" s="319">
        <v>3</v>
      </c>
    </row>
    <row r="68" spans="1:11" x14ac:dyDescent="0.25">
      <c r="A68" s="656" t="s">
        <v>595</v>
      </c>
      <c r="B68" s="677"/>
      <c r="C68" s="678">
        <v>1</v>
      </c>
      <c r="D68" s="678"/>
      <c r="E68" s="673">
        <v>1</v>
      </c>
      <c r="I68" s="319" t="s">
        <v>590</v>
      </c>
      <c r="J68" s="319"/>
      <c r="K68" s="319">
        <v>3</v>
      </c>
    </row>
    <row r="69" spans="1:11" x14ac:dyDescent="0.25">
      <c r="A69" s="656" t="s">
        <v>589</v>
      </c>
      <c r="B69" s="677">
        <v>1</v>
      </c>
      <c r="C69" s="678"/>
      <c r="D69" s="678"/>
      <c r="E69" s="673">
        <v>1</v>
      </c>
      <c r="I69" s="319" t="s">
        <v>642</v>
      </c>
      <c r="J69" s="319"/>
      <c r="K69" s="319">
        <v>3</v>
      </c>
    </row>
    <row r="70" spans="1:11" x14ac:dyDescent="0.25">
      <c r="A70" s="656" t="s">
        <v>593</v>
      </c>
      <c r="B70" s="677">
        <v>2</v>
      </c>
      <c r="C70" s="678"/>
      <c r="D70" s="678"/>
      <c r="E70" s="673">
        <v>2</v>
      </c>
      <c r="I70" s="319" t="s">
        <v>611</v>
      </c>
      <c r="J70" s="319"/>
      <c r="K70" s="319">
        <v>2</v>
      </c>
    </row>
    <row r="71" spans="1:11" x14ac:dyDescent="0.25">
      <c r="A71" s="656" t="s">
        <v>643</v>
      </c>
      <c r="B71" s="677"/>
      <c r="C71" s="678">
        <v>2</v>
      </c>
      <c r="D71" s="678"/>
      <c r="E71" s="673">
        <v>2</v>
      </c>
      <c r="I71" s="319" t="s">
        <v>516</v>
      </c>
      <c r="J71" s="319"/>
      <c r="K71" s="319">
        <v>2</v>
      </c>
    </row>
    <row r="72" spans="1:11" x14ac:dyDescent="0.25">
      <c r="A72" s="656" t="s">
        <v>641</v>
      </c>
      <c r="B72" s="677"/>
      <c r="C72" s="678">
        <v>2</v>
      </c>
      <c r="D72" s="678"/>
      <c r="E72" s="673">
        <v>2</v>
      </c>
      <c r="I72" s="319" t="s">
        <v>614</v>
      </c>
      <c r="J72" s="319"/>
      <c r="K72" s="319">
        <v>2</v>
      </c>
    </row>
    <row r="73" spans="1:11" x14ac:dyDescent="0.25">
      <c r="A73" s="656" t="s">
        <v>618</v>
      </c>
      <c r="B73" s="677">
        <v>1</v>
      </c>
      <c r="C73" s="678"/>
      <c r="D73" s="678"/>
      <c r="E73" s="673">
        <v>1</v>
      </c>
      <c r="I73" s="319" t="s">
        <v>643</v>
      </c>
      <c r="J73" s="319"/>
      <c r="K73" s="319">
        <v>2</v>
      </c>
    </row>
    <row r="74" spans="1:11" x14ac:dyDescent="0.25">
      <c r="A74" s="656" t="s">
        <v>606</v>
      </c>
      <c r="B74" s="677">
        <v>2</v>
      </c>
      <c r="C74" s="678"/>
      <c r="D74" s="678"/>
      <c r="E74" s="673">
        <v>2</v>
      </c>
      <c r="I74" s="319" t="s">
        <v>641</v>
      </c>
      <c r="J74" s="319"/>
      <c r="K74" s="319">
        <v>2</v>
      </c>
    </row>
    <row r="75" spans="1:11" x14ac:dyDescent="0.25">
      <c r="A75" s="656" t="s">
        <v>637</v>
      </c>
      <c r="B75" s="677">
        <v>2</v>
      </c>
      <c r="C75" s="678"/>
      <c r="D75" s="678"/>
      <c r="E75" s="673">
        <v>2</v>
      </c>
      <c r="I75" s="319" t="s">
        <v>645</v>
      </c>
      <c r="J75" s="319"/>
      <c r="K75" s="319">
        <v>2</v>
      </c>
    </row>
    <row r="76" spans="1:11" x14ac:dyDescent="0.25">
      <c r="A76" s="656" t="s">
        <v>628</v>
      </c>
      <c r="B76" s="677">
        <v>1</v>
      </c>
      <c r="C76" s="678"/>
      <c r="D76" s="678"/>
      <c r="E76" s="673">
        <v>1</v>
      </c>
      <c r="I76" s="319" t="s">
        <v>532</v>
      </c>
      <c r="J76" s="319"/>
      <c r="K76" s="319">
        <v>1</v>
      </c>
    </row>
    <row r="77" spans="1:11" x14ac:dyDescent="0.25">
      <c r="A77" s="656" t="s">
        <v>603</v>
      </c>
      <c r="B77" s="677">
        <v>1</v>
      </c>
      <c r="C77" s="678"/>
      <c r="D77" s="678"/>
      <c r="E77" s="673">
        <v>1</v>
      </c>
      <c r="I77" s="319" t="s">
        <v>521</v>
      </c>
      <c r="J77" s="319"/>
      <c r="K77" s="319">
        <v>1</v>
      </c>
    </row>
    <row r="78" spans="1:11" x14ac:dyDescent="0.25">
      <c r="A78" s="656" t="s">
        <v>651</v>
      </c>
      <c r="B78" s="677">
        <v>2</v>
      </c>
      <c r="C78" s="678"/>
      <c r="D78" s="678"/>
      <c r="E78" s="673">
        <v>2</v>
      </c>
      <c r="I78" s="319" t="s">
        <v>557</v>
      </c>
      <c r="J78" s="319"/>
      <c r="K78" s="319">
        <v>1</v>
      </c>
    </row>
    <row r="79" spans="1:11" x14ac:dyDescent="0.25">
      <c r="A79" s="656" t="s">
        <v>570</v>
      </c>
      <c r="B79" s="677">
        <v>4</v>
      </c>
      <c r="C79" s="678"/>
      <c r="D79" s="678"/>
      <c r="E79" s="673">
        <v>4</v>
      </c>
      <c r="I79" s="319" t="s">
        <v>574</v>
      </c>
      <c r="J79" s="319"/>
      <c r="K79" s="319">
        <v>1</v>
      </c>
    </row>
    <row r="80" spans="1:11" x14ac:dyDescent="0.25">
      <c r="A80" s="656" t="s">
        <v>632</v>
      </c>
      <c r="B80" s="677">
        <v>3</v>
      </c>
      <c r="C80" s="678"/>
      <c r="D80" s="678"/>
      <c r="E80" s="673">
        <v>3</v>
      </c>
      <c r="I80" s="319" t="s">
        <v>652</v>
      </c>
      <c r="J80" s="319"/>
      <c r="K80" s="319">
        <v>1</v>
      </c>
    </row>
    <row r="81" spans="1:11" x14ac:dyDescent="0.25">
      <c r="A81" s="656" t="s">
        <v>629</v>
      </c>
      <c r="B81" s="677">
        <v>1</v>
      </c>
      <c r="C81" s="678"/>
      <c r="D81" s="678"/>
      <c r="E81" s="673">
        <v>1</v>
      </c>
      <c r="I81" s="319" t="s">
        <v>558</v>
      </c>
      <c r="J81" s="319"/>
      <c r="K81" s="319">
        <v>1</v>
      </c>
    </row>
    <row r="82" spans="1:11" x14ac:dyDescent="0.25">
      <c r="A82" s="656" t="s">
        <v>630</v>
      </c>
      <c r="B82" s="677">
        <v>1</v>
      </c>
      <c r="C82" s="678"/>
      <c r="D82" s="678"/>
      <c r="E82" s="673">
        <v>1</v>
      </c>
      <c r="I82" s="319" t="s">
        <v>595</v>
      </c>
      <c r="J82" s="319"/>
      <c r="K82" s="319">
        <v>1</v>
      </c>
    </row>
    <row r="83" spans="1:11" x14ac:dyDescent="0.25">
      <c r="A83" s="656" t="s">
        <v>645</v>
      </c>
      <c r="B83" s="677"/>
      <c r="C83" s="678">
        <v>2</v>
      </c>
      <c r="D83" s="678"/>
      <c r="E83" s="673">
        <v>2</v>
      </c>
      <c r="I83" s="319" t="s">
        <v>577</v>
      </c>
      <c r="J83" s="319"/>
      <c r="K83" s="319"/>
    </row>
    <row r="84" spans="1:11" x14ac:dyDescent="0.25">
      <c r="A84" s="657" t="s">
        <v>160</v>
      </c>
      <c r="B84" s="679">
        <v>105</v>
      </c>
      <c r="C84" s="680">
        <v>81</v>
      </c>
      <c r="D84" s="680">
        <v>9</v>
      </c>
      <c r="E84" s="674">
        <v>195</v>
      </c>
      <c r="I84" s="319"/>
      <c r="J84" s="319"/>
      <c r="K84" s="319"/>
    </row>
    <row r="85" spans="1:11" x14ac:dyDescent="0.25">
      <c r="I85" s="319"/>
      <c r="J85" s="319"/>
      <c r="K85" s="319"/>
    </row>
    <row r="86" spans="1:11" x14ac:dyDescent="0.25">
      <c r="I86" s="319"/>
      <c r="J86" s="319"/>
      <c r="K86" s="319"/>
    </row>
    <row r="87" spans="1:11" x14ac:dyDescent="0.25">
      <c r="I87" s="319"/>
      <c r="J87" s="319"/>
      <c r="K87" s="319"/>
    </row>
    <row r="88" spans="1:11" x14ac:dyDescent="0.25">
      <c r="I88" s="319"/>
      <c r="J88" s="319"/>
      <c r="K88" s="319"/>
    </row>
    <row r="89" spans="1:11" x14ac:dyDescent="0.25">
      <c r="I89" s="319"/>
      <c r="J89" s="319"/>
      <c r="K89" s="319"/>
    </row>
    <row r="90" spans="1:11" x14ac:dyDescent="0.25">
      <c r="I90" s="319"/>
      <c r="J90" s="319"/>
      <c r="K90" s="319"/>
    </row>
    <row r="91" spans="1:11" x14ac:dyDescent="0.25">
      <c r="I91" s="319"/>
      <c r="J91" s="319"/>
      <c r="K91" s="319"/>
    </row>
    <row r="92" spans="1:11" x14ac:dyDescent="0.25">
      <c r="I92" s="319"/>
      <c r="J92" s="319"/>
      <c r="K92" s="319"/>
    </row>
    <row r="93" spans="1:11" x14ac:dyDescent="0.25">
      <c r="I93" s="319"/>
      <c r="J93" s="319"/>
      <c r="K93" s="319"/>
    </row>
    <row r="94" spans="1:11" x14ac:dyDescent="0.25">
      <c r="I94" s="319"/>
      <c r="J94" s="319"/>
      <c r="K94" s="319"/>
    </row>
    <row r="95" spans="1:11" x14ac:dyDescent="0.25">
      <c r="I95" s="319"/>
      <c r="J95" s="319"/>
      <c r="K95" s="319"/>
    </row>
    <row r="96" spans="1:11" x14ac:dyDescent="0.25">
      <c r="I96" s="319"/>
      <c r="J96" s="319"/>
      <c r="K96" s="319"/>
    </row>
    <row r="97" spans="9:11" x14ac:dyDescent="0.25">
      <c r="I97" s="319"/>
      <c r="J97" s="319"/>
      <c r="K97" s="319"/>
    </row>
    <row r="98" spans="9:11" x14ac:dyDescent="0.25">
      <c r="I98" s="319"/>
      <c r="J98" s="319"/>
      <c r="K98" s="319"/>
    </row>
    <row r="99" spans="9:11" x14ac:dyDescent="0.25">
      <c r="I99" s="319"/>
      <c r="J99" s="319"/>
      <c r="K99" s="319"/>
    </row>
    <row r="100" spans="9:11" x14ac:dyDescent="0.25">
      <c r="I100" s="319"/>
      <c r="J100" s="319"/>
      <c r="K100" s="319"/>
    </row>
    <row r="101" spans="9:11" x14ac:dyDescent="0.25">
      <c r="I101" s="319"/>
      <c r="J101" s="319"/>
      <c r="K101" s="319"/>
    </row>
    <row r="102" spans="9:11" x14ac:dyDescent="0.25">
      <c r="I102" s="319"/>
      <c r="J102" s="319"/>
      <c r="K102" s="319"/>
    </row>
    <row r="103" spans="9:11" x14ac:dyDescent="0.25">
      <c r="I103" s="319"/>
      <c r="J103" s="319"/>
      <c r="K103" s="319"/>
    </row>
    <row r="104" spans="9:11" x14ac:dyDescent="0.25">
      <c r="I104" s="319"/>
      <c r="J104" s="319"/>
      <c r="K104" s="319"/>
    </row>
    <row r="105" spans="9:11" x14ac:dyDescent="0.25">
      <c r="I105" s="319"/>
      <c r="J105" s="319"/>
      <c r="K105" s="319"/>
    </row>
    <row r="106" spans="9:11" x14ac:dyDescent="0.25">
      <c r="I106" s="319"/>
      <c r="J106" s="319"/>
      <c r="K106" s="319"/>
    </row>
    <row r="107" spans="9:11" x14ac:dyDescent="0.25">
      <c r="I107" s="319"/>
      <c r="J107" s="319"/>
      <c r="K107" s="319"/>
    </row>
    <row r="108" spans="9:11" x14ac:dyDescent="0.25">
      <c r="I108" s="319"/>
      <c r="J108" s="319"/>
      <c r="K108" s="319"/>
    </row>
    <row r="109" spans="9:11" x14ac:dyDescent="0.25">
      <c r="I109" s="319"/>
      <c r="J109" s="319"/>
      <c r="K109" s="319"/>
    </row>
    <row r="110" spans="9:11" x14ac:dyDescent="0.25">
      <c r="I110" s="319"/>
      <c r="J110" s="319"/>
      <c r="K110" s="319"/>
    </row>
    <row r="111" spans="9:11" x14ac:dyDescent="0.25">
      <c r="I111" s="319"/>
      <c r="J111" s="319"/>
      <c r="K111" s="319"/>
    </row>
    <row r="112" spans="9:11" x14ac:dyDescent="0.25">
      <c r="I112" s="319"/>
      <c r="J112" s="319"/>
      <c r="K112" s="319"/>
    </row>
    <row r="113" spans="9:11" x14ac:dyDescent="0.25">
      <c r="I113" s="319"/>
      <c r="J113" s="319"/>
      <c r="K113" s="319"/>
    </row>
    <row r="114" spans="9:11" x14ac:dyDescent="0.25">
      <c r="I114" s="319"/>
      <c r="J114" s="319"/>
      <c r="K114" s="319"/>
    </row>
    <row r="115" spans="9:11" x14ac:dyDescent="0.25">
      <c r="I115" s="319"/>
      <c r="J115" s="319"/>
      <c r="K115" s="319"/>
    </row>
    <row r="116" spans="9:11" x14ac:dyDescent="0.25">
      <c r="I116" s="319"/>
      <c r="J116" s="319"/>
      <c r="K116" s="319"/>
    </row>
    <row r="117" spans="9:11" x14ac:dyDescent="0.25">
      <c r="I117" s="319"/>
      <c r="J117" s="319"/>
      <c r="K117" s="319"/>
    </row>
    <row r="118" spans="9:11" x14ac:dyDescent="0.25">
      <c r="I118" s="319"/>
      <c r="J118" s="319"/>
      <c r="K118" s="319"/>
    </row>
    <row r="119" spans="9:11" x14ac:dyDescent="0.25">
      <c r="I119" s="319"/>
      <c r="J119" s="319"/>
      <c r="K119" s="319"/>
    </row>
    <row r="120" spans="9:11" x14ac:dyDescent="0.25">
      <c r="I120" s="319"/>
      <c r="J120" s="319"/>
      <c r="K120" s="319"/>
    </row>
    <row r="121" spans="9:11" x14ac:dyDescent="0.25">
      <c r="I121" s="319"/>
      <c r="J121" s="319"/>
      <c r="K121" s="319"/>
    </row>
    <row r="122" spans="9:11" x14ac:dyDescent="0.25">
      <c r="I122" s="319"/>
      <c r="J122" s="319"/>
      <c r="K122" s="319"/>
    </row>
    <row r="123" spans="9:11" x14ac:dyDescent="0.25">
      <c r="I123" s="319"/>
      <c r="J123" s="319"/>
      <c r="K123" s="319"/>
    </row>
    <row r="124" spans="9:11" x14ac:dyDescent="0.25">
      <c r="I124" s="319"/>
      <c r="J124" s="319"/>
      <c r="K124" s="319"/>
    </row>
    <row r="125" spans="9:11" x14ac:dyDescent="0.25">
      <c r="I125" s="319"/>
      <c r="J125" s="319"/>
      <c r="K125" s="319"/>
    </row>
    <row r="126" spans="9:11" x14ac:dyDescent="0.25">
      <c r="I126" s="319"/>
      <c r="J126" s="319"/>
      <c r="K126" s="319"/>
    </row>
    <row r="127" spans="9:11" x14ac:dyDescent="0.25">
      <c r="I127" s="319"/>
      <c r="J127" s="319"/>
      <c r="K127" s="319"/>
    </row>
    <row r="128" spans="9:11" x14ac:dyDescent="0.25">
      <c r="I128" s="319"/>
      <c r="J128" s="319"/>
      <c r="K128" s="319"/>
    </row>
    <row r="129" spans="9:11" x14ac:dyDescent="0.25">
      <c r="I129" s="319"/>
      <c r="J129" s="319"/>
      <c r="K129" s="319"/>
    </row>
    <row r="130" spans="9:11" x14ac:dyDescent="0.25">
      <c r="I130" s="319"/>
      <c r="J130" s="319"/>
      <c r="K130" s="319"/>
    </row>
    <row r="131" spans="9:11" x14ac:dyDescent="0.25">
      <c r="I131" s="319"/>
      <c r="J131" s="319"/>
      <c r="K131" s="319"/>
    </row>
  </sheetData>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40988" r:id="rId4" name="Option Button 28">
              <controlPr defaultSize="0" autoFill="0" autoLine="0" autoPict="0" macro="[0]!SortTopPicksDown">
                <anchor moveWithCells="1">
                  <from>
                    <xdr:col>9</xdr:col>
                    <xdr:colOff>45720</xdr:colOff>
                    <xdr:row>0</xdr:row>
                    <xdr:rowOff>960120</xdr:rowOff>
                  </from>
                  <to>
                    <xdr:col>9</xdr:col>
                    <xdr:colOff>746760</xdr:colOff>
                    <xdr:row>0</xdr:row>
                    <xdr:rowOff>1181100</xdr:rowOff>
                  </to>
                </anchor>
              </controlPr>
            </control>
          </mc:Choice>
        </mc:AlternateContent>
        <mc:AlternateContent xmlns:mc="http://schemas.openxmlformats.org/markup-compatibility/2006">
          <mc:Choice Requires="x14">
            <control shapeId="40989" r:id="rId5" name="Option Button 29">
              <controlPr defaultSize="0" autoFill="0" autoLine="0" autoPict="0" macro="[0]!SortTopPicksUp">
                <anchor moveWithCells="1">
                  <from>
                    <xdr:col>10</xdr:col>
                    <xdr:colOff>68580</xdr:colOff>
                    <xdr:row>0</xdr:row>
                    <xdr:rowOff>960120</xdr:rowOff>
                  </from>
                  <to>
                    <xdr:col>10</xdr:col>
                    <xdr:colOff>769620</xdr:colOff>
                    <xdr:row>0</xdr:row>
                    <xdr:rowOff>1181100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Q81"/>
  <sheetViews>
    <sheetView topLeftCell="B8" zoomScaleNormal="100" workbookViewId="0">
      <selection activeCell="B2" sqref="B2:M29"/>
    </sheetView>
  </sheetViews>
  <sheetFormatPr defaultRowHeight="13.2" x14ac:dyDescent="0.25"/>
  <cols>
    <col min="1" max="1" width="9.109375" hidden="1" customWidth="1"/>
    <col min="3" max="3" width="7.5546875" style="4" customWidth="1"/>
    <col min="4" max="4" width="9.6640625" style="4" customWidth="1"/>
    <col min="5" max="5" width="9" style="1" customWidth="1"/>
    <col min="6" max="6" width="25.6640625" customWidth="1"/>
    <col min="7" max="7" width="9.6640625" customWidth="1"/>
    <col min="8" max="8" width="9.6640625" style="1" customWidth="1"/>
    <col min="9" max="9" width="2" customWidth="1"/>
    <col min="10" max="10" width="1.5546875" style="4" customWidth="1"/>
    <col min="11" max="11" width="15.33203125" customWidth="1"/>
    <col min="12" max="12" width="30.5546875" customWidth="1"/>
    <col min="13" max="13" width="10.6640625" customWidth="1"/>
    <col min="14" max="14" width="1.33203125" customWidth="1"/>
    <col min="15" max="19" width="8.88671875" hidden="1" customWidth="1"/>
    <col min="20" max="20" width="1.44140625" customWidth="1"/>
    <col min="21" max="21" width="4.6640625" hidden="1" customWidth="1"/>
    <col min="22" max="22" width="15.109375" customWidth="1"/>
    <col min="23" max="23" width="6.6640625" style="275" customWidth="1"/>
    <col min="24" max="24" width="3.6640625" hidden="1" customWidth="1"/>
    <col min="25" max="25" width="16.109375" customWidth="1"/>
    <col min="26" max="26" width="6.6640625" customWidth="1"/>
    <col min="27" max="27" width="4.6640625" hidden="1" customWidth="1"/>
    <col min="28" max="28" width="16.33203125" customWidth="1"/>
    <col min="29" max="29" width="6.6640625" customWidth="1"/>
    <col min="30" max="30" width="3.88671875" hidden="1" customWidth="1"/>
    <col min="31" max="31" width="15.5546875" customWidth="1"/>
    <col min="32" max="32" width="6.6640625" customWidth="1"/>
  </cols>
  <sheetData>
    <row r="1" spans="1:43" ht="23.25" customHeight="1" x14ac:dyDescent="0.25">
      <c r="B1" s="493" t="s">
        <v>423</v>
      </c>
      <c r="C1" s="87"/>
      <c r="D1" s="87"/>
      <c r="E1" s="91"/>
      <c r="F1" s="86"/>
      <c r="G1" s="86"/>
      <c r="H1" s="91"/>
      <c r="I1" s="86"/>
      <c r="J1" s="87"/>
      <c r="K1" s="86"/>
      <c r="L1" s="86"/>
      <c r="M1" s="86"/>
      <c r="N1" s="86"/>
      <c r="O1" s="86"/>
      <c r="P1" s="86"/>
      <c r="Q1" s="86"/>
      <c r="R1" s="86"/>
      <c r="S1" s="86"/>
      <c r="T1" s="86"/>
      <c r="U1" s="86"/>
      <c r="V1" s="86"/>
      <c r="W1" s="99"/>
      <c r="X1" s="86"/>
      <c r="Y1" s="86"/>
      <c r="Z1" s="86"/>
      <c r="AA1" s="86"/>
      <c r="AB1" s="86"/>
      <c r="AC1" s="86"/>
      <c r="AD1" s="86"/>
      <c r="AE1" s="86"/>
      <c r="AG1" s="86"/>
      <c r="AH1" s="86"/>
      <c r="AI1" s="86"/>
      <c r="AJ1" s="86"/>
      <c r="AK1" s="86"/>
      <c r="AL1" s="86"/>
      <c r="AM1" s="86"/>
      <c r="AN1" s="86"/>
      <c r="AO1" s="86"/>
      <c r="AP1" s="86"/>
      <c r="AQ1" s="86"/>
    </row>
    <row r="2" spans="1:43" ht="26.25" customHeight="1" x14ac:dyDescent="0.25">
      <c r="B2" s="86"/>
      <c r="C2" s="172"/>
      <c r="D2" s="718" t="s">
        <v>662</v>
      </c>
      <c r="E2" s="719"/>
      <c r="F2" s="719"/>
      <c r="G2" s="719"/>
      <c r="H2" s="720"/>
      <c r="I2" s="172"/>
      <c r="J2" s="445"/>
      <c r="K2" s="614" t="s">
        <v>656</v>
      </c>
      <c r="L2" s="615"/>
      <c r="M2" s="616"/>
      <c r="N2" s="86"/>
      <c r="O2" s="86"/>
      <c r="P2" s="86"/>
      <c r="Q2" s="86"/>
      <c r="R2" s="86"/>
      <c r="S2" s="86"/>
      <c r="T2" s="86"/>
      <c r="U2" s="561"/>
      <c r="V2" s="718" t="s">
        <v>655</v>
      </c>
      <c r="W2" s="719"/>
      <c r="X2" s="719"/>
      <c r="Y2" s="719"/>
      <c r="Z2" s="719"/>
      <c r="AA2" s="719"/>
      <c r="AB2" s="719"/>
      <c r="AC2" s="719"/>
      <c r="AD2" s="719"/>
      <c r="AE2" s="719"/>
      <c r="AF2" s="720"/>
      <c r="AG2" s="86"/>
      <c r="AH2" s="86"/>
      <c r="AI2" s="86"/>
      <c r="AJ2" s="86"/>
      <c r="AK2" s="86"/>
      <c r="AL2" s="86"/>
      <c r="AM2" s="86"/>
      <c r="AN2" s="86"/>
      <c r="AO2" s="86"/>
      <c r="AP2" s="86"/>
      <c r="AQ2" s="86"/>
    </row>
    <row r="3" spans="1:43" ht="27" customHeight="1" x14ac:dyDescent="0.25">
      <c r="B3" s="86"/>
      <c r="C3" s="326" t="s">
        <v>260</v>
      </c>
      <c r="D3" s="417" t="s">
        <v>316</v>
      </c>
      <c r="E3" s="418" t="s">
        <v>317</v>
      </c>
      <c r="F3" s="162" t="s">
        <v>187</v>
      </c>
      <c r="G3" s="397" t="s">
        <v>318</v>
      </c>
      <c r="H3" s="398" t="s">
        <v>131</v>
      </c>
      <c r="I3" s="173"/>
      <c r="J3" s="445"/>
      <c r="K3" s="161" t="s">
        <v>106</v>
      </c>
      <c r="L3" s="175" t="s">
        <v>187</v>
      </c>
      <c r="M3" s="163" t="s">
        <v>56</v>
      </c>
      <c r="N3" s="86"/>
      <c r="O3" s="86"/>
      <c r="P3" s="66" t="s">
        <v>270</v>
      </c>
      <c r="Q3" s="66" t="s">
        <v>187</v>
      </c>
      <c r="R3" s="66" t="s">
        <v>13</v>
      </c>
      <c r="S3" s="66" t="s">
        <v>56</v>
      </c>
      <c r="T3" s="86"/>
      <c r="U3" s="562"/>
      <c r="V3" s="721" t="s">
        <v>264</v>
      </c>
      <c r="W3" s="722"/>
      <c r="X3" s="661"/>
      <c r="Y3" s="721" t="s">
        <v>265</v>
      </c>
      <c r="Z3" s="722"/>
      <c r="AA3" s="661"/>
      <c r="AB3" s="721" t="s">
        <v>266</v>
      </c>
      <c r="AC3" s="722"/>
      <c r="AD3" s="661"/>
      <c r="AE3" s="721" t="s">
        <v>267</v>
      </c>
      <c r="AF3" s="722"/>
      <c r="AG3" s="86"/>
      <c r="AH3" s="86"/>
      <c r="AI3" s="86"/>
      <c r="AJ3" s="86"/>
      <c r="AK3" s="86"/>
      <c r="AL3" s="86"/>
      <c r="AM3" s="86"/>
      <c r="AN3" s="86"/>
      <c r="AO3" s="86"/>
      <c r="AP3" s="86"/>
      <c r="AQ3" s="86"/>
    </row>
    <row r="4" spans="1:43" ht="18" customHeight="1" x14ac:dyDescent="0.25">
      <c r="A4" s="9" t="s">
        <v>41</v>
      </c>
      <c r="B4" s="715" t="s">
        <v>264</v>
      </c>
      <c r="C4" s="327">
        <f>Table!D2</f>
        <v>1</v>
      </c>
      <c r="D4" s="419">
        <f>INDEX(Table!G:G,MATCH($A4,Table!$B:$B,0))</f>
        <v>63.448333333333338</v>
      </c>
      <c r="E4" s="168">
        <f>INDEX(Table!H:H,MATCH($A4,Table!$B:$B,0))</f>
        <v>17</v>
      </c>
      <c r="F4" s="170" t="str">
        <f>INDEX(Table!F:F,MATCH($A4,Table!$B:$B,0))</f>
        <v>Paul Fairhurst</v>
      </c>
      <c r="G4" s="419">
        <f>INDEX(Table!I:I,MATCH($A4,Table!$B:$B,0))</f>
        <v>-4</v>
      </c>
      <c r="H4" s="168">
        <f>INDEX(Table!J:J,MATCH($A4,Table!$B:$B,0))</f>
        <v>1</v>
      </c>
      <c r="I4" s="172"/>
      <c r="J4" s="445">
        <v>1</v>
      </c>
      <c r="K4" s="333">
        <v>10</v>
      </c>
      <c r="L4" s="171" t="str">
        <f>INDEX(Weekly!E:E,MATCH($J4,Weekly!B:B,0))</f>
        <v>Kevin Carter</v>
      </c>
      <c r="M4" s="498">
        <f>INDEX(Weekly!H:H,MATCH($J4,Weekly!B:B,0))</f>
        <v>104.75200000000001</v>
      </c>
      <c r="N4" s="86"/>
      <c r="O4" s="86">
        <v>1</v>
      </c>
      <c r="P4" s="86"/>
      <c r="Q4" s="86"/>
      <c r="R4" s="86"/>
      <c r="S4" s="86"/>
      <c r="T4" s="86"/>
      <c r="U4" s="563" t="s">
        <v>41</v>
      </c>
      <c r="V4" s="566" t="str">
        <f>INDEX(Table!$F:$F,MATCH(U4,Table!$B:$B,0))</f>
        <v>Paul Fairhurst</v>
      </c>
      <c r="W4" s="567">
        <f>INDEX(Table!$G:$G,MATCH(U4,Table!$B:$B,0))</f>
        <v>63.448333333333338</v>
      </c>
      <c r="X4" s="568" t="s">
        <v>282</v>
      </c>
      <c r="Y4" s="693" t="str">
        <f>INDEX(Table!$F:$F,MATCH(X4,Table!$B:$B,0))</f>
        <v>Gareth Powell</v>
      </c>
      <c r="Z4" s="567">
        <f>INDEX(Table!$G:$G,MATCH(X4,Table!$B:$B,0))</f>
        <v>104.605065759404</v>
      </c>
      <c r="AA4" s="568" t="s">
        <v>287</v>
      </c>
      <c r="AB4" s="693" t="str">
        <f>INDEX(Table!$F:$F,MATCH(AA4,Table!$B:$B,0))</f>
        <v>Paul Allen</v>
      </c>
      <c r="AC4" s="567">
        <f>INDEX(Table!$G:$G,MATCH(AA4,Table!$B:$B,0))</f>
        <v>66.322234487734491</v>
      </c>
      <c r="AD4" s="568" t="s">
        <v>39</v>
      </c>
      <c r="AE4" s="693" t="str">
        <f>INDEX(Table!$F:$F,MATCH(AD4,Table!$B:$B,0))</f>
        <v>Gerard Ventom</v>
      </c>
      <c r="AF4" s="567">
        <f>INDEX(Table!$G:$G,MATCH(AD4,Table!$B:$B,0))</f>
        <v>89.756249999999994</v>
      </c>
      <c r="AG4" s="86"/>
      <c r="AH4" s="86"/>
      <c r="AI4" s="86"/>
      <c r="AJ4" s="86"/>
      <c r="AK4" s="86"/>
      <c r="AL4" s="86"/>
      <c r="AM4" s="86"/>
      <c r="AN4" s="86"/>
      <c r="AO4" s="86"/>
      <c r="AP4" s="86"/>
      <c r="AQ4" s="86"/>
    </row>
    <row r="5" spans="1:43" ht="18" customHeight="1" x14ac:dyDescent="0.25">
      <c r="A5" s="9" t="s">
        <v>42</v>
      </c>
      <c r="B5" s="716"/>
      <c r="C5" s="327">
        <v>2</v>
      </c>
      <c r="D5" s="419">
        <f>INDEX(Table!G:G,MATCH($A5,Table!$B:$B,0))</f>
        <v>52.29999999999999</v>
      </c>
      <c r="E5" s="168">
        <f>INDEX(Table!H:H,MATCH($A5,Table!$B:$B,0))</f>
        <v>18</v>
      </c>
      <c r="F5" s="170" t="str">
        <f>INDEX(Table!F:F,MATCH($A5,Table!$B:$B,0))</f>
        <v>Alick Rocca</v>
      </c>
      <c r="G5" s="419">
        <f>INDEX(Table!I:I,MATCH($A5,Table!$B:$B,0))</f>
        <v>11.36</v>
      </c>
      <c r="H5" s="168">
        <f>INDEX(Table!J:J,MATCH($A5,Table!$B:$B,0))</f>
        <v>2</v>
      </c>
      <c r="I5" s="172"/>
      <c r="J5" s="445">
        <v>2</v>
      </c>
      <c r="K5" s="333">
        <v>5</v>
      </c>
      <c r="L5" s="171" t="str">
        <f>INDEX(Weekly!E:E,MATCH($J5,Weekly!B:B,0))</f>
        <v>Chris Luck</v>
      </c>
      <c r="M5" s="498">
        <f>INDEX(Weekly!H:H,MATCH($J5,Weekly!B:B,0))</f>
        <v>30.272500000000001</v>
      </c>
      <c r="N5" s="86"/>
      <c r="O5" s="86">
        <v>2</v>
      </c>
      <c r="P5" s="86"/>
      <c r="Q5" s="86"/>
      <c r="R5" s="86"/>
      <c r="S5" s="86"/>
      <c r="T5" s="86"/>
      <c r="U5" s="563" t="s">
        <v>42</v>
      </c>
      <c r="V5" s="566" t="str">
        <f>INDEX(Table!F:F,MATCH(U5,Table!$B:$B,0))</f>
        <v>Alick Rocca</v>
      </c>
      <c r="W5" s="567">
        <f>INDEX(Table!G:G,MATCH(U5,Table!$B:$B,0))</f>
        <v>52.29999999999999</v>
      </c>
      <c r="X5" s="568" t="s">
        <v>283</v>
      </c>
      <c r="Y5" s="693" t="str">
        <f>INDEX(Table!$F:$F,MATCH(X5,Table!$B:$B,0))</f>
        <v>Kevin Carter</v>
      </c>
      <c r="Z5" s="567">
        <f>INDEX(Table!$G:$G,MATCH(X5,Table!$B:$B,0))</f>
        <v>86.818457431457446</v>
      </c>
      <c r="AA5" s="568" t="s">
        <v>288</v>
      </c>
      <c r="AB5" s="693" t="str">
        <f>INDEX(Table!$F:$F,MATCH(AA5,Table!$B:$B,0))</f>
        <v>Rob England</v>
      </c>
      <c r="AC5" s="567">
        <f>INDEX(Table!$G:$G,MATCH(AA5,Table!$B:$B,0))</f>
        <v>30.550210955710952</v>
      </c>
      <c r="AD5" s="568" t="s">
        <v>40</v>
      </c>
      <c r="AE5" s="693" t="str">
        <f>INDEX(Table!$F:$F,MATCH(AD5,Table!$B:$B,0))</f>
        <v>Antony Robinson</v>
      </c>
      <c r="AF5" s="567">
        <f>INDEX(Table!$G:$G,MATCH(AD5,Table!$B:$B,0))</f>
        <v>70.847294372294371</v>
      </c>
      <c r="AG5" s="86"/>
      <c r="AH5" s="86"/>
      <c r="AI5" s="86"/>
      <c r="AJ5" s="86"/>
      <c r="AK5" s="86"/>
      <c r="AL5" s="86"/>
      <c r="AM5" s="86"/>
      <c r="AN5" s="86"/>
      <c r="AO5" s="86"/>
      <c r="AP5" s="86"/>
      <c r="AQ5" s="86"/>
    </row>
    <row r="6" spans="1:43" ht="18" customHeight="1" x14ac:dyDescent="0.25">
      <c r="A6" s="9" t="s">
        <v>278</v>
      </c>
      <c r="B6" s="716"/>
      <c r="C6" s="327">
        <v>3</v>
      </c>
      <c r="D6" s="419">
        <f>INDEX(Table!G:G,MATCH($A6,Table!$B:$B,0))</f>
        <v>43.498000000000005</v>
      </c>
      <c r="E6" s="168">
        <f>INDEX(Table!H:H,MATCH($A6,Table!$B:$B,0))</f>
        <v>28</v>
      </c>
      <c r="F6" s="170" t="str">
        <f>INDEX(Table!F:F,MATCH($A6,Table!$B:$B,0))</f>
        <v>Chris Luck</v>
      </c>
      <c r="G6" s="419">
        <f>INDEX(Table!I:I,MATCH($A6,Table!$B:$B,0))</f>
        <v>30.272500000000001</v>
      </c>
      <c r="H6" s="168">
        <f>INDEX(Table!J:J,MATCH($A6,Table!$B:$B,0))</f>
        <v>3</v>
      </c>
      <c r="I6" s="172"/>
      <c r="J6" s="445">
        <v>3</v>
      </c>
      <c r="K6" s="333">
        <v>5</v>
      </c>
      <c r="L6" s="171" t="str">
        <f>INDEX(Weekly!E:E,MATCH($J6,Weekly!B:B,0))</f>
        <v>Stephen Troop</v>
      </c>
      <c r="M6" s="498">
        <f>INDEX(Weekly!H:H,MATCH($J6,Weekly!B:B,0))</f>
        <v>26.65</v>
      </c>
      <c r="N6" s="86"/>
      <c r="O6" s="86">
        <v>3</v>
      </c>
      <c r="P6" s="86"/>
      <c r="Q6" s="86"/>
      <c r="R6" s="86"/>
      <c r="S6" s="86"/>
      <c r="T6" s="86"/>
      <c r="U6" s="563" t="s">
        <v>278</v>
      </c>
      <c r="V6" s="566" t="str">
        <f>INDEX(Table!F:F,MATCH(U6,Table!$B:$B,0))</f>
        <v>Chris Luck</v>
      </c>
      <c r="W6" s="567">
        <f>INDEX(Table!G:G,MATCH(U6,Table!$B:$B,0))</f>
        <v>43.498000000000005</v>
      </c>
      <c r="X6" s="568" t="s">
        <v>284</v>
      </c>
      <c r="Y6" s="693" t="str">
        <f>INDEX(Table!$F:$F,MATCH(X6,Table!$B:$B,0))</f>
        <v>Andy Charleston</v>
      </c>
      <c r="Z6" s="567">
        <f>INDEX(Table!$G:$G,MATCH(X6,Table!$B:$B,0))</f>
        <v>34.242795815295821</v>
      </c>
      <c r="AA6" s="568" t="s">
        <v>289</v>
      </c>
      <c r="AB6" s="693" t="str">
        <f>INDEX(Table!$F:$F,MATCH(AA6,Table!$B:$B,0))</f>
        <v>John Evans</v>
      </c>
      <c r="AC6" s="567">
        <f>INDEX(Table!$G:$G,MATCH(AA6,Table!$B:$B,0))</f>
        <v>26.998430555555551</v>
      </c>
      <c r="AD6" s="568" t="s">
        <v>292</v>
      </c>
      <c r="AE6" s="693" t="str">
        <f>INDEX(Table!$F:$F,MATCH(AD6,Table!$B:$B,0))</f>
        <v>Graeme Holmes</v>
      </c>
      <c r="AF6" s="567">
        <f>INDEX(Table!$G:$G,MATCH(AD6,Table!$B:$B,0))</f>
        <v>53.518704545454547</v>
      </c>
      <c r="AG6" s="86"/>
      <c r="AH6" s="86"/>
      <c r="AI6" s="86"/>
      <c r="AJ6" s="86"/>
      <c r="AK6" s="86"/>
      <c r="AL6" s="86"/>
      <c r="AM6" s="86"/>
      <c r="AN6" s="86"/>
      <c r="AO6" s="86"/>
      <c r="AP6" s="86"/>
      <c r="AQ6" s="86"/>
    </row>
    <row r="7" spans="1:43" ht="18" customHeight="1" thickBot="1" x14ac:dyDescent="0.3">
      <c r="A7" s="9" t="s">
        <v>279</v>
      </c>
      <c r="B7" s="716"/>
      <c r="C7" s="327">
        <v>4</v>
      </c>
      <c r="D7" s="419">
        <f>INDEX(Table!G:G,MATCH($A7,Table!$B:$B,0))</f>
        <v>13.593547452547455</v>
      </c>
      <c r="E7" s="168">
        <f>INDEX(Table!H:H,MATCH($A7,Table!$B:$B,0))</f>
        <v>31</v>
      </c>
      <c r="F7" s="170" t="str">
        <f>INDEX(Table!F:F,MATCH($A7,Table!$B:$B,0))</f>
        <v>Stephen Troop</v>
      </c>
      <c r="G7" s="419">
        <f>INDEX(Table!I:I,MATCH($A7,Table!$B:$B,0))</f>
        <v>26.65</v>
      </c>
      <c r="H7" s="168">
        <f>INDEX(Table!J:J,MATCH($A7,Table!$B:$B,0))</f>
        <v>3</v>
      </c>
      <c r="I7" s="172"/>
      <c r="J7" s="445">
        <v>4</v>
      </c>
      <c r="K7" s="415">
        <v>5</v>
      </c>
      <c r="L7" s="416" t="str">
        <f>INDEX(Weekly!E:E,MATCH($J7,Weekly!B:B,0))</f>
        <v>Chris Bow</v>
      </c>
      <c r="M7" s="658">
        <f>INDEX(Weekly!H:H,MATCH($J7,Weekly!B:B,0))</f>
        <v>25.969374999999999</v>
      </c>
      <c r="N7" s="86"/>
      <c r="O7" s="86">
        <v>4</v>
      </c>
      <c r="P7" s="86"/>
      <c r="Q7" s="86"/>
      <c r="R7" s="86"/>
      <c r="S7" s="86"/>
      <c r="T7" s="86"/>
      <c r="U7" s="563" t="s">
        <v>279</v>
      </c>
      <c r="V7" s="566" t="str">
        <f>INDEX(Table!F:F,MATCH(U7,Table!$B:$B,0))</f>
        <v>Stephen Troop</v>
      </c>
      <c r="W7" s="567">
        <f>INDEX(Table!G:G,MATCH(U7,Table!$B:$B,0))</f>
        <v>13.593547452547455</v>
      </c>
      <c r="X7" s="568" t="s">
        <v>285</v>
      </c>
      <c r="Y7" s="693" t="str">
        <f>INDEX(Table!$F:$F,MATCH(X7,Table!$B:$B,0))</f>
        <v>Ste Bentley</v>
      </c>
      <c r="Z7" s="567">
        <f>INDEX(Table!$G:$G,MATCH(X7,Table!$B:$B,0))</f>
        <v>26.771365281183467</v>
      </c>
      <c r="AA7" s="568" t="s">
        <v>290</v>
      </c>
      <c r="AB7" s="693" t="str">
        <f>INDEX(Table!$F:$F,MATCH(AA7,Table!$B:$B,0))</f>
        <v>Chris Griffin</v>
      </c>
      <c r="AC7" s="567">
        <f>INDEX(Table!$G:$G,MATCH(AA7,Table!$B:$B,0))</f>
        <v>18.934010381153236</v>
      </c>
      <c r="AD7" s="568" t="s">
        <v>393</v>
      </c>
      <c r="AE7" s="693" t="str">
        <f>INDEX(Table!$F:$F,MATCH(AD7,Table!$B:$B,0))</f>
        <v>Howard Bradley</v>
      </c>
      <c r="AF7" s="567">
        <f>INDEX(Table!$G:$G,MATCH(AD7,Table!$B:$B,0))</f>
        <v>38.544367706367709</v>
      </c>
      <c r="AG7" s="86"/>
      <c r="AH7" s="86"/>
      <c r="AI7" s="86"/>
      <c r="AJ7" s="86"/>
      <c r="AK7" s="86"/>
      <c r="AL7" s="86"/>
      <c r="AM7" s="86"/>
      <c r="AN7" s="86"/>
      <c r="AO7" s="86"/>
      <c r="AP7" s="86"/>
      <c r="AQ7" s="86"/>
    </row>
    <row r="8" spans="1:43" ht="18" customHeight="1" thickTop="1" x14ac:dyDescent="0.25">
      <c r="A8" s="9" t="s">
        <v>280</v>
      </c>
      <c r="B8" s="716"/>
      <c r="C8" s="327">
        <v>5</v>
      </c>
      <c r="D8" s="419">
        <f>INDEX(Table!G:G,MATCH($A8,Table!$B:$B,0))</f>
        <v>-2.8620027195027227</v>
      </c>
      <c r="E8" s="168">
        <f>INDEX(Table!H:H,MATCH($A8,Table!$B:$B,0))</f>
        <v>37</v>
      </c>
      <c r="F8" s="170" t="str">
        <f>INDEX(Table!F:F,MATCH($A8,Table!$B:$B,0))</f>
        <v>Phil Miller</v>
      </c>
      <c r="G8" s="419">
        <f>INDEX(Table!I:I,MATCH($A8,Table!$B:$B,0))</f>
        <v>-1.8888888888888893</v>
      </c>
      <c r="H8" s="168">
        <f>INDEX(Table!J:J,MATCH($A8,Table!$B:$B,0))</f>
        <v>2</v>
      </c>
      <c r="I8" s="172"/>
      <c r="J8" s="445">
        <v>5</v>
      </c>
      <c r="K8" s="413"/>
      <c r="L8" s="414" t="s">
        <v>339</v>
      </c>
      <c r="M8" s="499">
        <v>25.97</v>
      </c>
      <c r="N8" s="86"/>
      <c r="O8" s="86">
        <v>5</v>
      </c>
      <c r="P8" s="86"/>
      <c r="Q8" s="86"/>
      <c r="R8" s="86"/>
      <c r="S8" s="86"/>
      <c r="T8" s="86"/>
      <c r="U8" s="563" t="s">
        <v>280</v>
      </c>
      <c r="V8" s="566" t="str">
        <f>INDEX(Table!F:F,MATCH(U8,Table!$B:$B,0))</f>
        <v>Phil Miller</v>
      </c>
      <c r="W8" s="567">
        <f>INDEX(Table!G:G,MATCH(U8,Table!$B:$B,0))</f>
        <v>-2.8620027195027227</v>
      </c>
      <c r="X8" s="568" t="s">
        <v>286</v>
      </c>
      <c r="Y8" s="693" t="str">
        <f>INDEX(Table!$F:$F,MATCH(X8,Table!$B:$B,0))</f>
        <v>Nigel Heyes</v>
      </c>
      <c r="Z8" s="567">
        <f>INDEX(Table!$G:$G,MATCH(X8,Table!$B:$B,0))</f>
        <v>13.540977272727266</v>
      </c>
      <c r="AA8" s="568" t="s">
        <v>291</v>
      </c>
      <c r="AB8" s="693" t="str">
        <f>INDEX(Table!$F:$F,MATCH(AA8,Table!$B:$B,0))</f>
        <v>Alfie Davies</v>
      </c>
      <c r="AC8" s="567">
        <f>INDEX(Table!$G:$G,MATCH(AA8,Table!$B:$B,0))</f>
        <v>16.682619269619266</v>
      </c>
      <c r="AD8" s="568" t="s">
        <v>293</v>
      </c>
      <c r="AE8" s="693" t="str">
        <f>INDEX(Table!$F:$F,MATCH(AD8,Table!$B:$B,0))</f>
        <v>Nick Blocksidge</v>
      </c>
      <c r="AF8" s="567">
        <f>INDEX(Table!$G:$G,MATCH(AD8,Table!$B:$B,0))</f>
        <v>28.619232323232325</v>
      </c>
      <c r="AG8" s="86"/>
      <c r="AH8" s="86"/>
      <c r="AI8" s="86"/>
      <c r="AJ8" s="86"/>
      <c r="AK8" s="86"/>
      <c r="AL8" s="86"/>
      <c r="AM8" s="86"/>
      <c r="AN8" s="86"/>
      <c r="AO8" s="86"/>
      <c r="AP8" s="86"/>
      <c r="AQ8" s="86"/>
    </row>
    <row r="9" spans="1:43" ht="18" customHeight="1" thickBot="1" x14ac:dyDescent="0.3">
      <c r="A9" s="9" t="s">
        <v>386</v>
      </c>
      <c r="B9" s="717"/>
      <c r="C9" s="327">
        <v>6</v>
      </c>
      <c r="D9" s="423">
        <f>INDEX(Table!G:G,MATCH($A9,Table!$B:$B,0))</f>
        <v>-8.6288888888888842</v>
      </c>
      <c r="E9" s="424">
        <f>INDEX(Table!H:H,MATCH($A9,Table!$B:$B,0))</f>
        <v>25</v>
      </c>
      <c r="F9" s="425" t="str">
        <f>INDEX(Table!F:F,MATCH($A9,Table!$B:$B,0))</f>
        <v>Mike Penk</v>
      </c>
      <c r="G9" s="423">
        <f>INDEX(Table!I:I,MATCH($A9,Table!$B:$B,0))</f>
        <v>-7</v>
      </c>
      <c r="H9" s="424">
        <f>INDEX(Table!J:J,MATCH($A9,Table!$B:$B,0))</f>
        <v>0</v>
      </c>
      <c r="I9" s="172"/>
      <c r="J9" s="445">
        <v>6</v>
      </c>
      <c r="K9" s="333"/>
      <c r="L9" s="414" t="str">
        <f>INDEX(Weekly!E:E,MATCH($J9,Weekly!B:B,0))</f>
        <v>Jack Walsh</v>
      </c>
      <c r="M9" s="499">
        <f>INDEX(Weekly!H:H,MATCH($J9,Weekly!B:B,0))</f>
        <v>23.32</v>
      </c>
      <c r="N9" s="86"/>
      <c r="O9" s="86">
        <v>6</v>
      </c>
      <c r="P9" s="86"/>
      <c r="Q9" s="86"/>
      <c r="R9" s="86"/>
      <c r="S9" s="86"/>
      <c r="T9" s="86"/>
      <c r="U9" s="564" t="s">
        <v>386</v>
      </c>
      <c r="V9" s="569" t="str">
        <f>INDEX(Table!F:F,MATCH(U9,Table!$B:$B,0))</f>
        <v>Mike Penk</v>
      </c>
      <c r="W9" s="570">
        <f>INDEX(Table!G:G,MATCH(U9,Table!$B:$B,0))</f>
        <v>-8.6288888888888842</v>
      </c>
      <c r="X9" s="571" t="s">
        <v>387</v>
      </c>
      <c r="Y9" s="694" t="str">
        <f>INDEX(Table!$F:$F,MATCH(X9,Table!$B:$B,0))</f>
        <v>Steve Baxter</v>
      </c>
      <c r="Z9" s="570">
        <f>INDEX(Table!$G:$G,MATCH(X9,Table!$B:$B,0))</f>
        <v>-6.5839702291172948</v>
      </c>
      <c r="AA9" s="571" t="s">
        <v>388</v>
      </c>
      <c r="AB9" s="694" t="str">
        <f>INDEX(Table!$F:$F,MATCH(AA9,Table!$B:$B,0))</f>
        <v>Dave Orrell</v>
      </c>
      <c r="AC9" s="570">
        <f>INDEX(Table!$G:$G,MATCH(AA9,Table!$B:$B,0))</f>
        <v>-14.056619658119665</v>
      </c>
      <c r="AD9" s="571" t="s">
        <v>389</v>
      </c>
      <c r="AE9" s="694" t="str">
        <f>INDEX(Table!$F:$F,MATCH(AD9,Table!$B:$B,0))</f>
        <v>Paul Ridgeway</v>
      </c>
      <c r="AF9" s="570">
        <f>INDEX(Table!$G:$G,MATCH(AD9,Table!$B:$B,0))</f>
        <v>28.296438122063115</v>
      </c>
      <c r="AG9" s="86"/>
      <c r="AH9" s="86"/>
      <c r="AI9" s="86"/>
      <c r="AJ9" s="86"/>
      <c r="AK9" s="86"/>
      <c r="AL9" s="86"/>
      <c r="AM9" s="86"/>
      <c r="AN9" s="86"/>
      <c r="AO9" s="86"/>
      <c r="AP9" s="86"/>
      <c r="AQ9" s="86"/>
    </row>
    <row r="10" spans="1:43" ht="18" customHeight="1" thickTop="1" x14ac:dyDescent="0.25">
      <c r="A10" s="9" t="s">
        <v>282</v>
      </c>
      <c r="B10" s="715" t="s">
        <v>265</v>
      </c>
      <c r="C10" s="327">
        <v>1</v>
      </c>
      <c r="D10" s="420">
        <f>INDEX(Table!G:G,MATCH($A10,Table!$B:$B,0))</f>
        <v>104.605065759404</v>
      </c>
      <c r="E10" s="421">
        <f>INDEX(Table!H:H,MATCH($A10,Table!$B:$B,0))</f>
        <v>22</v>
      </c>
      <c r="F10" s="422" t="str">
        <f>INDEX(Table!F:F,MATCH($A10,Table!$B:$B,0))</f>
        <v>Gareth Powell</v>
      </c>
      <c r="G10" s="420">
        <f>INDEX(Table!I:I,MATCH($A10,Table!$B:$B,0))</f>
        <v>-1.8888888888888893</v>
      </c>
      <c r="H10" s="421">
        <f>INDEX(Table!J:J,MATCH($A10,Table!$B:$B,0))</f>
        <v>2</v>
      </c>
      <c r="I10" s="172"/>
      <c r="J10" s="446">
        <v>7</v>
      </c>
      <c r="K10" s="333"/>
      <c r="L10" s="414" t="str">
        <f>INDEX(Weekly!E:E,MATCH($J10,Weekly!B:B,0))</f>
        <v>Ste Bentley</v>
      </c>
      <c r="M10" s="499">
        <f>INDEX(Weekly!H:H,MATCH($J10,Weekly!B:B,0))</f>
        <v>19</v>
      </c>
      <c r="N10" s="86"/>
      <c r="O10" s="86">
        <v>7</v>
      </c>
      <c r="P10" s="86"/>
      <c r="Q10" s="86"/>
      <c r="R10" s="86"/>
      <c r="S10" s="86"/>
      <c r="T10" s="86"/>
      <c r="U10" s="565" t="s">
        <v>479</v>
      </c>
      <c r="V10" s="572" t="str">
        <f>INDEX(Table!F:F,MATCH(U10,Table!$B:$B,0))</f>
        <v>Barry Birchall</v>
      </c>
      <c r="W10" s="574">
        <f>INDEX(Table!G:G,MATCH(U10,Table!$B:$B,0))</f>
        <v>-11.598515928515933</v>
      </c>
      <c r="X10" s="575" t="s">
        <v>488</v>
      </c>
      <c r="Y10" s="701" t="str">
        <f>INDEX(Table!$F:$F,MATCH(X10,Table!$B:$B,0))</f>
        <v>Pete Baron</v>
      </c>
      <c r="Z10" s="574">
        <f>INDEX(Table!$G:$G,MATCH(X10,Table!$B:$B,0))</f>
        <v>-6.8553125000000055</v>
      </c>
      <c r="AA10" s="575" t="s">
        <v>498</v>
      </c>
      <c r="AB10" s="701" t="str">
        <f>INDEX(Table!$F:$F,MATCH(AA10,Table!$B:$B,0))</f>
        <v>Phil Brown</v>
      </c>
      <c r="AC10" s="574">
        <f>INDEX(Table!$G:$G,MATCH(AA10,Table!$B:$B,0))</f>
        <v>-26.674047619047624</v>
      </c>
      <c r="AD10" s="575" t="s">
        <v>508</v>
      </c>
      <c r="AE10" s="701" t="str">
        <f>INDEX(Table!$F:$F,MATCH(AD10,Table!$B:$B,0))</f>
        <v>Gareth Fallows</v>
      </c>
      <c r="AF10" s="574">
        <f>INDEX(Table!$G:$G,MATCH(AD10,Table!$B:$B,0))</f>
        <v>27.408375000000003</v>
      </c>
      <c r="AG10" s="86"/>
      <c r="AH10" s="86"/>
      <c r="AI10" s="86"/>
      <c r="AJ10" s="86"/>
      <c r="AK10" s="86"/>
      <c r="AL10" s="86"/>
      <c r="AM10" s="86"/>
      <c r="AN10" s="86"/>
      <c r="AO10" s="86"/>
      <c r="AP10" s="86"/>
      <c r="AQ10" s="86"/>
    </row>
    <row r="11" spans="1:43" ht="18" customHeight="1" x14ac:dyDescent="0.25">
      <c r="A11" s="9" t="s">
        <v>283</v>
      </c>
      <c r="B11" s="716"/>
      <c r="C11" s="327">
        <v>2</v>
      </c>
      <c r="D11" s="419">
        <f>INDEX(Table!G:G,MATCH($A11,Table!$B:$B,0))</f>
        <v>86.818457431457446</v>
      </c>
      <c r="E11" s="168">
        <f>INDEX(Table!H:H,MATCH($A11,Table!$B:$B,0))</f>
        <v>36</v>
      </c>
      <c r="F11" s="170" t="str">
        <f>INDEX(Table!F:F,MATCH($A11,Table!$B:$B,0))</f>
        <v>Kevin Carter</v>
      </c>
      <c r="G11" s="419">
        <f>INDEX(Table!I:I,MATCH($A11,Table!$B:$B,0))</f>
        <v>104.75200000000001</v>
      </c>
      <c r="H11" s="168">
        <f>INDEX(Table!J:J,MATCH($A11,Table!$B:$B,0))</f>
        <v>3</v>
      </c>
      <c r="I11" s="172"/>
      <c r="J11" s="446">
        <v>8</v>
      </c>
      <c r="K11" s="333"/>
      <c r="L11" s="414" t="str">
        <f>INDEX(Weekly!E:E,MATCH($J11,Weekly!B:B,0))</f>
        <v>Liam Wah</v>
      </c>
      <c r="M11" s="499">
        <f>INDEX(Weekly!H:H,MATCH($J11,Weekly!B:B,0))</f>
        <v>15.760000000000002</v>
      </c>
      <c r="N11" s="86"/>
      <c r="O11" s="86">
        <v>8</v>
      </c>
      <c r="P11" s="86"/>
      <c r="Q11" s="86"/>
      <c r="R11" s="86"/>
      <c r="S11" s="86"/>
      <c r="T11" s="86"/>
      <c r="U11" s="563" t="s">
        <v>480</v>
      </c>
      <c r="V11" s="573" t="str">
        <f>INDEX(Table!F:F,MATCH(U11,Table!$B:$B,0))</f>
        <v>Stephen Barr</v>
      </c>
      <c r="W11" s="577">
        <f>INDEX(Table!G:G,MATCH(U11,Table!$B:$B,0))</f>
        <v>-23.636212121212111</v>
      </c>
      <c r="X11" s="578" t="s">
        <v>489</v>
      </c>
      <c r="Y11" s="702" t="str">
        <f>INDEX(Table!$F:$F,MATCH(X11,Table!$B:$B,0))</f>
        <v>Mal Stott</v>
      </c>
      <c r="Z11" s="577">
        <f>INDEX(Table!$G:$G,MATCH(X11,Table!$B:$B,0))</f>
        <v>-13.649393939393946</v>
      </c>
      <c r="AA11" s="578" t="s">
        <v>499</v>
      </c>
      <c r="AB11" s="579" t="str">
        <f>INDEX(Table!$F:$F,MATCH(AA11,Table!$B:$B,0))</f>
        <v>David Dunn</v>
      </c>
      <c r="AC11" s="577">
        <f>INDEX(Table!$G:$G,MATCH(AA11,Table!$B:$B,0))</f>
        <v>-29.921057969807979</v>
      </c>
      <c r="AD11" s="578" t="s">
        <v>509</v>
      </c>
      <c r="AE11" s="702" t="str">
        <f>INDEX(Table!$F:$F,MATCH(AD11,Table!$B:$B,0))</f>
        <v>Ben Rosser</v>
      </c>
      <c r="AF11" s="577">
        <f>INDEX(Table!$G:$G,MATCH(AD11,Table!$B:$B,0))</f>
        <v>26.22911976911977</v>
      </c>
      <c r="AG11" s="86"/>
      <c r="AH11" s="86"/>
      <c r="AI11" s="86"/>
      <c r="AJ11" s="86"/>
      <c r="AK11" s="86"/>
      <c r="AL11" s="86"/>
      <c r="AM11" s="86"/>
      <c r="AN11" s="86"/>
      <c r="AO11" s="86"/>
      <c r="AP11" s="86"/>
      <c r="AQ11" s="86"/>
    </row>
    <row r="12" spans="1:43" ht="18" customHeight="1" x14ac:dyDescent="0.25">
      <c r="A12" s="9" t="s">
        <v>284</v>
      </c>
      <c r="B12" s="716"/>
      <c r="C12" s="327">
        <v>3</v>
      </c>
      <c r="D12" s="419">
        <f>INDEX(Table!G:G,MATCH($A12,Table!$B:$B,0))</f>
        <v>34.242795815295821</v>
      </c>
      <c r="E12" s="168">
        <f>INDEX(Table!H:H,MATCH($A12,Table!$B:$B,0))</f>
        <v>32</v>
      </c>
      <c r="F12" s="170" t="str">
        <f>INDEX(Table!F:F,MATCH($A12,Table!$B:$B,0))</f>
        <v>Andy Charleston</v>
      </c>
      <c r="G12" s="419">
        <f>INDEX(Table!I:I,MATCH($A12,Table!$B:$B,0))</f>
        <v>2.2300000000000004</v>
      </c>
      <c r="H12" s="168">
        <f>INDEX(Table!J:J,MATCH($A12,Table!$B:$B,0))</f>
        <v>2</v>
      </c>
      <c r="I12" s="172"/>
      <c r="J12" s="446">
        <v>9</v>
      </c>
      <c r="K12" s="333"/>
      <c r="L12" s="414" t="str">
        <f>INDEX(Weekly!E:E,MATCH($J12,Weekly!B:B,0))</f>
        <v>Mark Bunn</v>
      </c>
      <c r="M12" s="499">
        <f>INDEX(Weekly!H:H,MATCH($J12,Weekly!B:B,0))</f>
        <v>11.8</v>
      </c>
      <c r="N12" s="86"/>
      <c r="O12" s="86">
        <v>9</v>
      </c>
      <c r="P12" s="86"/>
      <c r="Q12" s="86"/>
      <c r="R12" s="86"/>
      <c r="S12" s="86"/>
      <c r="T12" s="86"/>
      <c r="U12" s="563" t="s">
        <v>515</v>
      </c>
      <c r="V12" s="698" t="str">
        <f>INDEX(Table!F:F,MATCH(U12,Table!$B:$B,0))</f>
        <v>Mo Sudell</v>
      </c>
      <c r="W12" s="577">
        <f>INDEX(Table!G:G,MATCH(U12,Table!$B:$B,0))</f>
        <v>-23.718316128316122</v>
      </c>
      <c r="X12" s="578" t="s">
        <v>490</v>
      </c>
      <c r="Y12" s="579" t="str">
        <f>INDEX(Table!$F:$F,MATCH(X12,Table!$B:$B,0))</f>
        <v>Tom Robinson</v>
      </c>
      <c r="Z12" s="577">
        <f>INDEX(Table!$G:$G,MATCH(X12,Table!$B:$B,0))</f>
        <v>-26.577904040404029</v>
      </c>
      <c r="AA12" s="578" t="s">
        <v>500</v>
      </c>
      <c r="AB12" s="696" t="str">
        <f>INDEX(Table!$F:$F,MATCH(AA12,Table!$B:$B,0))</f>
        <v>Chris Townsend</v>
      </c>
      <c r="AC12" s="577">
        <f>INDEX(Table!$G:$G,MATCH(AA12,Table!$B:$B,0))</f>
        <v>-31.544999999999995</v>
      </c>
      <c r="AD12" s="578" t="s">
        <v>510</v>
      </c>
      <c r="AE12" s="579" t="str">
        <f>INDEX(Table!$F:$F,MATCH(AD12,Table!$B:$B,0))</f>
        <v>Ian Davies</v>
      </c>
      <c r="AF12" s="577">
        <f>INDEX(Table!$G:$G,MATCH(AD12,Table!$B:$B,0))</f>
        <v>24.725984532828271</v>
      </c>
      <c r="AG12" s="86"/>
      <c r="AH12" s="86"/>
      <c r="AI12" s="86"/>
      <c r="AJ12" s="86"/>
      <c r="AK12" s="86"/>
      <c r="AL12" s="86"/>
      <c r="AM12" s="86"/>
      <c r="AN12" s="86"/>
      <c r="AO12" s="86"/>
      <c r="AP12" s="86"/>
      <c r="AQ12" s="86"/>
    </row>
    <row r="13" spans="1:43" ht="18" customHeight="1" thickBot="1" x14ac:dyDescent="0.3">
      <c r="A13" s="9" t="s">
        <v>285</v>
      </c>
      <c r="B13" s="716"/>
      <c r="C13" s="327">
        <v>4</v>
      </c>
      <c r="D13" s="419">
        <f>INDEX(Table!G:G,MATCH($A13,Table!$B:$B,0))</f>
        <v>26.771365281183467</v>
      </c>
      <c r="E13" s="168">
        <f>INDEX(Table!H:H,MATCH($A13,Table!$B:$B,0))</f>
        <v>31</v>
      </c>
      <c r="F13" s="170" t="str">
        <f>INDEX(Table!F:F,MATCH($A13,Table!$B:$B,0))</f>
        <v>Ste Bentley</v>
      </c>
      <c r="G13" s="419">
        <f>INDEX(Table!I:I,MATCH($A13,Table!$B:$B,0))</f>
        <v>19</v>
      </c>
      <c r="H13" s="168">
        <f>INDEX(Table!J:J,MATCH($A13,Table!$B:$B,0))</f>
        <v>3</v>
      </c>
      <c r="I13" s="172"/>
      <c r="J13" s="446">
        <v>10</v>
      </c>
      <c r="K13" s="333"/>
      <c r="L13" s="414" t="str">
        <f>INDEX(Weekly!E:E,MATCH($J13,Weekly!B:B,0))</f>
        <v>Paul Barnes</v>
      </c>
      <c r="M13" s="499">
        <f>INDEX(Weekly!H:H,MATCH($J13,Weekly!B:B,0))</f>
        <v>11.440000000000001</v>
      </c>
      <c r="N13" s="86"/>
      <c r="O13" s="86">
        <v>10</v>
      </c>
      <c r="P13" s="86"/>
      <c r="Q13" s="86"/>
      <c r="R13" s="86"/>
      <c r="S13" s="86"/>
      <c r="T13" s="86"/>
      <c r="U13" s="564" t="s">
        <v>481</v>
      </c>
      <c r="V13" s="699" t="str">
        <f>INDEX(Table!F:F,MATCH(U13,Table!$B:$B,0))</f>
        <v>Paul Fiddler</v>
      </c>
      <c r="W13" s="580">
        <f>INDEX(Table!G:G,MATCH(U13,Table!$B:$B,0))</f>
        <v>-24.641997890997892</v>
      </c>
      <c r="X13" s="581" t="s">
        <v>491</v>
      </c>
      <c r="Y13" s="700" t="str">
        <f>INDEX(Table!$F:$F,MATCH(X13,Table!$B:$B,0))</f>
        <v>John Brown</v>
      </c>
      <c r="Z13" s="580">
        <f>INDEX(Table!$G:$G,MATCH(X13,Table!$B:$B,0))</f>
        <v>-32.410000000000004</v>
      </c>
      <c r="AA13" s="581" t="s">
        <v>501</v>
      </c>
      <c r="AB13" s="700" t="str">
        <f>INDEX(Table!$F:$F,MATCH(AA13,Table!$B:$B,0))</f>
        <v>Jack Walsh</v>
      </c>
      <c r="AC13" s="580">
        <f>INDEX(Table!$G:$G,MATCH(AA13,Table!$B:$B,0))</f>
        <v>-32.429848484848485</v>
      </c>
      <c r="AD13" s="581" t="s">
        <v>511</v>
      </c>
      <c r="AE13" s="582" t="str">
        <f>INDEX(Table!$F:$F,MATCH(AD13,Table!$B:$B,0))</f>
        <v>Dan Baxter</v>
      </c>
      <c r="AF13" s="580">
        <f>INDEX(Table!$G:$G,MATCH(AD13,Table!$B:$B,0))</f>
        <v>20.147486402486422</v>
      </c>
      <c r="AG13" s="86"/>
      <c r="AH13" s="86"/>
      <c r="AI13" s="86"/>
      <c r="AJ13" s="86"/>
      <c r="AK13" s="86"/>
      <c r="AL13" s="86"/>
      <c r="AM13" s="86"/>
      <c r="AN13" s="86"/>
      <c r="AO13" s="86"/>
      <c r="AP13" s="86"/>
      <c r="AQ13" s="86"/>
    </row>
    <row r="14" spans="1:43" ht="18" customHeight="1" thickTop="1" x14ac:dyDescent="0.25">
      <c r="A14" s="9" t="s">
        <v>286</v>
      </c>
      <c r="B14" s="716"/>
      <c r="C14" s="327">
        <v>5</v>
      </c>
      <c r="D14" s="419">
        <f>INDEX(Table!G:G,MATCH($A14,Table!$B:$B,0))</f>
        <v>13.540977272727266</v>
      </c>
      <c r="E14" s="168">
        <f>INDEX(Table!H:H,MATCH($A14,Table!$B:$B,0))</f>
        <v>25</v>
      </c>
      <c r="F14" s="170" t="str">
        <f>INDEX(Table!F:F,MATCH($A14,Table!$B:$B,0))</f>
        <v>Nigel Heyes</v>
      </c>
      <c r="G14" s="419">
        <f>INDEX(Table!I:I,MATCH($A14,Table!$B:$B,0))</f>
        <v>-4.8499999999999996</v>
      </c>
      <c r="H14" s="168">
        <f>INDEX(Table!J:J,MATCH($A14,Table!$B:$B,0))</f>
        <v>1</v>
      </c>
      <c r="I14" s="172"/>
      <c r="J14" s="446">
        <v>11</v>
      </c>
      <c r="K14" s="333"/>
      <c r="L14" s="414" t="str">
        <f>INDEX(Weekly!E:E,MATCH($J14,Weekly!B:B,0))</f>
        <v>Alick Rocca</v>
      </c>
      <c r="M14" s="499">
        <f>INDEX(Weekly!H:H,MATCH($J14,Weekly!B:B,0))</f>
        <v>11.36</v>
      </c>
      <c r="N14" s="86"/>
      <c r="O14" s="86">
        <v>11</v>
      </c>
      <c r="P14" s="86"/>
      <c r="Q14" s="86"/>
      <c r="R14" s="86"/>
      <c r="S14" s="86"/>
      <c r="T14" s="86"/>
      <c r="U14" s="565" t="s">
        <v>482</v>
      </c>
      <c r="V14" s="697" t="str">
        <f>INDEX(Table!F:F,MATCH(U14,Table!$B:$B,0))</f>
        <v>Lennie Bow</v>
      </c>
      <c r="W14" s="574">
        <f>INDEX(Table!G:G,MATCH(U14,Table!$B:$B,0))</f>
        <v>-37.83735159285159</v>
      </c>
      <c r="X14" s="575" t="s">
        <v>492</v>
      </c>
      <c r="Y14" s="695" t="str">
        <f>INDEX(Table!$F:$F,MATCH(X14,Table!$B:$B,0))</f>
        <v>Kei Lok Ma</v>
      </c>
      <c r="Z14" s="574">
        <f>INDEX(Table!$G:$G,MATCH(X14,Table!$B:$B,0))</f>
        <v>-32.487000000000002</v>
      </c>
      <c r="AA14" s="575" t="s">
        <v>502</v>
      </c>
      <c r="AB14" s="695" t="str">
        <f>INDEX(Table!$F:$F,MATCH(AA14,Table!$B:$B,0))</f>
        <v>Simon Greenhalgh</v>
      </c>
      <c r="AC14" s="574">
        <f>INDEX(Table!$G:$G,MATCH(AA14,Table!$B:$B,0))</f>
        <v>-54.732575757575759</v>
      </c>
      <c r="AD14" s="575" t="s">
        <v>512</v>
      </c>
      <c r="AE14" s="576" t="str">
        <f>INDEX(Table!$F:$F,MATCH(AD14,Table!$B:$B,0))</f>
        <v>Ashley Houghton</v>
      </c>
      <c r="AF14" s="574">
        <f>INDEX(Table!$G:$G,MATCH(AD14,Table!$B:$B,0))</f>
        <v>11.6381691919192</v>
      </c>
      <c r="AG14" s="86"/>
      <c r="AH14" s="86"/>
      <c r="AI14" s="86"/>
      <c r="AJ14" s="86"/>
      <c r="AK14" s="86"/>
      <c r="AL14" s="86"/>
      <c r="AM14" s="86"/>
      <c r="AN14" s="86"/>
      <c r="AO14" s="86"/>
      <c r="AP14" s="86"/>
      <c r="AQ14" s="86"/>
    </row>
    <row r="15" spans="1:43" ht="18" customHeight="1" thickBot="1" x14ac:dyDescent="0.3">
      <c r="A15" s="9" t="s">
        <v>387</v>
      </c>
      <c r="B15" s="717"/>
      <c r="C15" s="327">
        <v>6</v>
      </c>
      <c r="D15" s="423">
        <f>INDEX(Table!G:G,MATCH($A15,Table!$B:$B,0))</f>
        <v>-6.5839702291172948</v>
      </c>
      <c r="E15" s="424">
        <f>INDEX(Table!H:H,MATCH($A15,Table!$B:$B,0))</f>
        <v>34</v>
      </c>
      <c r="F15" s="425" t="str">
        <f>INDEX(Table!F:F,MATCH($A15,Table!$B:$B,0))</f>
        <v>Steve Baxter</v>
      </c>
      <c r="G15" s="423">
        <f>INDEX(Table!I:I,MATCH($A15,Table!$B:$B,0))</f>
        <v>-5.666666666666667</v>
      </c>
      <c r="H15" s="424">
        <f>INDEX(Table!J:J,MATCH($A15,Table!$B:$B,0))</f>
        <v>1</v>
      </c>
      <c r="I15" s="172"/>
      <c r="J15" s="446">
        <v>12</v>
      </c>
      <c r="K15" s="333"/>
      <c r="L15" s="414" t="str">
        <f>INDEX(Weekly!E:E,MATCH($J15,Weekly!B:B,0))</f>
        <v>Chris Griffin</v>
      </c>
      <c r="M15" s="499">
        <f>INDEX(Weekly!H:H,MATCH($J15,Weekly!B:B,0))</f>
        <v>6.5199999999999978</v>
      </c>
      <c r="N15" s="86"/>
      <c r="O15" s="86">
        <v>12</v>
      </c>
      <c r="P15" s="86"/>
      <c r="Q15" s="86"/>
      <c r="R15" s="86"/>
      <c r="S15" s="86"/>
      <c r="T15" s="86"/>
      <c r="U15" s="563" t="s">
        <v>483</v>
      </c>
      <c r="V15" s="698" t="str">
        <f>INDEX(Table!F:F,MATCH(U15,Table!$B:$B,0))</f>
        <v>Steve Carter</v>
      </c>
      <c r="W15" s="577">
        <f>INDEX(Table!G:G,MATCH(U15,Table!$B:$B,0))</f>
        <v>-38.088096237096238</v>
      </c>
      <c r="X15" s="578" t="s">
        <v>493</v>
      </c>
      <c r="Y15" s="696" t="str">
        <f>INDEX(Table!$F:$F,MATCH(X15,Table!$B:$B,0))</f>
        <v>Mark Bunn</v>
      </c>
      <c r="Z15" s="577">
        <f>INDEX(Table!$G:$G,MATCH(X15,Table!$B:$B,0))</f>
        <v>-41.575000000000003</v>
      </c>
      <c r="AA15" s="578" t="s">
        <v>503</v>
      </c>
      <c r="AB15" s="696" t="str">
        <f>INDEX(Table!$F:$F,MATCH(AA15,Table!$B:$B,0))</f>
        <v>Vinny Topping</v>
      </c>
      <c r="AC15" s="577">
        <f>INDEX(Table!$G:$G,MATCH(AA15,Table!$B:$B,0))</f>
        <v>-63.14409090909092</v>
      </c>
      <c r="AD15" s="578" t="s">
        <v>513</v>
      </c>
      <c r="AE15" s="579" t="str">
        <f>INDEX(Table!$F:$F,MATCH(AD15,Table!$B:$B,0))</f>
        <v>Liam Wah</v>
      </c>
      <c r="AF15" s="577">
        <f>INDEX(Table!$G:$G,MATCH(AD15,Table!$B:$B,0))</f>
        <v>-12.468846153846155</v>
      </c>
      <c r="AG15" s="86"/>
      <c r="AH15" s="86"/>
      <c r="AI15" s="86"/>
      <c r="AJ15" s="86"/>
      <c r="AK15" s="86"/>
      <c r="AL15" s="86"/>
      <c r="AM15" s="86"/>
      <c r="AN15" s="86"/>
      <c r="AO15" s="86"/>
      <c r="AP15" s="86"/>
      <c r="AQ15" s="86"/>
    </row>
    <row r="16" spans="1:43" ht="18" customHeight="1" thickTop="1" x14ac:dyDescent="0.25">
      <c r="A16" s="9" t="s">
        <v>287</v>
      </c>
      <c r="B16" s="715" t="s">
        <v>266</v>
      </c>
      <c r="C16" s="327">
        <v>1</v>
      </c>
      <c r="D16" s="420">
        <f>INDEX(Table!G:G,MATCH($A16,Table!$B:$B,0))</f>
        <v>66.322234487734491</v>
      </c>
      <c r="E16" s="421">
        <f>INDEX(Table!H:H,MATCH($A16,Table!$B:$B,0))</f>
        <v>39</v>
      </c>
      <c r="F16" s="422" t="str">
        <f>INDEX(Table!F:F,MATCH($A16,Table!$B:$B,0))</f>
        <v>Paul Allen</v>
      </c>
      <c r="G16" s="420">
        <f>INDEX(Table!I:I,MATCH($A16,Table!$B:$B,0))</f>
        <v>-0.75499999999999989</v>
      </c>
      <c r="H16" s="421">
        <f>INDEX(Table!J:J,MATCH($A16,Table!$B:$B,0))</f>
        <v>2</v>
      </c>
      <c r="I16" s="172"/>
      <c r="J16" s="446"/>
      <c r="K16" s="172"/>
      <c r="L16" s="172"/>
      <c r="M16" s="172"/>
      <c r="N16" s="86"/>
      <c r="O16" s="86">
        <v>13</v>
      </c>
      <c r="P16" s="86"/>
      <c r="Q16" s="86"/>
      <c r="R16" s="86"/>
      <c r="S16" s="86"/>
      <c r="T16" s="86"/>
      <c r="U16" s="563" t="s">
        <v>484</v>
      </c>
      <c r="V16" s="698" t="str">
        <f>INDEX(Table!F:F,MATCH(U16,Table!$B:$B,0))</f>
        <v>Graham Miller</v>
      </c>
      <c r="W16" s="577">
        <f>INDEX(Table!G:G,MATCH(U16,Table!$B:$B,0))</f>
        <v>-57.225776445776447</v>
      </c>
      <c r="X16" s="578" t="s">
        <v>494</v>
      </c>
      <c r="Y16" s="696" t="str">
        <f>INDEX(Table!$F:$F,MATCH(X16,Table!$B:$B,0))</f>
        <v>Martin Molyneux</v>
      </c>
      <c r="Z16" s="577">
        <f>INDEX(Table!$G:$G,MATCH(X16,Table!$B:$B,0))</f>
        <v>-42.317091630591626</v>
      </c>
      <c r="AA16" s="578" t="s">
        <v>504</v>
      </c>
      <c r="AB16" s="696" t="str">
        <f>INDEX(Table!$F:$F,MATCH(AA16,Table!$B:$B,0))</f>
        <v>Paul Adderley</v>
      </c>
      <c r="AC16" s="577">
        <f>INDEX(Table!$G:$G,MATCH(AA16,Table!$B:$B,0))</f>
        <v>-72.564393939393938</v>
      </c>
      <c r="AD16" s="578" t="s">
        <v>514</v>
      </c>
      <c r="AE16" s="579" t="str">
        <f>INDEX(Table!$F:$F,MATCH(AD16,Table!$B:$B,0))</f>
        <v>Martin Tarbuck</v>
      </c>
      <c r="AF16" s="577">
        <f>INDEX(Table!$G:$G,MATCH(AD16,Table!$B:$B,0))</f>
        <v>-19.990846930846928</v>
      </c>
      <c r="AG16" s="86"/>
      <c r="AH16" s="86"/>
      <c r="AI16" s="86"/>
      <c r="AJ16" s="86"/>
      <c r="AK16" s="86"/>
      <c r="AL16" s="86"/>
      <c r="AM16" s="86"/>
      <c r="AN16" s="86"/>
      <c r="AO16" s="86"/>
      <c r="AP16" s="86"/>
      <c r="AQ16" s="86"/>
    </row>
    <row r="17" spans="1:43" ht="18" customHeight="1" x14ac:dyDescent="0.25">
      <c r="A17" s="9" t="s">
        <v>288</v>
      </c>
      <c r="B17" s="716"/>
      <c r="C17" s="327">
        <v>2</v>
      </c>
      <c r="D17" s="420">
        <f>INDEX(Table!G:G,MATCH($A17,Table!$B:$B,0))</f>
        <v>30.550210955710952</v>
      </c>
      <c r="E17" s="421">
        <f>INDEX(Table!H:H,MATCH($A17,Table!$B:$B,0))</f>
        <v>34</v>
      </c>
      <c r="F17" s="422" t="str">
        <f>INDEX(Table!F:F,MATCH($A17,Table!$B:$B,0))</f>
        <v>Rob England</v>
      </c>
      <c r="G17" s="420">
        <f>INDEX(Table!I:I,MATCH($A17,Table!$B:$B,0))</f>
        <v>-5.1538461538461533</v>
      </c>
      <c r="H17" s="421">
        <f>INDEX(Table!J:J,MATCH($A17,Table!$B:$B,0))</f>
        <v>1</v>
      </c>
      <c r="I17" s="172"/>
      <c r="J17" s="446"/>
      <c r="K17" s="614" t="s">
        <v>188</v>
      </c>
      <c r="L17" s="615"/>
      <c r="M17" s="616"/>
      <c r="N17" s="86"/>
      <c r="O17" s="86">
        <v>14</v>
      </c>
      <c r="P17" s="86"/>
      <c r="Q17" s="86"/>
      <c r="R17" s="86"/>
      <c r="S17" s="86"/>
      <c r="T17" s="86"/>
      <c r="U17" s="563" t="s">
        <v>485</v>
      </c>
      <c r="V17" s="698" t="str">
        <f>INDEX(Table!F:F,MATCH(U17,Table!$B:$B,0))</f>
        <v>Mark Saunders</v>
      </c>
      <c r="W17" s="577">
        <f>INDEX(Table!G:G,MATCH(U17,Table!$B:$B,0))</f>
        <v>-68.67</v>
      </c>
      <c r="X17" s="578" t="s">
        <v>495</v>
      </c>
      <c r="Y17" s="696" t="str">
        <f>INDEX(Table!$F:$F,MATCH(X17,Table!$B:$B,0))</f>
        <v>Charlie Griffiths</v>
      </c>
      <c r="Z17" s="577">
        <f>INDEX(Table!$G:$G,MATCH(X17,Table!$B:$B,0))</f>
        <v>-43.795000000000002</v>
      </c>
      <c r="AA17" s="578" t="s">
        <v>505</v>
      </c>
      <c r="AB17" s="696" t="str">
        <f>INDEX(Table!$F:$F,MATCH(AA17,Table!$B:$B,0))</f>
        <v>Sally Williams</v>
      </c>
      <c r="AC17" s="577">
        <f>INDEX(Table!$G:$G,MATCH(AA17,Table!$B:$B,0))</f>
        <v>-77.17</v>
      </c>
      <c r="AD17" s="578" t="s">
        <v>470</v>
      </c>
      <c r="AE17" s="579" t="str">
        <f>INDEX(Table!$F:$F,MATCH(AD17,Table!$B:$B,0))</f>
        <v>Chris Bow</v>
      </c>
      <c r="AF17" s="577">
        <f>INDEX(Table!$G:$G,MATCH(AD17,Table!$B:$B,0))</f>
        <v>-34.732847222222219</v>
      </c>
      <c r="AG17" s="86"/>
      <c r="AH17" s="86"/>
      <c r="AI17" s="86"/>
      <c r="AJ17" s="86"/>
      <c r="AK17" s="86"/>
      <c r="AL17" s="86"/>
      <c r="AM17" s="86"/>
      <c r="AN17" s="86"/>
      <c r="AO17" s="86"/>
      <c r="AP17" s="86"/>
      <c r="AQ17" s="86"/>
    </row>
    <row r="18" spans="1:43" ht="18" customHeight="1" x14ac:dyDescent="0.25">
      <c r="A18" s="9" t="s">
        <v>289</v>
      </c>
      <c r="B18" s="716"/>
      <c r="C18" s="327">
        <v>3</v>
      </c>
      <c r="D18" s="419">
        <f>INDEX(Table!G:G,MATCH($A18,Table!$B:$B,0))</f>
        <v>26.998430555555551</v>
      </c>
      <c r="E18" s="168">
        <f>INDEX(Table!H:H,MATCH($A18,Table!$B:$B,0))</f>
        <v>23</v>
      </c>
      <c r="F18" s="170" t="str">
        <f>INDEX(Table!F:F,MATCH($A18,Table!$B:$B,0))</f>
        <v>John Evans</v>
      </c>
      <c r="G18" s="419">
        <f>INDEX(Table!I:I,MATCH($A18,Table!$B:$B,0))</f>
        <v>25.969374999999999</v>
      </c>
      <c r="H18" s="168">
        <f>INDEX(Table!J:J,MATCH($A18,Table!$B:$B,0))</f>
        <v>3</v>
      </c>
      <c r="I18" s="172"/>
      <c r="J18" s="446"/>
      <c r="K18" s="166" t="s">
        <v>437</v>
      </c>
      <c r="L18" s="164" t="s">
        <v>659</v>
      </c>
      <c r="M18" s="167">
        <v>9</v>
      </c>
      <c r="N18" s="86"/>
      <c r="O18" s="86">
        <v>15</v>
      </c>
      <c r="P18" s="86"/>
      <c r="Q18" s="86"/>
      <c r="R18" s="86"/>
      <c r="S18" s="86"/>
      <c r="T18" s="86"/>
      <c r="U18" s="563" t="s">
        <v>486</v>
      </c>
      <c r="V18" s="698" t="str">
        <f>INDEX(Table!F:F,MATCH(U18,Table!$B:$B,0))</f>
        <v>Andy White</v>
      </c>
      <c r="W18" s="577">
        <f>INDEX(Table!G:G,MATCH(U18,Table!$B:$B,0))</f>
        <v>-70.111893939393951</v>
      </c>
      <c r="X18" s="578" t="s">
        <v>496</v>
      </c>
      <c r="Y18" s="696" t="str">
        <f>INDEX(Table!$F:$F,MATCH(X18,Table!$B:$B,0))</f>
        <v>John Robinson</v>
      </c>
      <c r="Z18" s="577">
        <f>INDEX(Table!$G:$G,MATCH(X18,Table!$B:$B,0))</f>
        <v>-44.324999999999996</v>
      </c>
      <c r="AA18" s="578" t="s">
        <v>506</v>
      </c>
      <c r="AB18" s="696" t="str">
        <f>INDEX(Table!$F:$F,MATCH(AA18,Table!$B:$B,0))</f>
        <v>Paul Barnes</v>
      </c>
      <c r="AC18" s="577">
        <f>INDEX(Table!$G:$G,MATCH(AA18,Table!$B:$B,0))</f>
        <v>-81.867167587314654</v>
      </c>
      <c r="AD18" s="578" t="s">
        <v>471</v>
      </c>
      <c r="AE18" s="579" t="str">
        <f>INDEX(Table!$F:$F,MATCH(AD18,Table!$B:$B,0))</f>
        <v>James Bell</v>
      </c>
      <c r="AF18" s="577">
        <f>INDEX(Table!$G:$G,MATCH(AD18,Table!$B:$B,0))</f>
        <v>-49.935681818181813</v>
      </c>
      <c r="AG18" s="86"/>
      <c r="AH18" s="86"/>
      <c r="AI18" s="86"/>
      <c r="AJ18" s="86"/>
      <c r="AK18" s="86"/>
      <c r="AL18" s="86"/>
      <c r="AM18" s="86"/>
      <c r="AN18" s="86"/>
      <c r="AO18" s="86"/>
      <c r="AP18" s="86"/>
      <c r="AQ18" s="86"/>
    </row>
    <row r="19" spans="1:43" ht="18" customHeight="1" x14ac:dyDescent="0.25">
      <c r="A19" s="9" t="s">
        <v>290</v>
      </c>
      <c r="B19" s="716"/>
      <c r="C19" s="327">
        <v>4</v>
      </c>
      <c r="D19" s="419">
        <f>INDEX(Table!G:G,MATCH($A19,Table!$B:$B,0))</f>
        <v>18.934010381153236</v>
      </c>
      <c r="E19" s="168">
        <f>INDEX(Table!H:H,MATCH($A19,Table!$B:$B,0))</f>
        <v>40</v>
      </c>
      <c r="F19" s="170" t="str">
        <f>INDEX(Table!F:F,MATCH($A19,Table!$B:$B,0))</f>
        <v>Chris Griffin</v>
      </c>
      <c r="G19" s="419">
        <f>INDEX(Table!I:I,MATCH($A19,Table!$B:$B,0))</f>
        <v>6.5199999999999978</v>
      </c>
      <c r="H19" s="168">
        <f>INDEX(Table!J:J,MATCH($A19,Table!$B:$B,0))</f>
        <v>2</v>
      </c>
      <c r="I19" s="86"/>
      <c r="J19" s="446"/>
      <c r="K19" s="166" t="s">
        <v>438</v>
      </c>
      <c r="L19" s="164" t="s">
        <v>660</v>
      </c>
      <c r="M19" s="167">
        <v>7</v>
      </c>
      <c r="N19" s="86"/>
      <c r="O19" s="86">
        <v>16</v>
      </c>
      <c r="P19" s="86"/>
      <c r="Q19" s="86"/>
      <c r="R19" s="86"/>
      <c r="S19" s="86"/>
      <c r="T19" s="86"/>
      <c r="U19" s="563" t="s">
        <v>487</v>
      </c>
      <c r="V19" s="698" t="str">
        <f>INDEX(Table!F:F,MATCH(U19,Table!$B:$B,0))</f>
        <v>Alan Rogers</v>
      </c>
      <c r="W19" s="577">
        <f>INDEX(Table!G:G,MATCH(U19,Table!$B:$B,0))</f>
        <v>-97.927499999999981</v>
      </c>
      <c r="X19" s="578" t="s">
        <v>497</v>
      </c>
      <c r="Y19" s="696" t="str">
        <f>INDEX(Table!$F:$F,MATCH(X19,Table!$B:$B,0))</f>
        <v>Oscar Jackson</v>
      </c>
      <c r="Z19" s="577">
        <f>INDEX(Table!$G:$G,MATCH(X19,Table!$B:$B,0))</f>
        <v>-54.319277777777778</v>
      </c>
      <c r="AA19" s="578" t="s">
        <v>507</v>
      </c>
      <c r="AB19" s="696" t="str">
        <f>INDEX(Table!$F:$F,MATCH(AA19,Table!$B:$B,0))</f>
        <v>Aaron Sudell</v>
      </c>
      <c r="AC19" s="577">
        <f>INDEX(Table!$G:$G,MATCH(AA19,Table!$B:$B,0))</f>
        <v>-94.709568764568772</v>
      </c>
      <c r="AD19" s="578" t="s">
        <v>472</v>
      </c>
      <c r="AE19" s="579" t="str">
        <f>INDEX(Table!$F:$F,MATCH(AD19,Table!$B:$B,0))</f>
        <v>John Ronan</v>
      </c>
      <c r="AF19" s="577">
        <f>INDEX(Table!$G:$G,MATCH(AD19,Table!$B:$B,0))</f>
        <v>-72.214999999999989</v>
      </c>
      <c r="AG19" s="86"/>
      <c r="AH19" s="86"/>
      <c r="AI19" s="86"/>
      <c r="AJ19" s="86"/>
      <c r="AK19" s="86"/>
      <c r="AL19" s="86"/>
      <c r="AM19" s="86"/>
      <c r="AN19" s="86"/>
      <c r="AO19" s="86"/>
      <c r="AP19" s="86"/>
      <c r="AQ19" s="86"/>
    </row>
    <row r="20" spans="1:43" ht="18" customHeight="1" x14ac:dyDescent="0.25">
      <c r="A20" s="9" t="s">
        <v>291</v>
      </c>
      <c r="B20" s="716"/>
      <c r="C20" s="327">
        <v>5</v>
      </c>
      <c r="D20" s="419">
        <f>INDEX(Table!G:G,MATCH($A20,Table!$B:$B,0))</f>
        <v>16.682619269619266</v>
      </c>
      <c r="E20" s="168">
        <f>INDEX(Table!H:H,MATCH($A20,Table!$B:$B,0))</f>
        <v>29</v>
      </c>
      <c r="F20" s="170" t="str">
        <f>INDEX(Table!F:F,MATCH($A20,Table!$B:$B,0))</f>
        <v>Alfie Davies</v>
      </c>
      <c r="G20" s="419">
        <f>INDEX(Table!I:I,MATCH($A20,Table!$B:$B,0))</f>
        <v>-5.1538461538461533</v>
      </c>
      <c r="H20" s="168">
        <f>INDEX(Table!J:J,MATCH($A20,Table!$B:$B,0))</f>
        <v>1</v>
      </c>
      <c r="I20" s="86"/>
      <c r="J20" s="443"/>
      <c r="K20" s="166" t="s">
        <v>436</v>
      </c>
      <c r="L20" s="164" t="s">
        <v>661</v>
      </c>
      <c r="M20" s="167">
        <v>2</v>
      </c>
      <c r="N20" s="86"/>
      <c r="O20" s="86">
        <v>17</v>
      </c>
      <c r="P20" s="86"/>
      <c r="Q20" s="86"/>
      <c r="R20" s="86"/>
      <c r="S20" s="86"/>
      <c r="T20" s="86"/>
      <c r="U20" s="563"/>
      <c r="V20" s="573"/>
      <c r="W20" s="583"/>
      <c r="X20" s="578"/>
      <c r="Y20" s="579"/>
      <c r="Z20" s="584"/>
      <c r="AA20" s="578"/>
      <c r="AB20" s="579"/>
      <c r="AC20" s="584"/>
      <c r="AD20" s="578" t="s">
        <v>473</v>
      </c>
      <c r="AE20" s="579" t="str">
        <f>INDEX(Table!$F:$F,MATCH(AD20,Table!$B:$B,0))</f>
        <v>Dave Bell</v>
      </c>
      <c r="AF20" s="577">
        <f>INDEX(Table!$G:$G,MATCH(AD20,Table!$B:$B,0))</f>
        <v>-78.55</v>
      </c>
      <c r="AG20" s="86"/>
      <c r="AH20" s="86"/>
      <c r="AI20" s="86"/>
      <c r="AJ20" s="86"/>
      <c r="AK20" s="86"/>
      <c r="AL20" s="86"/>
      <c r="AM20" s="86"/>
      <c r="AN20" s="86"/>
      <c r="AO20" s="86"/>
      <c r="AP20" s="86"/>
      <c r="AQ20" s="86"/>
    </row>
    <row r="21" spans="1:43" ht="18" customHeight="1" thickBot="1" x14ac:dyDescent="0.3">
      <c r="A21" s="9" t="s">
        <v>388</v>
      </c>
      <c r="B21" s="717"/>
      <c r="C21" s="327">
        <v>6</v>
      </c>
      <c r="D21" s="423">
        <f>INDEX(Table!G:G,MATCH($A21,Table!$B:$B,0))</f>
        <v>-14.056619658119665</v>
      </c>
      <c r="E21" s="424">
        <f>INDEX(Table!H:H,MATCH($A21,Table!$B:$B,0))</f>
        <v>30</v>
      </c>
      <c r="F21" s="425" t="str">
        <f>INDEX(Table!F:F,MATCH($A21,Table!$B:$B,0))</f>
        <v>Dave Orrell</v>
      </c>
      <c r="G21" s="423">
        <f>INDEX(Table!I:I,MATCH($A21,Table!$B:$B,0))</f>
        <v>1.25</v>
      </c>
      <c r="H21" s="424">
        <f>INDEX(Table!J:J,MATCH($A21,Table!$B:$B,0))</f>
        <v>2</v>
      </c>
      <c r="I21" s="86"/>
      <c r="J21" s="443"/>
      <c r="K21" s="166" t="s">
        <v>553</v>
      </c>
      <c r="L21" s="164" t="s">
        <v>658</v>
      </c>
      <c r="M21" s="607">
        <f>MAX(Picks!AI:AI)</f>
        <v>1089.25</v>
      </c>
      <c r="N21" s="86"/>
      <c r="O21" s="86">
        <v>18</v>
      </c>
      <c r="P21" s="86"/>
      <c r="Q21" s="86"/>
      <c r="R21" s="86"/>
      <c r="S21" s="86"/>
      <c r="T21" s="86"/>
      <c r="U21" s="563"/>
      <c r="V21" s="573"/>
      <c r="W21" s="583"/>
      <c r="X21" s="578"/>
      <c r="Y21" s="579"/>
      <c r="Z21" s="584"/>
      <c r="AA21" s="578"/>
      <c r="AB21" s="579"/>
      <c r="AC21" s="584"/>
      <c r="AD21" s="578" t="s">
        <v>474</v>
      </c>
      <c r="AE21" s="579"/>
      <c r="AF21" s="577"/>
      <c r="AG21" s="86"/>
      <c r="AH21" s="86"/>
      <c r="AI21" s="86"/>
      <c r="AJ21" s="86"/>
      <c r="AK21" s="86"/>
      <c r="AL21" s="86"/>
      <c r="AM21" s="86"/>
      <c r="AN21" s="86"/>
      <c r="AO21" s="86"/>
      <c r="AP21" s="86"/>
      <c r="AQ21" s="86"/>
    </row>
    <row r="22" spans="1:43" ht="18" customHeight="1" thickTop="1" x14ac:dyDescent="0.25">
      <c r="A22" s="9" t="s">
        <v>39</v>
      </c>
      <c r="B22" s="715" t="s">
        <v>267</v>
      </c>
      <c r="C22" s="327">
        <v>1</v>
      </c>
      <c r="D22" s="420">
        <f>INDEX(Table!G:G,MATCH($A22,Table!$B:$B,0))</f>
        <v>89.756249999999994</v>
      </c>
      <c r="E22" s="421">
        <f>INDEX(Table!H:H,MATCH($A22,Table!$B:$B,0))</f>
        <v>21</v>
      </c>
      <c r="F22" s="422" t="str">
        <f>INDEX(Table!F:F,MATCH($A22,Table!$B:$B,0))</f>
        <v>Gerard Ventom</v>
      </c>
      <c r="G22" s="420">
        <f>INDEX(Table!I:I,MATCH($A22,Table!$B:$B,0))</f>
        <v>-7</v>
      </c>
      <c r="H22" s="421">
        <f>INDEX(Table!J:J,MATCH($A22,Table!$B:$B,0))</f>
        <v>0</v>
      </c>
      <c r="I22" s="86"/>
      <c r="J22" s="443"/>
      <c r="K22" s="166" t="s">
        <v>555</v>
      </c>
      <c r="L22" s="164" t="s">
        <v>657</v>
      </c>
      <c r="M22" s="607">
        <f>MIN(Picks!AI:AI)</f>
        <v>4.6116666666666664</v>
      </c>
      <c r="N22" s="86"/>
      <c r="O22" s="86">
        <v>19</v>
      </c>
      <c r="P22" s="86"/>
      <c r="Q22" s="86"/>
      <c r="R22" s="86"/>
      <c r="S22" s="86"/>
      <c r="T22" s="86"/>
      <c r="U22" s="563"/>
      <c r="V22" s="573"/>
      <c r="W22" s="583"/>
      <c r="X22" s="578"/>
      <c r="Y22" s="579"/>
      <c r="Z22" s="584"/>
      <c r="AA22" s="578"/>
      <c r="AB22" s="579"/>
      <c r="AC22" s="584"/>
      <c r="AD22" s="578" t="s">
        <v>475</v>
      </c>
      <c r="AE22" s="579"/>
      <c r="AF22" s="577"/>
      <c r="AG22" s="86"/>
      <c r="AH22" s="86"/>
      <c r="AI22" s="86"/>
      <c r="AJ22" s="86"/>
      <c r="AK22" s="86"/>
      <c r="AL22" s="86"/>
      <c r="AM22" s="86"/>
      <c r="AN22" s="86"/>
      <c r="AO22" s="86"/>
      <c r="AP22" s="86"/>
      <c r="AQ22" s="86"/>
    </row>
    <row r="23" spans="1:43" ht="18" customHeight="1" x14ac:dyDescent="0.25">
      <c r="A23" s="9" t="s">
        <v>40</v>
      </c>
      <c r="B23" s="716"/>
      <c r="C23" s="327">
        <v>2</v>
      </c>
      <c r="D23" s="420">
        <f>INDEX(Table!G:G,MATCH($A23,Table!$B:$B,0))</f>
        <v>70.847294372294371</v>
      </c>
      <c r="E23" s="421">
        <f>INDEX(Table!H:H,MATCH($A23,Table!$B:$B,0))</f>
        <v>22</v>
      </c>
      <c r="F23" s="422" t="str">
        <f>INDEX(Table!F:F,MATCH($A23,Table!$B:$B,0))</f>
        <v>Antony Robinson</v>
      </c>
      <c r="G23" s="420">
        <f>INDEX(Table!I:I,MATCH($A23,Table!$B:$B,0))</f>
        <v>5.1999999999999993</v>
      </c>
      <c r="H23" s="421">
        <f>INDEX(Table!J:J,MATCH($A23,Table!$B:$B,0))</f>
        <v>2</v>
      </c>
      <c r="I23" s="86"/>
      <c r="J23" s="443"/>
      <c r="K23" s="172"/>
      <c r="L23" s="172"/>
      <c r="M23" s="172"/>
      <c r="N23" s="86"/>
      <c r="O23" s="86">
        <v>20</v>
      </c>
      <c r="P23" s="86"/>
      <c r="Q23" s="86"/>
      <c r="R23" s="86"/>
      <c r="S23" s="86"/>
      <c r="T23" s="86"/>
      <c r="U23" s="563"/>
      <c r="V23" s="573"/>
      <c r="W23" s="583"/>
      <c r="X23" s="578"/>
      <c r="Y23" s="579"/>
      <c r="Z23" s="584"/>
      <c r="AA23" s="578"/>
      <c r="AB23" s="579"/>
      <c r="AC23" s="584"/>
      <c r="AD23" s="578" t="s">
        <v>476</v>
      </c>
      <c r="AE23" s="579"/>
      <c r="AF23" s="577"/>
      <c r="AG23" s="86"/>
      <c r="AH23" s="86"/>
      <c r="AI23" s="86"/>
      <c r="AJ23" s="86"/>
      <c r="AK23" s="86"/>
      <c r="AL23" s="86"/>
      <c r="AM23" s="86"/>
      <c r="AN23" s="86"/>
      <c r="AO23" s="86"/>
      <c r="AP23" s="86"/>
      <c r="AQ23" s="86"/>
    </row>
    <row r="24" spans="1:43" ht="18" customHeight="1" x14ac:dyDescent="0.25">
      <c r="A24" s="9" t="s">
        <v>292</v>
      </c>
      <c r="B24" s="716"/>
      <c r="C24" s="327">
        <v>3</v>
      </c>
      <c r="D24" s="419">
        <f>INDEX(Table!G:G,MATCH($A24,Table!$B:$B,0))</f>
        <v>53.518704545454547</v>
      </c>
      <c r="E24" s="168">
        <f>INDEX(Table!H:H,MATCH($A24,Table!$B:$B,0))</f>
        <v>39</v>
      </c>
      <c r="F24" s="170" t="str">
        <f>INDEX(Table!F:F,MATCH($A24,Table!$B:$B,0))</f>
        <v>Graeme Holmes</v>
      </c>
      <c r="G24" s="419">
        <f>INDEX(Table!I:I,MATCH($A24,Table!$B:$B,0))</f>
        <v>0.66249999999999964</v>
      </c>
      <c r="H24" s="168">
        <f>INDEX(Table!J:J,MATCH($A24,Table!$B:$B,0))</f>
        <v>2</v>
      </c>
      <c r="I24" s="86"/>
      <c r="J24" s="443"/>
      <c r="K24" s="614" t="s">
        <v>214</v>
      </c>
      <c r="L24" s="616"/>
      <c r="M24" s="172"/>
      <c r="N24" s="86"/>
      <c r="O24" s="86"/>
      <c r="P24" s="86"/>
      <c r="Q24" s="86"/>
      <c r="R24" s="86"/>
      <c r="S24" s="86"/>
      <c r="T24" s="86"/>
      <c r="U24" s="86"/>
      <c r="V24" s="86"/>
      <c r="W24" s="99"/>
      <c r="X24" s="86"/>
      <c r="Y24" s="86"/>
      <c r="Z24" s="86"/>
      <c r="AA24" s="86"/>
      <c r="AB24" s="86"/>
      <c r="AC24" s="86"/>
      <c r="AD24" s="86"/>
      <c r="AE24" s="86"/>
      <c r="AF24" s="86"/>
      <c r="AG24" s="86"/>
      <c r="AH24" s="86"/>
      <c r="AI24" s="86"/>
      <c r="AJ24" s="86"/>
      <c r="AK24" s="86"/>
      <c r="AL24" s="86"/>
      <c r="AM24" s="86"/>
      <c r="AN24" s="86"/>
      <c r="AO24" s="86"/>
      <c r="AP24" s="86"/>
      <c r="AQ24" s="86"/>
    </row>
    <row r="25" spans="1:43" ht="18" customHeight="1" x14ac:dyDescent="0.25">
      <c r="A25" s="9" t="s">
        <v>393</v>
      </c>
      <c r="B25" s="716"/>
      <c r="C25" s="327">
        <v>4</v>
      </c>
      <c r="D25" s="419">
        <f>INDEX(Table!G:G,MATCH($A25,Table!$B:$B,0))</f>
        <v>38.544367706367709</v>
      </c>
      <c r="E25" s="168">
        <f>INDEX(Table!H:H,MATCH($A25,Table!$B:$B,0))</f>
        <v>37</v>
      </c>
      <c r="F25" s="170" t="str">
        <f>INDEX(Table!F:F,MATCH($A25,Table!$B:$B,0))</f>
        <v>Howard Bradley</v>
      </c>
      <c r="G25" s="419">
        <f>INDEX(Table!I:I,MATCH($A25,Table!$B:$B,0))</f>
        <v>-7</v>
      </c>
      <c r="H25" s="168">
        <f>INDEX(Table!J:J,MATCH($A25,Table!$B:$B,0))</f>
        <v>0</v>
      </c>
      <c r="I25" s="86"/>
      <c r="J25" s="443"/>
      <c r="K25" s="167">
        <f>'3of3'!$B$5</f>
        <v>6</v>
      </c>
      <c r="L25" s="169" t="s">
        <v>189</v>
      </c>
      <c r="M25" s="172"/>
      <c r="N25" s="86"/>
      <c r="O25" s="86"/>
      <c r="P25" s="86"/>
      <c r="Q25" s="86"/>
      <c r="R25" s="86"/>
      <c r="S25" s="86"/>
      <c r="T25" s="86"/>
      <c r="U25" s="86"/>
      <c r="V25" s="86"/>
      <c r="W25" s="99"/>
      <c r="X25" s="86"/>
      <c r="Y25" s="86"/>
      <c r="Z25" s="86"/>
      <c r="AA25" s="86"/>
      <c r="AB25" s="86"/>
      <c r="AC25" s="86"/>
      <c r="AD25" s="86"/>
      <c r="AE25" s="86"/>
      <c r="AF25" s="86"/>
      <c r="AG25" s="86"/>
      <c r="AH25" s="86"/>
      <c r="AI25" s="86"/>
      <c r="AJ25" s="86"/>
      <c r="AK25" s="86"/>
      <c r="AL25" s="86"/>
      <c r="AM25" s="86"/>
      <c r="AN25" s="86"/>
      <c r="AO25" s="86"/>
      <c r="AP25" s="86"/>
      <c r="AQ25" s="86"/>
    </row>
    <row r="26" spans="1:43" ht="18" customHeight="1" x14ac:dyDescent="0.25">
      <c r="A26" s="9" t="s">
        <v>293</v>
      </c>
      <c r="B26" s="716"/>
      <c r="C26" s="327">
        <v>5</v>
      </c>
      <c r="D26" s="419">
        <f>INDEX(Table!G:G,MATCH($A26,Table!$B:$B,0))</f>
        <v>28.619232323232325</v>
      </c>
      <c r="E26" s="168">
        <f>INDEX(Table!H:H,MATCH($A26,Table!$B:$B,0))</f>
        <v>29</v>
      </c>
      <c r="F26" s="170" t="str">
        <f>INDEX(Table!F:F,MATCH($A26,Table!$B:$B,0))</f>
        <v>Nick Blocksidge</v>
      </c>
      <c r="G26" s="419">
        <f>INDEX(Table!I:I,MATCH($A26,Table!$B:$B,0))</f>
        <v>2.2300000000000004</v>
      </c>
      <c r="H26" s="168">
        <f>INDEX(Table!J:J,MATCH($A26,Table!$B:$B,0))</f>
        <v>2</v>
      </c>
      <c r="I26" s="86"/>
      <c r="J26" s="443"/>
      <c r="K26" s="167">
        <f>'3of3'!$B$6</f>
        <v>23</v>
      </c>
      <c r="L26" s="169" t="s">
        <v>190</v>
      </c>
      <c r="M26" s="172"/>
      <c r="N26" s="86"/>
      <c r="O26" s="86"/>
      <c r="P26" s="86"/>
      <c r="Q26" s="86"/>
      <c r="R26" s="86"/>
      <c r="S26" s="86"/>
      <c r="T26" s="86"/>
      <c r="U26" s="86"/>
      <c r="V26" s="86"/>
      <c r="W26" s="99"/>
      <c r="X26" s="86"/>
      <c r="Y26" s="86"/>
      <c r="Z26" s="86"/>
      <c r="AA26" s="86"/>
      <c r="AB26" s="86"/>
      <c r="AC26" s="86"/>
      <c r="AD26" s="86"/>
      <c r="AE26" s="86"/>
      <c r="AF26" s="86"/>
      <c r="AG26" s="86"/>
      <c r="AH26" s="86"/>
      <c r="AI26" s="86"/>
      <c r="AJ26" s="86"/>
      <c r="AK26" s="86"/>
      <c r="AL26" s="86"/>
      <c r="AM26" s="86"/>
      <c r="AN26" s="86"/>
      <c r="AO26" s="86"/>
      <c r="AP26" s="86"/>
      <c r="AQ26" s="86"/>
    </row>
    <row r="27" spans="1:43" ht="18" customHeight="1" x14ac:dyDescent="0.25">
      <c r="A27" s="9" t="s">
        <v>389</v>
      </c>
      <c r="B27" s="717"/>
      <c r="C27" s="327">
        <v>6</v>
      </c>
      <c r="D27" s="419">
        <f>INDEX(Table!G:G,MATCH($A27,Table!$B:$B,0))</f>
        <v>28.296438122063115</v>
      </c>
      <c r="E27" s="168">
        <f>INDEX(Table!H:H,MATCH($A27,Table!$B:$B,0))</f>
        <v>41</v>
      </c>
      <c r="F27" s="170" t="str">
        <f>INDEX(Table!F:F,MATCH($A27,Table!$B:$B,0))</f>
        <v>Paul Ridgeway</v>
      </c>
      <c r="G27" s="419">
        <f>INDEX(Table!I:I,MATCH($A27,Table!$B:$B,0))</f>
        <v>-1.6444444444444439</v>
      </c>
      <c r="H27" s="168">
        <f>INDEX(Table!J:J,MATCH($A27,Table!$B:$B,0))</f>
        <v>2</v>
      </c>
      <c r="I27" s="86"/>
      <c r="J27" s="443"/>
      <c r="K27" s="167">
        <f>'3of3'!$B$7</f>
        <v>17</v>
      </c>
      <c r="L27" s="169" t="s">
        <v>191</v>
      </c>
      <c r="M27" s="172"/>
      <c r="N27" s="86"/>
      <c r="O27" s="86"/>
      <c r="P27" s="86"/>
      <c r="Q27" s="86"/>
      <c r="R27" s="86"/>
      <c r="S27" s="86"/>
      <c r="T27" s="86"/>
      <c r="U27" s="86"/>
      <c r="V27" s="86"/>
      <c r="W27" s="99"/>
      <c r="X27" s="86"/>
      <c r="Y27" s="86"/>
      <c r="Z27" s="86"/>
      <c r="AA27" s="86"/>
      <c r="AB27" s="86"/>
      <c r="AC27" s="86"/>
      <c r="AD27" s="86"/>
      <c r="AE27" s="86"/>
      <c r="AF27" s="86"/>
      <c r="AG27" s="86"/>
      <c r="AH27" s="86"/>
      <c r="AI27" s="86"/>
      <c r="AJ27" s="86"/>
      <c r="AK27" s="86"/>
      <c r="AL27" s="86"/>
      <c r="AM27" s="86"/>
      <c r="AN27" s="86"/>
      <c r="AO27" s="86"/>
      <c r="AP27" s="86"/>
      <c r="AQ27" s="86"/>
    </row>
    <row r="28" spans="1:43" ht="18" customHeight="1" thickBot="1" x14ac:dyDescent="0.3">
      <c r="B28" s="176"/>
      <c r="C28" s="87"/>
      <c r="D28" s="87"/>
      <c r="E28" s="91"/>
      <c r="F28" s="86"/>
      <c r="G28" s="86"/>
      <c r="H28" s="91"/>
      <c r="I28" s="86"/>
      <c r="J28" s="443"/>
      <c r="K28" s="167">
        <f>'3of3'!$B$8</f>
        <v>19</v>
      </c>
      <c r="L28" s="447" t="s">
        <v>426</v>
      </c>
      <c r="M28" s="172"/>
      <c r="N28" s="86"/>
      <c r="O28" s="86"/>
      <c r="P28" s="86"/>
      <c r="Q28" s="86"/>
      <c r="R28" s="86"/>
      <c r="S28" s="86"/>
      <c r="T28" s="86"/>
      <c r="U28" s="86"/>
      <c r="V28" s="86"/>
      <c r="W28" s="99"/>
      <c r="X28" s="86"/>
      <c r="Y28" s="86"/>
      <c r="Z28" s="86"/>
      <c r="AA28" s="86"/>
      <c r="AB28" s="86"/>
      <c r="AC28" s="86"/>
      <c r="AD28" s="86"/>
      <c r="AE28" s="86"/>
      <c r="AF28" s="86"/>
      <c r="AG28" s="86"/>
      <c r="AH28" s="86"/>
      <c r="AI28" s="86"/>
      <c r="AJ28" s="86"/>
      <c r="AK28" s="86"/>
      <c r="AL28" s="86"/>
      <c r="AM28" s="86"/>
      <c r="AN28" s="86"/>
      <c r="AO28" s="86"/>
      <c r="AP28" s="86"/>
      <c r="AQ28" s="86"/>
    </row>
    <row r="29" spans="1:43" ht="18" customHeight="1" thickTop="1" x14ac:dyDescent="0.25">
      <c r="B29" s="176"/>
      <c r="C29" s="87"/>
      <c r="D29" s="87"/>
      <c r="E29" s="91"/>
      <c r="F29" s="86"/>
      <c r="G29" s="86"/>
      <c r="H29" s="91"/>
      <c r="I29" s="86"/>
      <c r="J29" s="443"/>
      <c r="K29" s="448">
        <v>3</v>
      </c>
      <c r="L29" s="449" t="s">
        <v>384</v>
      </c>
      <c r="M29" s="86"/>
      <c r="N29" s="86"/>
      <c r="O29" s="86"/>
      <c r="P29" s="86"/>
      <c r="Q29" s="86"/>
      <c r="R29" s="86"/>
      <c r="S29" s="86"/>
      <c r="T29" s="86"/>
      <c r="U29" s="86"/>
      <c r="V29" s="86"/>
      <c r="W29" s="99"/>
      <c r="X29" s="86"/>
      <c r="Y29" s="86"/>
      <c r="Z29" s="86"/>
      <c r="AA29" s="86"/>
      <c r="AB29" s="86"/>
      <c r="AC29" s="86"/>
      <c r="AD29" s="86"/>
      <c r="AE29" s="86"/>
      <c r="AF29" s="86"/>
      <c r="AG29" s="86"/>
      <c r="AH29" s="86"/>
      <c r="AI29" s="86"/>
      <c r="AJ29" s="86"/>
      <c r="AK29" s="86"/>
      <c r="AL29" s="86"/>
      <c r="AM29" s="86"/>
      <c r="AN29" s="86"/>
      <c r="AO29" s="86"/>
      <c r="AP29" s="86"/>
      <c r="AQ29" s="86"/>
    </row>
    <row r="30" spans="1:43" ht="18" customHeight="1" x14ac:dyDescent="0.25">
      <c r="B30" s="176"/>
      <c r="C30" s="87"/>
      <c r="D30" s="87"/>
      <c r="E30" s="91"/>
      <c r="F30" s="86"/>
      <c r="G30" s="86"/>
      <c r="H30" s="91"/>
      <c r="I30" s="86"/>
      <c r="J30" s="443"/>
      <c r="K30" s="86"/>
      <c r="L30" s="86"/>
      <c r="M30" s="86"/>
      <c r="N30" s="86"/>
      <c r="O30" s="86"/>
      <c r="P30" s="86"/>
      <c r="Q30" s="86"/>
      <c r="R30" s="86"/>
      <c r="S30" s="86"/>
      <c r="T30" s="86"/>
      <c r="U30" s="86"/>
      <c r="V30" s="86"/>
      <c r="W30" s="99"/>
      <c r="X30" s="86"/>
      <c r="Y30" s="86"/>
      <c r="Z30" s="86"/>
      <c r="AA30" s="86"/>
      <c r="AB30" s="86"/>
      <c r="AC30" s="86"/>
      <c r="AD30" s="86"/>
      <c r="AE30" s="86"/>
      <c r="AF30" s="86"/>
      <c r="AG30" s="86"/>
      <c r="AH30" s="86"/>
      <c r="AI30" s="86"/>
      <c r="AJ30" s="86"/>
      <c r="AK30" s="86"/>
      <c r="AL30" s="86"/>
      <c r="AM30" s="86"/>
      <c r="AN30" s="86"/>
      <c r="AO30" s="86"/>
      <c r="AP30" s="86"/>
      <c r="AQ30" s="86"/>
    </row>
    <row r="31" spans="1:43" ht="18" customHeight="1" x14ac:dyDescent="0.25">
      <c r="B31" s="176"/>
      <c r="C31" s="87"/>
      <c r="D31" s="87"/>
      <c r="E31" s="91"/>
      <c r="F31" s="86"/>
      <c r="G31" s="86"/>
      <c r="H31" s="91"/>
      <c r="I31" s="86"/>
      <c r="J31" s="443"/>
      <c r="K31" s="86"/>
      <c r="L31" s="86"/>
      <c r="M31" s="86"/>
      <c r="N31" s="86"/>
      <c r="O31" s="86"/>
      <c r="P31" s="86"/>
      <c r="Q31" s="86"/>
      <c r="R31" s="86"/>
      <c r="S31" s="86"/>
      <c r="T31" s="86"/>
      <c r="U31" s="86"/>
      <c r="V31" s="86"/>
      <c r="W31" s="99"/>
      <c r="X31" s="86"/>
      <c r="Y31" s="86"/>
      <c r="Z31" s="86"/>
      <c r="AA31" s="86"/>
      <c r="AB31" s="86"/>
      <c r="AC31" s="86"/>
      <c r="AD31" s="86"/>
      <c r="AE31" s="86"/>
      <c r="AF31" s="86"/>
      <c r="AG31" s="86"/>
      <c r="AH31" s="86"/>
      <c r="AI31" s="86"/>
      <c r="AJ31" s="86"/>
      <c r="AK31" s="86"/>
      <c r="AL31" s="86"/>
      <c r="AM31" s="86"/>
      <c r="AN31" s="86"/>
      <c r="AO31" s="86"/>
      <c r="AP31" s="86"/>
      <c r="AQ31" s="86"/>
    </row>
    <row r="32" spans="1:43" ht="18" customHeight="1" x14ac:dyDescent="0.25">
      <c r="B32" s="176"/>
      <c r="C32" s="87"/>
      <c r="D32" s="87"/>
      <c r="E32" s="91"/>
      <c r="F32" s="86"/>
      <c r="G32" s="86"/>
      <c r="H32" s="91"/>
      <c r="I32" s="86"/>
      <c r="J32" s="443"/>
      <c r="K32" s="86"/>
      <c r="L32" s="86"/>
      <c r="M32" s="86"/>
      <c r="N32" s="86"/>
      <c r="O32" s="86"/>
      <c r="P32" s="86"/>
      <c r="Q32" s="86"/>
      <c r="R32" s="86"/>
      <c r="S32" s="86"/>
      <c r="T32" s="86"/>
      <c r="U32" s="86"/>
      <c r="V32" s="86"/>
      <c r="W32" s="99"/>
      <c r="X32" s="86"/>
      <c r="Y32" s="86"/>
      <c r="Z32" s="86"/>
      <c r="AA32" s="86"/>
      <c r="AB32" s="86"/>
      <c r="AC32" s="86"/>
      <c r="AD32" s="86"/>
      <c r="AE32" s="86"/>
      <c r="AF32" s="86"/>
      <c r="AG32" s="86"/>
      <c r="AH32" s="86"/>
      <c r="AI32" s="86"/>
      <c r="AJ32" s="86"/>
      <c r="AK32" s="86"/>
      <c r="AL32" s="86"/>
      <c r="AM32" s="86"/>
      <c r="AN32" s="86"/>
      <c r="AO32" s="86"/>
      <c r="AP32" s="86"/>
      <c r="AQ32" s="86"/>
    </row>
    <row r="33" spans="2:43" ht="18" customHeight="1" x14ac:dyDescent="0.25">
      <c r="B33" s="176"/>
      <c r="C33" s="87"/>
      <c r="D33" s="87"/>
      <c r="E33" s="91"/>
      <c r="F33" s="86"/>
      <c r="G33" s="86"/>
      <c r="H33" s="91"/>
      <c r="I33" s="86"/>
      <c r="J33" s="443"/>
      <c r="K33" s="86"/>
      <c r="L33" s="86"/>
      <c r="M33" s="86"/>
      <c r="N33" s="86"/>
      <c r="O33" s="86"/>
      <c r="P33" s="86"/>
      <c r="Q33" s="86"/>
      <c r="R33" s="86"/>
      <c r="S33" s="86"/>
      <c r="T33" s="86"/>
      <c r="U33" s="86"/>
      <c r="V33" s="86"/>
      <c r="W33" s="99"/>
      <c r="X33" s="86"/>
      <c r="Y33" s="86"/>
      <c r="Z33" s="86"/>
      <c r="AA33" s="86"/>
      <c r="AB33" s="86"/>
      <c r="AC33" s="86"/>
      <c r="AD33" s="86"/>
      <c r="AE33" s="86"/>
      <c r="AF33" s="86"/>
      <c r="AG33" s="86"/>
      <c r="AH33" s="86"/>
      <c r="AI33" s="86"/>
      <c r="AJ33" s="86"/>
      <c r="AK33" s="86"/>
      <c r="AL33" s="86"/>
      <c r="AM33" s="86"/>
      <c r="AN33" s="86"/>
      <c r="AO33" s="86"/>
      <c r="AP33" s="86"/>
      <c r="AQ33" s="86"/>
    </row>
    <row r="34" spans="2:43" ht="18" customHeight="1" x14ac:dyDescent="0.25">
      <c r="C34" s="87"/>
      <c r="D34" s="87"/>
      <c r="E34" s="91"/>
      <c r="F34" s="86"/>
      <c r="G34" s="86"/>
      <c r="H34" s="91"/>
      <c r="I34" s="86"/>
      <c r="J34" s="443"/>
      <c r="K34" s="86"/>
      <c r="L34" s="86"/>
      <c r="M34" s="86"/>
      <c r="N34" s="86"/>
      <c r="O34" s="86"/>
      <c r="P34" s="86"/>
      <c r="Q34" s="86"/>
      <c r="R34" s="86"/>
      <c r="S34" s="86"/>
      <c r="T34" s="86"/>
      <c r="U34" s="86"/>
      <c r="V34" s="86"/>
      <c r="W34" s="99"/>
      <c r="X34" s="86"/>
      <c r="Y34" s="86"/>
      <c r="Z34" s="86"/>
      <c r="AA34" s="86"/>
      <c r="AB34" s="86"/>
      <c r="AC34" s="86"/>
      <c r="AD34" s="86"/>
      <c r="AE34" s="86"/>
      <c r="AF34" s="86"/>
      <c r="AG34" s="86"/>
      <c r="AH34" s="86"/>
      <c r="AI34" s="86"/>
      <c r="AJ34" s="86"/>
      <c r="AK34" s="86"/>
      <c r="AL34" s="86"/>
      <c r="AM34" s="86"/>
      <c r="AN34" s="86"/>
      <c r="AO34" s="86"/>
      <c r="AP34" s="86"/>
      <c r="AQ34" s="86"/>
    </row>
    <row r="35" spans="2:43" ht="18" customHeight="1" x14ac:dyDescent="0.25">
      <c r="C35" s="87"/>
      <c r="D35" s="87"/>
      <c r="E35" s="91"/>
      <c r="F35" s="86"/>
      <c r="G35" s="86"/>
      <c r="H35" s="91"/>
      <c r="I35" s="86"/>
      <c r="J35" s="443"/>
      <c r="K35" s="86"/>
      <c r="L35" s="86"/>
      <c r="M35" s="86"/>
      <c r="N35" s="86"/>
      <c r="O35" s="86"/>
      <c r="P35" s="86"/>
      <c r="Q35" s="86"/>
      <c r="R35" s="86"/>
      <c r="S35" s="86"/>
      <c r="T35" s="86"/>
      <c r="U35" s="86"/>
      <c r="V35" s="86"/>
      <c r="W35" s="99"/>
      <c r="X35" s="86"/>
      <c r="Y35" s="86"/>
      <c r="Z35" s="86"/>
      <c r="AA35" s="86"/>
      <c r="AB35" s="86"/>
      <c r="AC35" s="86"/>
      <c r="AD35" s="86"/>
      <c r="AE35" s="86"/>
      <c r="AF35" s="86"/>
      <c r="AG35" s="86"/>
      <c r="AH35" s="86"/>
      <c r="AI35" s="86"/>
      <c r="AJ35" s="86"/>
      <c r="AK35" s="86"/>
      <c r="AL35" s="86"/>
      <c r="AM35" s="86"/>
      <c r="AN35" s="86"/>
      <c r="AO35" s="86"/>
      <c r="AP35" s="86"/>
      <c r="AQ35" s="86"/>
    </row>
    <row r="36" spans="2:43" ht="18" customHeight="1" x14ac:dyDescent="0.25">
      <c r="C36" s="87"/>
      <c r="D36" s="87"/>
      <c r="E36" s="91"/>
      <c r="F36" s="86"/>
      <c r="G36" s="86"/>
      <c r="H36" s="91"/>
      <c r="I36" s="86"/>
      <c r="J36" s="443"/>
      <c r="K36" s="86"/>
      <c r="L36" s="86"/>
      <c r="M36" s="86"/>
      <c r="N36" s="86"/>
      <c r="O36" s="86"/>
      <c r="P36" s="86"/>
      <c r="Q36" s="86"/>
      <c r="R36" s="86"/>
      <c r="S36" s="86"/>
      <c r="T36" s="86"/>
      <c r="U36" s="86"/>
      <c r="V36" s="86"/>
      <c r="W36" s="99"/>
      <c r="X36" s="86"/>
      <c r="Y36" s="86"/>
      <c r="Z36" s="86"/>
      <c r="AA36" s="86"/>
      <c r="AB36" s="86"/>
      <c r="AC36" s="86"/>
      <c r="AD36" s="86"/>
      <c r="AE36" s="86"/>
      <c r="AF36" s="86"/>
      <c r="AG36" s="86"/>
      <c r="AH36" s="86"/>
      <c r="AI36" s="86"/>
      <c r="AJ36" s="86"/>
      <c r="AK36" s="86"/>
      <c r="AL36" s="86"/>
      <c r="AM36" s="86"/>
      <c r="AN36" s="86"/>
      <c r="AO36" s="86"/>
      <c r="AP36" s="86"/>
      <c r="AQ36" s="86"/>
    </row>
    <row r="37" spans="2:43" ht="18" customHeight="1" x14ac:dyDescent="0.25">
      <c r="C37" s="87"/>
      <c r="D37" s="87"/>
      <c r="E37" s="91"/>
      <c r="F37" s="86"/>
      <c r="G37" s="86"/>
      <c r="H37" s="91"/>
      <c r="I37" s="86"/>
      <c r="J37" s="443"/>
      <c r="K37" s="86"/>
      <c r="L37" s="86"/>
      <c r="M37" s="86"/>
      <c r="N37" s="86"/>
      <c r="O37" s="86"/>
      <c r="P37" s="86"/>
      <c r="Q37" s="86"/>
      <c r="R37" s="86"/>
      <c r="S37" s="86"/>
      <c r="T37" s="86"/>
      <c r="U37" s="86"/>
      <c r="V37" s="86"/>
      <c r="W37" s="99"/>
      <c r="X37" s="86"/>
      <c r="Y37" s="86"/>
      <c r="Z37" s="86"/>
      <c r="AA37" s="86"/>
      <c r="AB37" s="86"/>
      <c r="AC37" s="86"/>
      <c r="AD37" s="86"/>
      <c r="AE37" s="86"/>
      <c r="AF37" s="86"/>
      <c r="AG37" s="86"/>
      <c r="AH37" s="86"/>
      <c r="AI37" s="86"/>
      <c r="AJ37" s="86"/>
      <c r="AK37" s="86"/>
      <c r="AL37" s="86"/>
      <c r="AM37" s="86"/>
      <c r="AN37" s="86"/>
      <c r="AO37" s="86"/>
      <c r="AP37" s="86"/>
      <c r="AQ37" s="86"/>
    </row>
    <row r="38" spans="2:43" ht="18" customHeight="1" x14ac:dyDescent="0.25">
      <c r="C38" s="87"/>
      <c r="D38" s="87"/>
      <c r="E38" s="91"/>
      <c r="F38" s="86"/>
      <c r="G38" s="86"/>
      <c r="H38" s="91"/>
      <c r="I38" s="86"/>
      <c r="J38" s="443"/>
      <c r="K38" s="86"/>
      <c r="L38" s="86"/>
      <c r="M38" s="86"/>
      <c r="N38" s="86"/>
      <c r="O38" s="86"/>
      <c r="P38" s="86"/>
      <c r="Q38" s="86"/>
      <c r="R38" s="86"/>
      <c r="S38" s="86"/>
      <c r="T38" s="86"/>
      <c r="U38" s="86"/>
      <c r="V38" s="86"/>
      <c r="W38" s="99"/>
      <c r="X38" s="86"/>
      <c r="Y38" s="86"/>
      <c r="Z38" s="86"/>
      <c r="AA38" s="86"/>
      <c r="AB38" s="86"/>
      <c r="AC38" s="86"/>
      <c r="AD38" s="86"/>
      <c r="AE38" s="86"/>
      <c r="AF38" s="86"/>
      <c r="AG38" s="86"/>
      <c r="AH38" s="86"/>
      <c r="AI38" s="86"/>
      <c r="AJ38" s="86"/>
      <c r="AK38" s="86"/>
      <c r="AL38" s="86"/>
      <c r="AM38" s="86"/>
      <c r="AN38" s="86"/>
      <c r="AO38" s="86"/>
      <c r="AP38" s="86"/>
      <c r="AQ38" s="86"/>
    </row>
    <row r="39" spans="2:43" ht="18" customHeight="1" x14ac:dyDescent="0.25">
      <c r="C39" s="87"/>
      <c r="D39" s="87"/>
      <c r="E39" s="91"/>
      <c r="F39" s="86"/>
      <c r="G39" s="86"/>
      <c r="H39" s="91"/>
      <c r="I39" s="86"/>
      <c r="J39" s="443"/>
      <c r="K39" s="86"/>
      <c r="L39" s="86"/>
      <c r="M39" s="86"/>
      <c r="N39" s="86"/>
      <c r="O39" s="86"/>
      <c r="P39" s="86"/>
      <c r="Q39" s="86"/>
      <c r="R39" s="86"/>
      <c r="S39" s="86"/>
      <c r="T39" s="86"/>
      <c r="U39" s="86"/>
      <c r="V39" s="86"/>
      <c r="W39" s="99"/>
      <c r="X39" s="86"/>
      <c r="Y39" s="86"/>
      <c r="Z39" s="86"/>
      <c r="AA39" s="86"/>
      <c r="AB39" s="86"/>
      <c r="AC39" s="86"/>
      <c r="AD39" s="86"/>
      <c r="AE39" s="86"/>
      <c r="AF39" s="86"/>
      <c r="AG39" s="86"/>
      <c r="AH39" s="86"/>
      <c r="AI39" s="86"/>
      <c r="AJ39" s="86"/>
      <c r="AK39" s="86"/>
      <c r="AL39" s="86"/>
      <c r="AM39" s="86"/>
      <c r="AN39" s="86"/>
      <c r="AO39" s="86"/>
      <c r="AP39" s="86"/>
      <c r="AQ39" s="86"/>
    </row>
    <row r="40" spans="2:43" ht="18" customHeight="1" x14ac:dyDescent="0.25">
      <c r="C40" s="87"/>
      <c r="D40" s="87"/>
      <c r="E40" s="91"/>
      <c r="F40" s="86"/>
      <c r="G40" s="86"/>
      <c r="H40" s="91"/>
      <c r="I40" s="86"/>
      <c r="J40" s="443"/>
      <c r="K40" s="86"/>
      <c r="L40" s="86"/>
      <c r="M40" s="86"/>
      <c r="N40" s="86"/>
      <c r="O40" s="86"/>
      <c r="P40" s="86"/>
      <c r="Q40" s="86"/>
      <c r="R40" s="86"/>
      <c r="S40" s="86"/>
      <c r="T40" s="86"/>
      <c r="U40" s="86"/>
      <c r="V40" s="86"/>
      <c r="W40" s="99"/>
      <c r="X40" s="86"/>
      <c r="Y40" s="86"/>
      <c r="Z40" s="86"/>
      <c r="AA40" s="86"/>
      <c r="AB40" s="86"/>
      <c r="AC40" s="86"/>
      <c r="AD40" s="86"/>
      <c r="AE40" s="86"/>
      <c r="AF40" s="86"/>
      <c r="AG40" s="86"/>
      <c r="AH40" s="86"/>
      <c r="AI40" s="86"/>
      <c r="AJ40" s="86"/>
      <c r="AK40" s="86"/>
      <c r="AL40" s="86"/>
      <c r="AM40" s="86"/>
      <c r="AN40" s="86"/>
      <c r="AO40" s="86"/>
      <c r="AP40" s="86"/>
      <c r="AQ40" s="86"/>
    </row>
    <row r="41" spans="2:43" ht="18" customHeight="1" x14ac:dyDescent="0.25">
      <c r="C41" s="87"/>
      <c r="D41" s="87"/>
      <c r="E41" s="91"/>
      <c r="F41" s="86"/>
      <c r="G41" s="86"/>
      <c r="H41" s="91"/>
      <c r="I41" s="86"/>
      <c r="J41" s="443"/>
      <c r="K41" s="86"/>
      <c r="L41" s="86"/>
      <c r="M41" s="86"/>
      <c r="N41" s="86"/>
      <c r="O41" s="86"/>
      <c r="P41" s="86"/>
      <c r="Q41" s="86"/>
      <c r="R41" s="86"/>
      <c r="S41" s="86"/>
      <c r="T41" s="86"/>
      <c r="U41" s="86"/>
      <c r="V41" s="86"/>
      <c r="W41" s="99"/>
      <c r="X41" s="86"/>
      <c r="Y41" s="86"/>
      <c r="Z41" s="86"/>
      <c r="AA41" s="86"/>
      <c r="AB41" s="86"/>
      <c r="AC41" s="86"/>
      <c r="AD41" s="86"/>
      <c r="AE41" s="86"/>
      <c r="AF41" s="86"/>
      <c r="AG41" s="86"/>
      <c r="AH41" s="86"/>
      <c r="AI41" s="86"/>
      <c r="AJ41" s="86"/>
      <c r="AK41" s="86"/>
      <c r="AL41" s="86"/>
      <c r="AM41" s="86"/>
      <c r="AN41" s="86"/>
      <c r="AO41" s="86"/>
      <c r="AP41" s="86"/>
      <c r="AQ41" s="86"/>
    </row>
    <row r="42" spans="2:43" ht="18" customHeight="1" x14ac:dyDescent="0.25">
      <c r="C42" s="87"/>
      <c r="D42" s="87"/>
      <c r="E42" s="91"/>
      <c r="F42" s="86"/>
      <c r="G42" s="86"/>
      <c r="H42" s="91"/>
      <c r="I42" s="86"/>
      <c r="J42" s="443"/>
      <c r="K42" s="86"/>
      <c r="L42" s="86"/>
      <c r="M42" s="86"/>
      <c r="N42" s="86"/>
      <c r="O42" s="86"/>
      <c r="P42" s="86"/>
      <c r="Q42" s="86"/>
      <c r="R42" s="86"/>
      <c r="S42" s="86"/>
      <c r="T42" s="86"/>
      <c r="U42" s="86"/>
      <c r="V42" s="86"/>
      <c r="W42" s="99"/>
      <c r="X42" s="86"/>
      <c r="Y42" s="86"/>
      <c r="Z42" s="86"/>
      <c r="AA42" s="86"/>
      <c r="AB42" s="86"/>
      <c r="AC42" s="86"/>
      <c r="AD42" s="86"/>
      <c r="AE42" s="86"/>
      <c r="AF42" s="86"/>
      <c r="AG42" s="86"/>
      <c r="AH42" s="86"/>
      <c r="AI42" s="86"/>
      <c r="AJ42" s="86"/>
      <c r="AK42" s="86"/>
      <c r="AL42" s="86"/>
      <c r="AM42" s="86"/>
      <c r="AN42" s="86"/>
      <c r="AO42" s="86"/>
      <c r="AP42" s="86"/>
      <c r="AQ42" s="86"/>
    </row>
    <row r="43" spans="2:43" ht="18" customHeight="1" x14ac:dyDescent="0.25">
      <c r="C43" s="87"/>
      <c r="D43" s="87"/>
      <c r="E43" s="91"/>
      <c r="F43" s="86"/>
      <c r="G43" s="86"/>
      <c r="H43" s="91"/>
      <c r="I43" s="86"/>
      <c r="J43" s="443"/>
      <c r="K43" s="86"/>
      <c r="L43" s="86"/>
      <c r="M43" s="86"/>
      <c r="N43" s="86"/>
      <c r="O43" s="86"/>
      <c r="P43" s="86"/>
      <c r="Q43" s="86"/>
      <c r="R43" s="86"/>
      <c r="S43" s="86"/>
      <c r="T43" s="86"/>
      <c r="U43" s="86"/>
      <c r="V43" s="86"/>
      <c r="W43" s="99"/>
      <c r="X43" s="86"/>
      <c r="Y43" s="86"/>
      <c r="Z43" s="86"/>
      <c r="AA43" s="86"/>
      <c r="AB43" s="86"/>
      <c r="AC43" s="86"/>
      <c r="AD43" s="86"/>
      <c r="AE43" s="86"/>
      <c r="AF43" s="86"/>
      <c r="AG43" s="86"/>
      <c r="AH43" s="86"/>
      <c r="AI43" s="86"/>
      <c r="AJ43" s="86"/>
      <c r="AK43" s="86"/>
      <c r="AL43" s="86"/>
      <c r="AM43" s="86"/>
      <c r="AN43" s="86"/>
      <c r="AO43" s="86"/>
      <c r="AP43" s="86"/>
      <c r="AQ43" s="86"/>
    </row>
    <row r="44" spans="2:43" ht="18" customHeight="1" x14ac:dyDescent="0.25">
      <c r="C44" s="87"/>
      <c r="D44" s="87"/>
      <c r="E44" s="91"/>
      <c r="F44" s="86"/>
      <c r="G44" s="86"/>
      <c r="H44" s="91"/>
      <c r="I44" s="86"/>
      <c r="J44" s="443"/>
      <c r="K44" s="86"/>
      <c r="L44" s="86"/>
      <c r="M44" s="86"/>
      <c r="N44" s="86"/>
      <c r="O44" s="86"/>
      <c r="P44" s="86"/>
      <c r="Q44" s="86"/>
      <c r="R44" s="86"/>
      <c r="S44" s="86"/>
      <c r="T44" s="86"/>
      <c r="U44" s="86"/>
      <c r="V44" s="86"/>
      <c r="W44" s="99"/>
      <c r="X44" s="86"/>
      <c r="Y44" s="86"/>
      <c r="Z44" s="86"/>
      <c r="AA44" s="86"/>
      <c r="AB44" s="86"/>
      <c r="AC44" s="86"/>
      <c r="AD44" s="86"/>
      <c r="AE44" s="86"/>
      <c r="AF44" s="86"/>
      <c r="AG44" s="86"/>
      <c r="AH44" s="86"/>
      <c r="AI44" s="86"/>
      <c r="AJ44" s="86"/>
      <c r="AK44" s="86"/>
      <c r="AL44" s="86"/>
      <c r="AM44" s="86"/>
      <c r="AN44" s="86"/>
      <c r="AO44" s="86"/>
      <c r="AP44" s="86"/>
      <c r="AQ44" s="86"/>
    </row>
    <row r="45" spans="2:43" ht="18" customHeight="1" x14ac:dyDescent="0.25">
      <c r="C45" s="87"/>
      <c r="D45" s="87"/>
      <c r="E45" s="91"/>
      <c r="F45" s="86"/>
      <c r="G45" s="86"/>
      <c r="H45" s="91"/>
      <c r="I45" s="86"/>
      <c r="J45" s="443"/>
      <c r="K45" s="86"/>
      <c r="L45" s="86"/>
      <c r="M45" s="86"/>
      <c r="N45" s="86"/>
      <c r="O45" s="86"/>
      <c r="P45" s="86"/>
      <c r="Q45" s="86"/>
      <c r="R45" s="86"/>
      <c r="S45" s="86"/>
      <c r="T45" s="86"/>
      <c r="U45" s="86"/>
      <c r="V45" s="86"/>
      <c r="W45" s="99"/>
      <c r="X45" s="86"/>
      <c r="Y45" s="86"/>
      <c r="Z45" s="86"/>
      <c r="AA45" s="86"/>
      <c r="AB45" s="86"/>
      <c r="AC45" s="86"/>
      <c r="AD45" s="86"/>
      <c r="AE45" s="86"/>
      <c r="AF45" s="86"/>
      <c r="AG45" s="86"/>
      <c r="AH45" s="86"/>
      <c r="AI45" s="86"/>
      <c r="AJ45" s="86"/>
      <c r="AK45" s="86"/>
      <c r="AL45" s="86"/>
      <c r="AM45" s="86"/>
      <c r="AN45" s="86"/>
      <c r="AO45" s="86"/>
      <c r="AP45" s="86"/>
      <c r="AQ45" s="86"/>
    </row>
    <row r="46" spans="2:43" ht="18" customHeight="1" x14ac:dyDescent="0.25">
      <c r="C46" s="87"/>
      <c r="D46" s="87"/>
      <c r="E46" s="91"/>
      <c r="F46" s="86"/>
      <c r="G46" s="86"/>
      <c r="H46" s="91"/>
      <c r="I46" s="86"/>
      <c r="J46" s="443"/>
      <c r="K46" s="86"/>
      <c r="L46" s="86"/>
      <c r="M46" s="86"/>
      <c r="N46" s="86"/>
      <c r="O46" s="86"/>
      <c r="P46" s="86"/>
      <c r="Q46" s="86"/>
      <c r="R46" s="86"/>
      <c r="S46" s="86"/>
      <c r="T46" s="86"/>
      <c r="U46" s="86"/>
      <c r="V46" s="86"/>
      <c r="W46" s="99"/>
      <c r="X46" s="86"/>
      <c r="Y46" s="86"/>
      <c r="Z46" s="86"/>
      <c r="AA46" s="86"/>
      <c r="AB46" s="86"/>
      <c r="AC46" s="86"/>
      <c r="AD46" s="86"/>
      <c r="AE46" s="86"/>
      <c r="AF46" s="86"/>
      <c r="AG46" s="86"/>
      <c r="AH46" s="86"/>
      <c r="AI46" s="86"/>
      <c r="AJ46" s="86"/>
      <c r="AK46" s="86"/>
      <c r="AL46" s="86"/>
      <c r="AM46" s="86"/>
      <c r="AN46" s="86"/>
      <c r="AO46" s="86"/>
      <c r="AP46" s="86"/>
      <c r="AQ46" s="86"/>
    </row>
    <row r="47" spans="2:43" ht="18" customHeight="1" x14ac:dyDescent="0.25">
      <c r="C47" s="87"/>
      <c r="D47" s="87"/>
      <c r="E47" s="91"/>
      <c r="F47" s="86"/>
      <c r="G47" s="86"/>
      <c r="H47" s="91"/>
      <c r="J47" s="443"/>
      <c r="K47" s="86"/>
      <c r="L47" s="86"/>
      <c r="M47" s="86"/>
      <c r="N47" s="86"/>
      <c r="O47" s="86"/>
      <c r="P47" s="86"/>
      <c r="Q47" s="86"/>
      <c r="R47" s="86"/>
      <c r="S47" s="86"/>
      <c r="T47" s="86"/>
      <c r="U47" s="86"/>
      <c r="V47" s="86"/>
      <c r="W47" s="99"/>
      <c r="X47" s="86"/>
      <c r="Y47" s="86"/>
      <c r="Z47" s="86"/>
      <c r="AA47" s="86"/>
      <c r="AB47" s="86"/>
      <c r="AC47" s="86"/>
      <c r="AD47" s="86"/>
      <c r="AE47" s="86"/>
      <c r="AF47" s="86"/>
      <c r="AG47" s="86"/>
      <c r="AH47" s="86"/>
      <c r="AI47" s="86"/>
      <c r="AJ47" s="86"/>
      <c r="AK47" s="86"/>
      <c r="AL47" s="86"/>
      <c r="AM47" s="86"/>
      <c r="AN47" s="86"/>
      <c r="AO47" s="86"/>
      <c r="AP47" s="86"/>
      <c r="AQ47" s="86"/>
    </row>
    <row r="48" spans="2:43" ht="18" customHeight="1" x14ac:dyDescent="0.25">
      <c r="C48" s="87"/>
      <c r="D48" s="87"/>
      <c r="E48" s="91"/>
      <c r="F48" s="86"/>
      <c r="G48" s="86"/>
      <c r="H48" s="91"/>
      <c r="J48" s="443"/>
      <c r="K48" s="86"/>
      <c r="L48" s="86"/>
      <c r="M48" s="86"/>
      <c r="N48" s="86"/>
      <c r="O48" s="86"/>
      <c r="P48" s="86"/>
      <c r="Q48" s="86"/>
      <c r="R48" s="86"/>
      <c r="S48" s="86"/>
      <c r="T48" s="86"/>
      <c r="U48" s="86"/>
      <c r="V48" s="86"/>
      <c r="W48" s="99"/>
      <c r="X48" s="86"/>
      <c r="Y48" s="86"/>
      <c r="Z48" s="86"/>
      <c r="AA48" s="86"/>
      <c r="AB48" s="86"/>
      <c r="AC48" s="86"/>
      <c r="AD48" s="86"/>
      <c r="AE48" s="86"/>
      <c r="AF48" s="86"/>
      <c r="AG48" s="86"/>
      <c r="AH48" s="86"/>
      <c r="AI48" s="86"/>
      <c r="AJ48" s="86"/>
      <c r="AK48" s="86"/>
      <c r="AL48" s="86"/>
      <c r="AM48" s="86"/>
      <c r="AN48" s="86"/>
      <c r="AO48" s="86"/>
      <c r="AP48" s="86"/>
      <c r="AQ48" s="86"/>
    </row>
    <row r="49" spans="3:43" ht="18" customHeight="1" x14ac:dyDescent="0.25">
      <c r="C49" s="87"/>
      <c r="D49" s="87"/>
      <c r="E49" s="91"/>
      <c r="F49" s="86"/>
      <c r="G49" s="86"/>
      <c r="H49" s="91"/>
      <c r="J49" s="443"/>
      <c r="K49" s="86"/>
      <c r="L49" s="86"/>
      <c r="M49" s="86"/>
      <c r="N49" s="86"/>
      <c r="O49" s="86"/>
      <c r="P49" s="86"/>
      <c r="Q49" s="86"/>
      <c r="R49" s="86"/>
      <c r="S49" s="86"/>
      <c r="T49" s="86"/>
      <c r="U49" s="86"/>
      <c r="V49" s="86"/>
      <c r="W49" s="99"/>
      <c r="X49" s="86"/>
      <c r="Y49" s="86"/>
      <c r="Z49" s="86"/>
      <c r="AA49" s="86"/>
      <c r="AB49" s="86"/>
      <c r="AC49" s="86"/>
      <c r="AD49" s="86"/>
      <c r="AE49" s="86"/>
      <c r="AF49" s="86"/>
      <c r="AG49" s="86"/>
      <c r="AH49" s="86"/>
      <c r="AI49" s="86"/>
      <c r="AJ49" s="86"/>
      <c r="AK49" s="86"/>
      <c r="AL49" s="86"/>
      <c r="AM49" s="86"/>
      <c r="AN49" s="86"/>
      <c r="AO49" s="86"/>
      <c r="AP49" s="86"/>
      <c r="AQ49" s="86"/>
    </row>
    <row r="50" spans="3:43" ht="18" customHeight="1" x14ac:dyDescent="0.25">
      <c r="C50" s="87"/>
      <c r="D50" s="87"/>
      <c r="E50" s="91"/>
      <c r="F50" s="86"/>
      <c r="G50" s="86"/>
      <c r="H50" s="91"/>
      <c r="J50" s="444"/>
      <c r="K50" s="86"/>
      <c r="L50" s="86"/>
      <c r="M50" s="86"/>
      <c r="N50" s="86"/>
      <c r="O50" s="86"/>
      <c r="P50" s="86"/>
      <c r="Q50" s="86"/>
      <c r="R50" s="86"/>
      <c r="S50" s="86"/>
      <c r="T50" s="86"/>
      <c r="U50" s="86"/>
      <c r="V50" s="86"/>
      <c r="W50" s="99"/>
      <c r="X50" s="86"/>
      <c r="Y50" s="86"/>
      <c r="Z50" s="86"/>
      <c r="AA50" s="86"/>
      <c r="AB50" s="86"/>
      <c r="AC50" s="86"/>
      <c r="AD50" s="86"/>
      <c r="AE50" s="86"/>
      <c r="AF50" s="86"/>
    </row>
    <row r="51" spans="3:43" ht="18" customHeight="1" x14ac:dyDescent="0.25">
      <c r="K51" s="86"/>
      <c r="L51" s="86"/>
      <c r="M51" s="86"/>
      <c r="N51" s="86"/>
      <c r="O51" s="86"/>
      <c r="P51" s="86"/>
      <c r="Q51" s="86"/>
      <c r="R51" s="86"/>
      <c r="S51" s="86"/>
      <c r="T51" s="86"/>
      <c r="U51" s="86"/>
      <c r="V51" s="86"/>
      <c r="W51" s="99"/>
      <c r="X51" s="86"/>
      <c r="Y51" s="86"/>
      <c r="Z51" s="86"/>
      <c r="AA51" s="86"/>
      <c r="AB51" s="86"/>
      <c r="AC51" s="86"/>
      <c r="AD51" s="86"/>
      <c r="AE51" s="86"/>
      <c r="AF51" s="86"/>
    </row>
    <row r="52" spans="3:43" ht="18" customHeight="1" x14ac:dyDescent="0.25">
      <c r="K52" s="86"/>
      <c r="L52" s="86"/>
      <c r="M52" s="86"/>
      <c r="N52" s="86"/>
      <c r="O52" s="86"/>
      <c r="P52" s="86"/>
      <c r="Q52" s="86"/>
      <c r="R52" s="86"/>
      <c r="S52" s="86"/>
      <c r="T52" s="86"/>
      <c r="U52" s="86"/>
      <c r="V52" s="86"/>
      <c r="W52" s="99"/>
      <c r="X52" s="86"/>
      <c r="Y52" s="86"/>
      <c r="Z52" s="86"/>
      <c r="AA52" s="86"/>
      <c r="AB52" s="86"/>
      <c r="AC52" s="86"/>
      <c r="AD52" s="86"/>
      <c r="AE52" s="86"/>
    </row>
    <row r="53" spans="3:43" ht="18" customHeight="1" x14ac:dyDescent="0.25">
      <c r="K53" s="86"/>
      <c r="L53" s="86"/>
      <c r="M53" s="86"/>
    </row>
    <row r="54" spans="3:43" ht="18" customHeight="1" x14ac:dyDescent="0.25">
      <c r="K54" s="86"/>
      <c r="L54" s="86"/>
      <c r="M54" s="86"/>
    </row>
    <row r="55" spans="3:43" ht="18" customHeight="1" x14ac:dyDescent="0.25">
      <c r="K55" s="86"/>
      <c r="L55" s="86"/>
      <c r="M55" s="86"/>
    </row>
    <row r="56" spans="3:43" ht="18" customHeight="1" x14ac:dyDescent="0.25">
      <c r="K56" s="86"/>
      <c r="L56" s="86"/>
      <c r="M56" s="86"/>
    </row>
    <row r="57" spans="3:43" ht="18" customHeight="1" x14ac:dyDescent="0.25"/>
    <row r="58" spans="3:43" ht="18" customHeight="1" x14ac:dyDescent="0.25"/>
    <row r="59" spans="3:43" ht="18" customHeight="1" x14ac:dyDescent="0.25"/>
    <row r="60" spans="3:43" ht="18" customHeight="1" x14ac:dyDescent="0.25"/>
    <row r="61" spans="3:43" ht="18" customHeight="1" x14ac:dyDescent="0.25"/>
    <row r="62" spans="3:43" ht="18" customHeight="1" x14ac:dyDescent="0.25"/>
    <row r="63" spans="3:43" ht="18" customHeight="1" x14ac:dyDescent="0.25"/>
    <row r="64" spans="3:43"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sheetData>
  <sheetCalcPr fullCalcOnLoad="1"/>
  <mergeCells count="10">
    <mergeCell ref="B22:B27"/>
    <mergeCell ref="D2:H2"/>
    <mergeCell ref="B4:B9"/>
    <mergeCell ref="B10:B15"/>
    <mergeCell ref="V2:AF2"/>
    <mergeCell ref="V3:W3"/>
    <mergeCell ref="Y3:Z3"/>
    <mergeCell ref="AB3:AC3"/>
    <mergeCell ref="AE3:AF3"/>
    <mergeCell ref="B16:B21"/>
  </mergeCells>
  <hyperlinks>
    <hyperlink ref="B1" location="Menu!A1" display="Menu!A1"/>
  </hyperlinks>
  <pageMargins left="0.70866141732283472" right="0.70866141732283472" top="0.74803149606299213" bottom="0.74803149606299213" header="0.31496062992125984" footer="0.31496062992125984"/>
  <pageSetup paperSize="9" scale="57"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B26"/>
  <sheetViews>
    <sheetView workbookViewId="0"/>
  </sheetViews>
  <sheetFormatPr defaultRowHeight="13.2" x14ac:dyDescent="0.25"/>
  <cols>
    <col min="1" max="1" width="38.88671875" bestFit="1" customWidth="1"/>
    <col min="2" max="2" width="9.88671875" bestFit="1" customWidth="1"/>
  </cols>
  <sheetData>
    <row r="1" spans="1:2" ht="17.399999999999999" x14ac:dyDescent="0.3">
      <c r="A1" s="203" t="s">
        <v>212</v>
      </c>
      <c r="B1" s="200">
        <v>65</v>
      </c>
    </row>
    <row r="2" spans="1:2" ht="17.399999999999999" x14ac:dyDescent="0.3">
      <c r="A2" s="108" t="s">
        <v>164</v>
      </c>
      <c r="B2" s="202">
        <v>20</v>
      </c>
    </row>
    <row r="3" spans="1:2" ht="17.399999999999999" x14ac:dyDescent="0.3">
      <c r="A3" s="203" t="s">
        <v>213</v>
      </c>
      <c r="B3" s="201">
        <f>B1*B2</f>
        <v>1300</v>
      </c>
    </row>
    <row r="4" spans="1:2" x14ac:dyDescent="0.25">
      <c r="A4" s="108"/>
      <c r="B4" s="109"/>
    </row>
    <row r="5" spans="1:2" x14ac:dyDescent="0.25">
      <c r="A5" s="108" t="s">
        <v>165</v>
      </c>
      <c r="B5" s="109">
        <v>20</v>
      </c>
    </row>
    <row r="6" spans="1:2" x14ac:dyDescent="0.25">
      <c r="A6" s="108" t="s">
        <v>166</v>
      </c>
      <c r="B6" s="109">
        <v>1</v>
      </c>
    </row>
    <row r="7" spans="1:2" x14ac:dyDescent="0.25">
      <c r="A7" s="108" t="s">
        <v>167</v>
      </c>
      <c r="B7" s="109">
        <v>3</v>
      </c>
    </row>
    <row r="8" spans="1:2" x14ac:dyDescent="0.25">
      <c r="A8" s="116" t="s">
        <v>168</v>
      </c>
      <c r="B8" s="117">
        <f>(B7*5*B5)+(B6*10*B5)</f>
        <v>500</v>
      </c>
    </row>
    <row r="9" spans="1:2" x14ac:dyDescent="0.25">
      <c r="A9" s="108"/>
      <c r="B9" s="109"/>
    </row>
    <row r="10" spans="1:2" x14ac:dyDescent="0.25">
      <c r="A10" s="108" t="s">
        <v>169</v>
      </c>
      <c r="B10" s="111">
        <v>25</v>
      </c>
    </row>
    <row r="11" spans="1:2" x14ac:dyDescent="0.25">
      <c r="A11" s="108" t="s">
        <v>170</v>
      </c>
      <c r="B11" s="111">
        <v>15</v>
      </c>
    </row>
    <row r="12" spans="1:2" x14ac:dyDescent="0.25">
      <c r="A12" s="108" t="s">
        <v>171</v>
      </c>
      <c r="B12" s="111">
        <v>10</v>
      </c>
    </row>
    <row r="13" spans="1:2" x14ac:dyDescent="0.25">
      <c r="A13" s="116" t="s">
        <v>172</v>
      </c>
      <c r="B13" s="118">
        <f>SUM(B10:B12)</f>
        <v>50</v>
      </c>
    </row>
    <row r="14" spans="1:2" x14ac:dyDescent="0.25">
      <c r="A14" s="108"/>
      <c r="B14" s="109"/>
    </row>
    <row r="15" spans="1:2" x14ac:dyDescent="0.25">
      <c r="A15" s="115" t="s">
        <v>394</v>
      </c>
      <c r="B15" s="488">
        <f>Prizes!I2</f>
        <v>337.5</v>
      </c>
    </row>
    <row r="16" spans="1:2" x14ac:dyDescent="0.25">
      <c r="A16" s="115" t="s">
        <v>395</v>
      </c>
      <c r="B16" s="488">
        <f>Prizes!I3</f>
        <v>225</v>
      </c>
    </row>
    <row r="17" spans="1:2" x14ac:dyDescent="0.25">
      <c r="A17" s="115" t="s">
        <v>396</v>
      </c>
      <c r="B17" s="488">
        <f>Prizes!I4</f>
        <v>112.5</v>
      </c>
    </row>
    <row r="18" spans="1:2" x14ac:dyDescent="0.25">
      <c r="A18" s="115" t="s">
        <v>397</v>
      </c>
      <c r="B18" s="488">
        <f>Prizes!I5</f>
        <v>75</v>
      </c>
    </row>
    <row r="19" spans="1:2" x14ac:dyDescent="0.25">
      <c r="A19" s="115"/>
      <c r="B19" s="110"/>
    </row>
    <row r="20" spans="1:2" x14ac:dyDescent="0.25">
      <c r="A20" s="116" t="s">
        <v>174</v>
      </c>
      <c r="B20" s="117">
        <f>SUM(B15:B19)</f>
        <v>750</v>
      </c>
    </row>
    <row r="21" spans="1:2" x14ac:dyDescent="0.25">
      <c r="A21" s="116"/>
      <c r="B21" s="117"/>
    </row>
    <row r="22" spans="1:2" x14ac:dyDescent="0.25">
      <c r="A22" s="223" t="s">
        <v>269</v>
      </c>
      <c r="B22" s="224">
        <v>0</v>
      </c>
    </row>
    <row r="23" spans="1:2" x14ac:dyDescent="0.25">
      <c r="A23" s="116"/>
      <c r="B23" s="117"/>
    </row>
    <row r="24" spans="1:2" x14ac:dyDescent="0.25">
      <c r="A24" s="116" t="s">
        <v>211</v>
      </c>
      <c r="B24" s="117">
        <f>B20-B22</f>
        <v>750</v>
      </c>
    </row>
    <row r="25" spans="1:2" x14ac:dyDescent="0.25">
      <c r="A25" s="108"/>
      <c r="B25" s="109"/>
    </row>
    <row r="26" spans="1:2" x14ac:dyDescent="0.25">
      <c r="A26" s="112" t="s">
        <v>173</v>
      </c>
      <c r="B26" s="113">
        <f>B3-B8-B13-B20-B22</f>
        <v>0</v>
      </c>
    </row>
  </sheetData>
  <hyperlinks>
    <hyperlink ref="A1" location="Menu!A1" display="No of Entrants:"/>
  </hyperlinks>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01"/>
  <sheetViews>
    <sheetView workbookViewId="0"/>
  </sheetViews>
  <sheetFormatPr defaultRowHeight="13.2" x14ac:dyDescent="0.25"/>
  <cols>
    <col min="3" max="3" width="9.109375" style="4" customWidth="1"/>
    <col min="4" max="4" width="16.5546875" customWidth="1"/>
    <col min="5" max="5" width="10.5546875" customWidth="1"/>
    <col min="7" max="7" width="4.33203125" customWidth="1"/>
    <col min="8" max="8" width="10.6640625" customWidth="1"/>
    <col min="9" max="9" width="11.109375" customWidth="1"/>
    <col min="13" max="13" width="13.33203125" customWidth="1"/>
  </cols>
  <sheetData>
    <row r="1" spans="1:13" x14ac:dyDescent="0.25">
      <c r="A1" s="494" t="s">
        <v>423</v>
      </c>
      <c r="B1" s="4" t="s">
        <v>270</v>
      </c>
      <c r="C1" s="4" t="s">
        <v>294</v>
      </c>
      <c r="D1" s="53" t="s">
        <v>295</v>
      </c>
      <c r="E1" s="53" t="s">
        <v>296</v>
      </c>
      <c r="F1" s="53" t="s">
        <v>297</v>
      </c>
      <c r="G1" s="53"/>
      <c r="H1" s="483" t="s">
        <v>159</v>
      </c>
      <c r="I1" s="484">
        <f>M2-550</f>
        <v>750</v>
      </c>
      <c r="K1" t="s">
        <v>270</v>
      </c>
      <c r="L1" t="s">
        <v>298</v>
      </c>
      <c r="M1" s="482" t="s">
        <v>319</v>
      </c>
    </row>
    <row r="2" spans="1:13" x14ac:dyDescent="0.25">
      <c r="A2" t="str">
        <f>CONCATENATE(B2,C2)</f>
        <v>A1</v>
      </c>
      <c r="B2" s="9" t="s">
        <v>272</v>
      </c>
      <c r="C2" s="4">
        <v>1</v>
      </c>
      <c r="D2">
        <v>45</v>
      </c>
      <c r="E2">
        <v>35</v>
      </c>
      <c r="F2" s="335">
        <f t="shared" ref="F2:F7" si="0">PotA*E2/100</f>
        <v>118.125</v>
      </c>
      <c r="H2" s="119" t="s">
        <v>299</v>
      </c>
      <c r="I2" s="485">
        <f>pot*0.45</f>
        <v>337.5</v>
      </c>
      <c r="K2" s="4">
        <v>1</v>
      </c>
      <c r="L2">
        <v>45</v>
      </c>
      <c r="M2" s="485">
        <f>entrants*20</f>
        <v>1300</v>
      </c>
    </row>
    <row r="3" spans="1:13" x14ac:dyDescent="0.25">
      <c r="A3" t="str">
        <f t="shared" ref="A3:A63" si="1">CONCATENATE(B3,C3)</f>
        <v>A2</v>
      </c>
      <c r="B3" s="9" t="s">
        <v>272</v>
      </c>
      <c r="C3" s="4">
        <v>2</v>
      </c>
      <c r="E3">
        <v>25</v>
      </c>
      <c r="F3" s="335">
        <f t="shared" si="0"/>
        <v>84.375</v>
      </c>
      <c r="H3" s="119" t="s">
        <v>300</v>
      </c>
      <c r="I3" s="485">
        <f>pot*0.3</f>
        <v>225</v>
      </c>
      <c r="K3" s="4">
        <v>2</v>
      </c>
      <c r="L3">
        <v>30</v>
      </c>
    </row>
    <row r="4" spans="1:13" x14ac:dyDescent="0.25">
      <c r="A4" t="str">
        <f t="shared" si="1"/>
        <v>A3</v>
      </c>
      <c r="B4" s="9" t="s">
        <v>272</v>
      </c>
      <c r="C4" s="4">
        <v>3</v>
      </c>
      <c r="E4">
        <v>18</v>
      </c>
      <c r="F4" s="335">
        <f t="shared" si="0"/>
        <v>60.75</v>
      </c>
      <c r="H4" s="119" t="s">
        <v>301</v>
      </c>
      <c r="I4" s="485">
        <f>pot*0.15</f>
        <v>112.5</v>
      </c>
      <c r="K4" s="4">
        <v>3</v>
      </c>
      <c r="L4">
        <v>15</v>
      </c>
    </row>
    <row r="5" spans="1:13" x14ac:dyDescent="0.25">
      <c r="A5" t="str">
        <f t="shared" si="1"/>
        <v>A4</v>
      </c>
      <c r="B5" s="9" t="s">
        <v>272</v>
      </c>
      <c r="C5" s="4">
        <v>4</v>
      </c>
      <c r="E5">
        <v>12</v>
      </c>
      <c r="F5" s="335">
        <f t="shared" si="0"/>
        <v>40.5</v>
      </c>
      <c r="H5" s="119" t="s">
        <v>302</v>
      </c>
      <c r="I5" s="485">
        <f>pot*0.1</f>
        <v>75</v>
      </c>
      <c r="K5" s="4">
        <v>4</v>
      </c>
      <c r="L5">
        <v>10</v>
      </c>
    </row>
    <row r="6" spans="1:13" x14ac:dyDescent="0.25">
      <c r="A6" t="str">
        <f t="shared" si="1"/>
        <v>A5</v>
      </c>
      <c r="B6" s="9" t="s">
        <v>272</v>
      </c>
      <c r="C6" s="4">
        <v>5</v>
      </c>
      <c r="E6">
        <v>7</v>
      </c>
      <c r="F6" s="335">
        <f t="shared" si="0"/>
        <v>23.625</v>
      </c>
      <c r="L6">
        <f>SUM(L2:L5)</f>
        <v>100</v>
      </c>
    </row>
    <row r="7" spans="1:13" x14ac:dyDescent="0.25">
      <c r="A7" t="str">
        <f t="shared" si="1"/>
        <v>A6</v>
      </c>
      <c r="B7" s="9" t="s">
        <v>272</v>
      </c>
      <c r="C7" s="4">
        <v>6</v>
      </c>
      <c r="E7">
        <v>3</v>
      </c>
      <c r="F7" s="335">
        <f t="shared" si="0"/>
        <v>10.125</v>
      </c>
    </row>
    <row r="8" spans="1:13" x14ac:dyDescent="0.25">
      <c r="A8" t="str">
        <f t="shared" si="1"/>
        <v>A7</v>
      </c>
      <c r="B8" s="9" t="s">
        <v>272</v>
      </c>
      <c r="C8" s="4">
        <v>7</v>
      </c>
      <c r="F8">
        <v>0</v>
      </c>
    </row>
    <row r="9" spans="1:13" x14ac:dyDescent="0.25">
      <c r="A9" t="str">
        <f t="shared" si="1"/>
        <v>A8</v>
      </c>
      <c r="B9" s="9" t="s">
        <v>272</v>
      </c>
      <c r="C9" s="4">
        <v>8</v>
      </c>
      <c r="F9">
        <v>0</v>
      </c>
    </row>
    <row r="10" spans="1:13" x14ac:dyDescent="0.25">
      <c r="A10" t="str">
        <f t="shared" si="1"/>
        <v>A9</v>
      </c>
      <c r="B10" s="9" t="s">
        <v>272</v>
      </c>
      <c r="C10" s="4">
        <v>9</v>
      </c>
      <c r="F10">
        <v>0</v>
      </c>
    </row>
    <row r="11" spans="1:13" x14ac:dyDescent="0.25">
      <c r="A11" t="str">
        <f t="shared" si="1"/>
        <v>A10</v>
      </c>
      <c r="B11" s="9" t="s">
        <v>272</v>
      </c>
      <c r="C11" s="4">
        <v>10</v>
      </c>
      <c r="F11">
        <v>0</v>
      </c>
    </row>
    <row r="12" spans="1:13" x14ac:dyDescent="0.25">
      <c r="A12" t="str">
        <f t="shared" si="1"/>
        <v>A11</v>
      </c>
      <c r="B12" s="9" t="s">
        <v>272</v>
      </c>
      <c r="C12" s="4">
        <v>11</v>
      </c>
      <c r="F12">
        <v>0</v>
      </c>
    </row>
    <row r="13" spans="1:13" x14ac:dyDescent="0.25">
      <c r="A13" t="str">
        <f t="shared" si="1"/>
        <v>A12</v>
      </c>
      <c r="B13" s="9" t="s">
        <v>272</v>
      </c>
      <c r="C13" s="4">
        <v>12</v>
      </c>
      <c r="F13">
        <v>0</v>
      </c>
    </row>
    <row r="14" spans="1:13" x14ac:dyDescent="0.25">
      <c r="A14" t="str">
        <f t="shared" si="1"/>
        <v>A13</v>
      </c>
      <c r="B14" s="9" t="s">
        <v>272</v>
      </c>
      <c r="C14" s="4">
        <v>13</v>
      </c>
      <c r="F14">
        <v>0</v>
      </c>
    </row>
    <row r="15" spans="1:13" x14ac:dyDescent="0.25">
      <c r="A15" t="str">
        <f t="shared" si="1"/>
        <v>A14</v>
      </c>
      <c r="B15" s="9" t="s">
        <v>272</v>
      </c>
      <c r="C15" s="4">
        <v>14</v>
      </c>
      <c r="F15">
        <v>0</v>
      </c>
    </row>
    <row r="16" spans="1:13" x14ac:dyDescent="0.25">
      <c r="A16" t="str">
        <f t="shared" si="1"/>
        <v>A15</v>
      </c>
      <c r="B16" s="9" t="s">
        <v>272</v>
      </c>
      <c r="C16" s="4">
        <v>15</v>
      </c>
      <c r="F16">
        <v>0</v>
      </c>
    </row>
    <row r="17" spans="1:6" x14ac:dyDescent="0.25">
      <c r="A17" t="str">
        <f t="shared" si="1"/>
        <v>A16</v>
      </c>
      <c r="B17" s="9" t="s">
        <v>272</v>
      </c>
      <c r="C17" s="4">
        <v>16</v>
      </c>
      <c r="F17">
        <v>0</v>
      </c>
    </row>
    <row r="18" spans="1:6" x14ac:dyDescent="0.25">
      <c r="A18" t="str">
        <f t="shared" si="1"/>
        <v>B1</v>
      </c>
      <c r="B18" s="9" t="s">
        <v>273</v>
      </c>
      <c r="C18" s="4">
        <v>1</v>
      </c>
      <c r="D18">
        <v>30</v>
      </c>
      <c r="E18">
        <v>35</v>
      </c>
      <c r="F18" s="335">
        <f t="shared" ref="F18:F23" si="2">PotB*E18/100</f>
        <v>78.75</v>
      </c>
    </row>
    <row r="19" spans="1:6" x14ac:dyDescent="0.25">
      <c r="A19" t="str">
        <f t="shared" si="1"/>
        <v>B2</v>
      </c>
      <c r="B19" s="9" t="s">
        <v>273</v>
      </c>
      <c r="C19" s="4">
        <v>2</v>
      </c>
      <c r="E19">
        <v>25</v>
      </c>
      <c r="F19" s="335">
        <f t="shared" si="2"/>
        <v>56.25</v>
      </c>
    </row>
    <row r="20" spans="1:6" x14ac:dyDescent="0.25">
      <c r="A20" t="str">
        <f t="shared" si="1"/>
        <v>B3</v>
      </c>
      <c r="B20" s="9" t="s">
        <v>273</v>
      </c>
      <c r="C20" s="4">
        <v>3</v>
      </c>
      <c r="E20">
        <v>18</v>
      </c>
      <c r="F20" s="335">
        <f t="shared" si="2"/>
        <v>40.5</v>
      </c>
    </row>
    <row r="21" spans="1:6" x14ac:dyDescent="0.25">
      <c r="A21" t="str">
        <f t="shared" si="1"/>
        <v>B4</v>
      </c>
      <c r="B21" s="9" t="s">
        <v>273</v>
      </c>
      <c r="C21" s="4">
        <v>4</v>
      </c>
      <c r="E21">
        <v>12</v>
      </c>
      <c r="F21" s="335">
        <f t="shared" si="2"/>
        <v>27</v>
      </c>
    </row>
    <row r="22" spans="1:6" x14ac:dyDescent="0.25">
      <c r="A22" t="str">
        <f t="shared" si="1"/>
        <v>B5</v>
      </c>
      <c r="B22" s="9" t="s">
        <v>273</v>
      </c>
      <c r="C22" s="4">
        <v>5</v>
      </c>
      <c r="E22">
        <v>7</v>
      </c>
      <c r="F22" s="335">
        <f t="shared" si="2"/>
        <v>15.75</v>
      </c>
    </row>
    <row r="23" spans="1:6" x14ac:dyDescent="0.25">
      <c r="A23" t="str">
        <f t="shared" si="1"/>
        <v>B6</v>
      </c>
      <c r="B23" s="9" t="s">
        <v>273</v>
      </c>
      <c r="C23" s="4">
        <v>6</v>
      </c>
      <c r="E23">
        <v>3</v>
      </c>
      <c r="F23" s="335">
        <f t="shared" si="2"/>
        <v>6.75</v>
      </c>
    </row>
    <row r="24" spans="1:6" x14ac:dyDescent="0.25">
      <c r="A24" t="str">
        <f t="shared" si="1"/>
        <v>B7</v>
      </c>
      <c r="B24" s="9" t="s">
        <v>273</v>
      </c>
      <c r="C24" s="4">
        <v>7</v>
      </c>
      <c r="F24">
        <v>0</v>
      </c>
    </row>
    <row r="25" spans="1:6" x14ac:dyDescent="0.25">
      <c r="A25" t="str">
        <f t="shared" si="1"/>
        <v>B8</v>
      </c>
      <c r="B25" s="9" t="s">
        <v>273</v>
      </c>
      <c r="C25" s="4">
        <v>8</v>
      </c>
      <c r="F25">
        <v>0</v>
      </c>
    </row>
    <row r="26" spans="1:6" x14ac:dyDescent="0.25">
      <c r="A26" t="str">
        <f t="shared" si="1"/>
        <v>B9</v>
      </c>
      <c r="B26" s="9" t="s">
        <v>273</v>
      </c>
      <c r="C26" s="4">
        <v>9</v>
      </c>
      <c r="F26">
        <v>0</v>
      </c>
    </row>
    <row r="27" spans="1:6" x14ac:dyDescent="0.25">
      <c r="A27" t="str">
        <f t="shared" si="1"/>
        <v>B10</v>
      </c>
      <c r="B27" s="9" t="s">
        <v>273</v>
      </c>
      <c r="C27" s="4">
        <v>10</v>
      </c>
      <c r="F27">
        <v>0</v>
      </c>
    </row>
    <row r="28" spans="1:6" x14ac:dyDescent="0.25">
      <c r="A28" t="str">
        <f t="shared" si="1"/>
        <v>B11</v>
      </c>
      <c r="B28" s="9" t="s">
        <v>273</v>
      </c>
      <c r="C28" s="4">
        <v>11</v>
      </c>
      <c r="F28">
        <v>0</v>
      </c>
    </row>
    <row r="29" spans="1:6" x14ac:dyDescent="0.25">
      <c r="A29" t="str">
        <f t="shared" si="1"/>
        <v>B12</v>
      </c>
      <c r="B29" s="9" t="s">
        <v>273</v>
      </c>
      <c r="C29" s="4">
        <v>12</v>
      </c>
      <c r="F29">
        <v>0</v>
      </c>
    </row>
    <row r="30" spans="1:6" x14ac:dyDescent="0.25">
      <c r="A30" t="str">
        <f t="shared" si="1"/>
        <v>B13</v>
      </c>
      <c r="B30" s="9" t="s">
        <v>273</v>
      </c>
      <c r="C30" s="4">
        <v>13</v>
      </c>
      <c r="F30">
        <v>0</v>
      </c>
    </row>
    <row r="31" spans="1:6" x14ac:dyDescent="0.25">
      <c r="A31" t="str">
        <f t="shared" si="1"/>
        <v>B14</v>
      </c>
      <c r="B31" s="9" t="s">
        <v>273</v>
      </c>
      <c r="C31" s="4">
        <v>14</v>
      </c>
      <c r="F31">
        <v>0</v>
      </c>
    </row>
    <row r="32" spans="1:6" x14ac:dyDescent="0.25">
      <c r="A32" t="str">
        <f t="shared" si="1"/>
        <v>B15</v>
      </c>
      <c r="B32" s="9" t="s">
        <v>273</v>
      </c>
      <c r="C32" s="4">
        <v>15</v>
      </c>
      <c r="F32">
        <v>0</v>
      </c>
    </row>
    <row r="33" spans="1:6" x14ac:dyDescent="0.25">
      <c r="A33" t="str">
        <f t="shared" si="1"/>
        <v>B16</v>
      </c>
      <c r="B33" s="9" t="s">
        <v>273</v>
      </c>
      <c r="C33" s="4">
        <v>16</v>
      </c>
      <c r="F33">
        <v>0</v>
      </c>
    </row>
    <row r="34" spans="1:6" x14ac:dyDescent="0.25">
      <c r="A34" t="str">
        <f t="shared" si="1"/>
        <v>C1</v>
      </c>
      <c r="B34" s="9" t="s">
        <v>274</v>
      </c>
      <c r="C34" s="4">
        <v>1</v>
      </c>
      <c r="D34">
        <v>15</v>
      </c>
      <c r="E34">
        <v>35</v>
      </c>
      <c r="F34" s="335">
        <f t="shared" ref="F34:F39" si="3">PotC*E34/100</f>
        <v>39.375</v>
      </c>
    </row>
    <row r="35" spans="1:6" x14ac:dyDescent="0.25">
      <c r="A35" t="str">
        <f t="shared" si="1"/>
        <v>C2</v>
      </c>
      <c r="B35" s="9" t="s">
        <v>274</v>
      </c>
      <c r="C35" s="4">
        <v>2</v>
      </c>
      <c r="E35">
        <v>25</v>
      </c>
      <c r="F35" s="335">
        <f t="shared" si="3"/>
        <v>28.125</v>
      </c>
    </row>
    <row r="36" spans="1:6" x14ac:dyDescent="0.25">
      <c r="A36" t="str">
        <f t="shared" si="1"/>
        <v>C3</v>
      </c>
      <c r="B36" s="9" t="s">
        <v>274</v>
      </c>
      <c r="C36" s="4">
        <v>3</v>
      </c>
      <c r="E36">
        <v>18</v>
      </c>
      <c r="F36" s="335">
        <f t="shared" si="3"/>
        <v>20.25</v>
      </c>
    </row>
    <row r="37" spans="1:6" x14ac:dyDescent="0.25">
      <c r="A37" t="str">
        <f t="shared" si="1"/>
        <v>C4</v>
      </c>
      <c r="B37" s="9" t="s">
        <v>274</v>
      </c>
      <c r="C37" s="4">
        <v>4</v>
      </c>
      <c r="E37">
        <v>12</v>
      </c>
      <c r="F37" s="335">
        <f t="shared" si="3"/>
        <v>13.5</v>
      </c>
    </row>
    <row r="38" spans="1:6" x14ac:dyDescent="0.25">
      <c r="A38" t="str">
        <f t="shared" si="1"/>
        <v>C5</v>
      </c>
      <c r="B38" s="9" t="s">
        <v>274</v>
      </c>
      <c r="C38" s="4">
        <v>5</v>
      </c>
      <c r="E38">
        <v>7</v>
      </c>
      <c r="F38" s="335">
        <f t="shared" si="3"/>
        <v>7.875</v>
      </c>
    </row>
    <row r="39" spans="1:6" x14ac:dyDescent="0.25">
      <c r="A39" t="str">
        <f t="shared" si="1"/>
        <v>C6</v>
      </c>
      <c r="B39" s="9" t="s">
        <v>274</v>
      </c>
      <c r="C39" s="4">
        <v>6</v>
      </c>
      <c r="E39">
        <v>3</v>
      </c>
      <c r="F39" s="335">
        <f t="shared" si="3"/>
        <v>3.375</v>
      </c>
    </row>
    <row r="40" spans="1:6" x14ac:dyDescent="0.25">
      <c r="A40" t="str">
        <f t="shared" si="1"/>
        <v>C7</v>
      </c>
      <c r="B40" s="9" t="s">
        <v>274</v>
      </c>
      <c r="C40" s="4">
        <v>7</v>
      </c>
      <c r="F40">
        <v>0</v>
      </c>
    </row>
    <row r="41" spans="1:6" x14ac:dyDescent="0.25">
      <c r="A41" t="str">
        <f t="shared" si="1"/>
        <v>C8</v>
      </c>
      <c r="B41" s="9" t="s">
        <v>274</v>
      </c>
      <c r="C41" s="4">
        <v>8</v>
      </c>
      <c r="F41">
        <v>0</v>
      </c>
    </row>
    <row r="42" spans="1:6" x14ac:dyDescent="0.25">
      <c r="A42" t="str">
        <f t="shared" si="1"/>
        <v>C9</v>
      </c>
      <c r="B42" s="9" t="s">
        <v>274</v>
      </c>
      <c r="C42" s="4">
        <v>9</v>
      </c>
      <c r="F42">
        <v>0</v>
      </c>
    </row>
    <row r="43" spans="1:6" x14ac:dyDescent="0.25">
      <c r="A43" t="str">
        <f t="shared" si="1"/>
        <v>C10</v>
      </c>
      <c r="B43" s="9" t="s">
        <v>274</v>
      </c>
      <c r="C43" s="4">
        <v>10</v>
      </c>
      <c r="F43">
        <v>0</v>
      </c>
    </row>
    <row r="44" spans="1:6" x14ac:dyDescent="0.25">
      <c r="A44" t="str">
        <f t="shared" si="1"/>
        <v>C11</v>
      </c>
      <c r="B44" s="9" t="s">
        <v>274</v>
      </c>
      <c r="C44" s="4">
        <v>11</v>
      </c>
      <c r="F44">
        <v>0</v>
      </c>
    </row>
    <row r="45" spans="1:6" x14ac:dyDescent="0.25">
      <c r="A45" t="str">
        <f t="shared" si="1"/>
        <v>C12</v>
      </c>
      <c r="B45" s="9" t="s">
        <v>274</v>
      </c>
      <c r="C45" s="4">
        <v>12</v>
      </c>
      <c r="F45">
        <v>0</v>
      </c>
    </row>
    <row r="46" spans="1:6" x14ac:dyDescent="0.25">
      <c r="A46" t="str">
        <f t="shared" si="1"/>
        <v>C13</v>
      </c>
      <c r="B46" s="9" t="s">
        <v>274</v>
      </c>
      <c r="C46" s="4">
        <v>13</v>
      </c>
      <c r="F46">
        <v>0</v>
      </c>
    </row>
    <row r="47" spans="1:6" x14ac:dyDescent="0.25">
      <c r="A47" t="str">
        <f t="shared" si="1"/>
        <v>C14</v>
      </c>
      <c r="B47" s="9" t="s">
        <v>274</v>
      </c>
      <c r="C47" s="4">
        <v>14</v>
      </c>
      <c r="F47">
        <v>0</v>
      </c>
    </row>
    <row r="48" spans="1:6" x14ac:dyDescent="0.25">
      <c r="A48" t="str">
        <f t="shared" si="1"/>
        <v>C15</v>
      </c>
      <c r="B48" s="9" t="s">
        <v>274</v>
      </c>
      <c r="C48" s="4">
        <v>15</v>
      </c>
      <c r="F48">
        <v>0</v>
      </c>
    </row>
    <row r="49" spans="1:6" x14ac:dyDescent="0.25">
      <c r="A49" t="str">
        <f t="shared" si="1"/>
        <v>C16</v>
      </c>
      <c r="B49" s="9" t="s">
        <v>274</v>
      </c>
      <c r="C49" s="4">
        <v>16</v>
      </c>
      <c r="F49">
        <v>0</v>
      </c>
    </row>
    <row r="50" spans="1:6" x14ac:dyDescent="0.25">
      <c r="A50" t="str">
        <f t="shared" si="1"/>
        <v>D1</v>
      </c>
      <c r="B50" s="9" t="s">
        <v>275</v>
      </c>
      <c r="C50" s="4">
        <v>1</v>
      </c>
      <c r="D50">
        <v>10</v>
      </c>
      <c r="E50">
        <v>35</v>
      </c>
      <c r="F50" s="335">
        <f t="shared" ref="F50:F55" si="4">PotD*E50/100</f>
        <v>26.25</v>
      </c>
    </row>
    <row r="51" spans="1:6" x14ac:dyDescent="0.25">
      <c r="A51" t="str">
        <f t="shared" si="1"/>
        <v>D2</v>
      </c>
      <c r="B51" s="9" t="s">
        <v>275</v>
      </c>
      <c r="C51" s="4">
        <v>2</v>
      </c>
      <c r="E51">
        <v>25</v>
      </c>
      <c r="F51" s="335">
        <f t="shared" si="4"/>
        <v>18.75</v>
      </c>
    </row>
    <row r="52" spans="1:6" x14ac:dyDescent="0.25">
      <c r="A52" t="str">
        <f t="shared" si="1"/>
        <v>D3</v>
      </c>
      <c r="B52" s="9" t="s">
        <v>275</v>
      </c>
      <c r="C52" s="4">
        <v>3</v>
      </c>
      <c r="E52">
        <v>18</v>
      </c>
      <c r="F52" s="335">
        <f t="shared" si="4"/>
        <v>13.5</v>
      </c>
    </row>
    <row r="53" spans="1:6" x14ac:dyDescent="0.25">
      <c r="A53" t="str">
        <f t="shared" si="1"/>
        <v>D4</v>
      </c>
      <c r="B53" s="9" t="s">
        <v>275</v>
      </c>
      <c r="C53" s="4">
        <v>4</v>
      </c>
      <c r="E53">
        <v>12</v>
      </c>
      <c r="F53" s="335">
        <f t="shared" si="4"/>
        <v>9</v>
      </c>
    </row>
    <row r="54" spans="1:6" x14ac:dyDescent="0.25">
      <c r="A54" t="str">
        <f t="shared" si="1"/>
        <v>D5</v>
      </c>
      <c r="B54" s="9" t="s">
        <v>275</v>
      </c>
      <c r="C54" s="4">
        <v>5</v>
      </c>
      <c r="E54">
        <v>7</v>
      </c>
      <c r="F54" s="335">
        <f t="shared" si="4"/>
        <v>5.25</v>
      </c>
    </row>
    <row r="55" spans="1:6" x14ac:dyDescent="0.25">
      <c r="A55" t="str">
        <f t="shared" si="1"/>
        <v>D6</v>
      </c>
      <c r="B55" s="9" t="s">
        <v>275</v>
      </c>
      <c r="C55" s="4">
        <v>6</v>
      </c>
      <c r="E55">
        <v>3</v>
      </c>
      <c r="F55" s="335">
        <f t="shared" si="4"/>
        <v>2.25</v>
      </c>
    </row>
    <row r="56" spans="1:6" x14ac:dyDescent="0.25">
      <c r="A56" t="str">
        <f t="shared" si="1"/>
        <v>D7</v>
      </c>
      <c r="B56" s="9" t="s">
        <v>275</v>
      </c>
      <c r="C56" s="4">
        <v>7</v>
      </c>
      <c r="F56">
        <v>0</v>
      </c>
    </row>
    <row r="57" spans="1:6" x14ac:dyDescent="0.25">
      <c r="A57" t="str">
        <f t="shared" si="1"/>
        <v>D8</v>
      </c>
      <c r="B57" s="9" t="s">
        <v>275</v>
      </c>
      <c r="C57" s="4">
        <v>8</v>
      </c>
      <c r="F57">
        <v>0</v>
      </c>
    </row>
    <row r="58" spans="1:6" x14ac:dyDescent="0.25">
      <c r="A58" t="str">
        <f t="shared" si="1"/>
        <v>D9</v>
      </c>
      <c r="B58" s="9" t="s">
        <v>275</v>
      </c>
      <c r="C58" s="4">
        <v>9</v>
      </c>
      <c r="F58">
        <v>0</v>
      </c>
    </row>
    <row r="59" spans="1:6" x14ac:dyDescent="0.25">
      <c r="A59" t="str">
        <f t="shared" si="1"/>
        <v>D10</v>
      </c>
      <c r="B59" s="9" t="s">
        <v>275</v>
      </c>
      <c r="C59" s="4">
        <v>10</v>
      </c>
      <c r="F59">
        <v>0</v>
      </c>
    </row>
    <row r="60" spans="1:6" x14ac:dyDescent="0.25">
      <c r="A60" t="str">
        <f t="shared" si="1"/>
        <v>D11</v>
      </c>
      <c r="B60" s="9" t="s">
        <v>275</v>
      </c>
      <c r="C60" s="4">
        <v>11</v>
      </c>
      <c r="F60">
        <v>0</v>
      </c>
    </row>
    <row r="61" spans="1:6" x14ac:dyDescent="0.25">
      <c r="A61" t="str">
        <f t="shared" si="1"/>
        <v>D12</v>
      </c>
      <c r="B61" s="9" t="s">
        <v>275</v>
      </c>
      <c r="C61" s="4">
        <v>12</v>
      </c>
      <c r="F61">
        <v>0</v>
      </c>
    </row>
    <row r="62" spans="1:6" x14ac:dyDescent="0.25">
      <c r="A62" t="str">
        <f t="shared" si="1"/>
        <v>D13</v>
      </c>
      <c r="B62" s="9" t="s">
        <v>275</v>
      </c>
      <c r="C62" s="4">
        <v>13</v>
      </c>
      <c r="F62">
        <v>0</v>
      </c>
    </row>
    <row r="63" spans="1:6" x14ac:dyDescent="0.25">
      <c r="A63" t="str">
        <f t="shared" si="1"/>
        <v>D14</v>
      </c>
      <c r="B63" s="9" t="s">
        <v>275</v>
      </c>
      <c r="C63" s="4">
        <v>14</v>
      </c>
      <c r="F63">
        <v>0</v>
      </c>
    </row>
    <row r="64" spans="1:6" x14ac:dyDescent="0.25">
      <c r="A64" t="str">
        <f t="shared" ref="A64:A101" si="5">CONCATENATE(B64,C64)</f>
        <v>D15</v>
      </c>
      <c r="B64" s="9" t="s">
        <v>275</v>
      </c>
      <c r="C64" s="4">
        <v>15</v>
      </c>
      <c r="F64">
        <v>0</v>
      </c>
    </row>
    <row r="65" spans="1:6" x14ac:dyDescent="0.25">
      <c r="A65" t="str">
        <f t="shared" si="5"/>
        <v>D16</v>
      </c>
      <c r="B65" s="9" t="s">
        <v>275</v>
      </c>
      <c r="C65" s="4">
        <v>16</v>
      </c>
      <c r="F65">
        <v>0</v>
      </c>
    </row>
    <row r="66" spans="1:6" x14ac:dyDescent="0.25">
      <c r="A66" t="str">
        <f t="shared" si="5"/>
        <v>D17</v>
      </c>
      <c r="B66" s="9" t="s">
        <v>275</v>
      </c>
      <c r="C66" s="4">
        <v>17</v>
      </c>
      <c r="F66">
        <v>0</v>
      </c>
    </row>
    <row r="67" spans="1:6" x14ac:dyDescent="0.25">
      <c r="A67" t="str">
        <f t="shared" si="5"/>
        <v>D18</v>
      </c>
      <c r="B67" s="9" t="s">
        <v>275</v>
      </c>
      <c r="C67" s="4">
        <v>18</v>
      </c>
      <c r="F67">
        <v>0</v>
      </c>
    </row>
    <row r="68" spans="1:6" x14ac:dyDescent="0.25">
      <c r="A68" t="str">
        <f t="shared" si="5"/>
        <v>D19</v>
      </c>
      <c r="B68" s="9" t="s">
        <v>275</v>
      </c>
      <c r="C68" s="4">
        <v>19</v>
      </c>
      <c r="F68">
        <v>0</v>
      </c>
    </row>
    <row r="69" spans="1:6" x14ac:dyDescent="0.25">
      <c r="A69" t="str">
        <f t="shared" si="5"/>
        <v>D20</v>
      </c>
      <c r="B69" s="9" t="s">
        <v>275</v>
      </c>
      <c r="C69" s="4">
        <v>20</v>
      </c>
      <c r="F69">
        <v>0</v>
      </c>
    </row>
    <row r="70" spans="1:6" x14ac:dyDescent="0.25">
      <c r="A70" t="str">
        <f t="shared" si="5"/>
        <v>D21</v>
      </c>
      <c r="B70" s="9" t="s">
        <v>275</v>
      </c>
      <c r="C70" s="4">
        <v>21</v>
      </c>
      <c r="F70">
        <v>0</v>
      </c>
    </row>
    <row r="71" spans="1:6" x14ac:dyDescent="0.25">
      <c r="A71" t="str">
        <f t="shared" si="5"/>
        <v>D22</v>
      </c>
      <c r="B71" s="9" t="s">
        <v>275</v>
      </c>
      <c r="C71" s="4">
        <v>22</v>
      </c>
      <c r="F71">
        <v>0</v>
      </c>
    </row>
    <row r="72" spans="1:6" x14ac:dyDescent="0.25">
      <c r="A72" t="str">
        <f t="shared" si="5"/>
        <v>D23</v>
      </c>
      <c r="B72" s="9" t="s">
        <v>275</v>
      </c>
      <c r="C72" s="4">
        <v>23</v>
      </c>
      <c r="F72">
        <v>0</v>
      </c>
    </row>
    <row r="73" spans="1:6" x14ac:dyDescent="0.25">
      <c r="A73" t="str">
        <f t="shared" si="5"/>
        <v>D24</v>
      </c>
      <c r="B73" s="9" t="s">
        <v>275</v>
      </c>
      <c r="C73" s="4">
        <v>24</v>
      </c>
      <c r="F73">
        <v>0</v>
      </c>
    </row>
    <row r="74" spans="1:6" x14ac:dyDescent="0.25">
      <c r="A74" t="str">
        <f t="shared" si="5"/>
        <v>D25</v>
      </c>
      <c r="B74" s="9" t="s">
        <v>275</v>
      </c>
      <c r="C74" s="4">
        <v>25</v>
      </c>
      <c r="F74">
        <v>0</v>
      </c>
    </row>
    <row r="75" spans="1:6" x14ac:dyDescent="0.25">
      <c r="A75" t="str">
        <f t="shared" si="5"/>
        <v>D26</v>
      </c>
      <c r="B75" s="9" t="s">
        <v>275</v>
      </c>
      <c r="C75" s="4">
        <v>26</v>
      </c>
      <c r="F75">
        <v>0</v>
      </c>
    </row>
    <row r="76" spans="1:6" x14ac:dyDescent="0.25">
      <c r="A76" t="str">
        <f t="shared" si="5"/>
        <v>D27</v>
      </c>
      <c r="B76" s="9" t="s">
        <v>275</v>
      </c>
      <c r="C76" s="4">
        <v>27</v>
      </c>
      <c r="F76">
        <v>0</v>
      </c>
    </row>
    <row r="77" spans="1:6" x14ac:dyDescent="0.25">
      <c r="A77" t="str">
        <f t="shared" si="5"/>
        <v>D28</v>
      </c>
      <c r="B77" s="9" t="s">
        <v>275</v>
      </c>
      <c r="C77" s="4">
        <v>28</v>
      </c>
      <c r="F77">
        <v>0</v>
      </c>
    </row>
    <row r="78" spans="1:6" x14ac:dyDescent="0.25">
      <c r="A78" t="str">
        <f t="shared" si="5"/>
        <v>D29</v>
      </c>
      <c r="B78" s="9" t="s">
        <v>275</v>
      </c>
      <c r="C78" s="4">
        <v>29</v>
      </c>
      <c r="F78">
        <v>0</v>
      </c>
    </row>
    <row r="79" spans="1:6" x14ac:dyDescent="0.25">
      <c r="A79" t="str">
        <f t="shared" si="5"/>
        <v>D30</v>
      </c>
      <c r="B79" s="9" t="s">
        <v>275</v>
      </c>
      <c r="C79" s="4">
        <v>30</v>
      </c>
      <c r="F79">
        <v>0</v>
      </c>
    </row>
    <row r="80" spans="1:6" x14ac:dyDescent="0.25">
      <c r="A80" t="str">
        <f t="shared" si="5"/>
        <v>D31</v>
      </c>
      <c r="B80" s="9" t="s">
        <v>275</v>
      </c>
      <c r="C80" s="4">
        <v>31</v>
      </c>
      <c r="F80">
        <v>0</v>
      </c>
    </row>
    <row r="81" spans="1:6" x14ac:dyDescent="0.25">
      <c r="A81" t="str">
        <f t="shared" si="5"/>
        <v>D32</v>
      </c>
      <c r="B81" s="9" t="s">
        <v>275</v>
      </c>
      <c r="C81" s="4">
        <v>32</v>
      </c>
      <c r="F81">
        <v>0</v>
      </c>
    </row>
    <row r="82" spans="1:6" x14ac:dyDescent="0.25">
      <c r="A82" t="str">
        <f t="shared" si="5"/>
        <v>D33</v>
      </c>
      <c r="B82" s="9" t="s">
        <v>275</v>
      </c>
      <c r="C82" s="4">
        <v>33</v>
      </c>
      <c r="F82">
        <v>0</v>
      </c>
    </row>
    <row r="83" spans="1:6" x14ac:dyDescent="0.25">
      <c r="A83" t="str">
        <f t="shared" si="5"/>
        <v>D34</v>
      </c>
      <c r="B83" s="9" t="s">
        <v>275</v>
      </c>
      <c r="C83" s="4">
        <v>34</v>
      </c>
      <c r="F83">
        <v>0</v>
      </c>
    </row>
    <row r="84" spans="1:6" x14ac:dyDescent="0.25">
      <c r="A84" t="str">
        <f t="shared" si="5"/>
        <v>D35</v>
      </c>
      <c r="B84" s="9" t="s">
        <v>275</v>
      </c>
      <c r="C84" s="4">
        <v>35</v>
      </c>
      <c r="F84">
        <v>0</v>
      </c>
    </row>
    <row r="85" spans="1:6" x14ac:dyDescent="0.25">
      <c r="A85" t="str">
        <f t="shared" si="5"/>
        <v>D36</v>
      </c>
      <c r="B85" s="9" t="s">
        <v>275</v>
      </c>
      <c r="C85" s="4">
        <v>36</v>
      </c>
      <c r="F85">
        <v>0</v>
      </c>
    </row>
    <row r="86" spans="1:6" x14ac:dyDescent="0.25">
      <c r="A86" t="str">
        <f t="shared" si="5"/>
        <v>D37</v>
      </c>
      <c r="B86" s="9" t="s">
        <v>275</v>
      </c>
      <c r="C86" s="4">
        <v>37</v>
      </c>
      <c r="F86">
        <v>0</v>
      </c>
    </row>
    <row r="87" spans="1:6" x14ac:dyDescent="0.25">
      <c r="A87" t="str">
        <f t="shared" si="5"/>
        <v>D38</v>
      </c>
      <c r="B87" s="9" t="s">
        <v>275</v>
      </c>
      <c r="C87" s="4">
        <v>38</v>
      </c>
      <c r="F87">
        <v>0</v>
      </c>
    </row>
    <row r="88" spans="1:6" x14ac:dyDescent="0.25">
      <c r="A88" t="str">
        <f t="shared" si="5"/>
        <v>D39</v>
      </c>
      <c r="B88" s="9" t="s">
        <v>275</v>
      </c>
      <c r="C88" s="4">
        <v>39</v>
      </c>
      <c r="F88">
        <v>0</v>
      </c>
    </row>
    <row r="89" spans="1:6" x14ac:dyDescent="0.25">
      <c r="A89" t="str">
        <f t="shared" si="5"/>
        <v>D40</v>
      </c>
      <c r="B89" s="9" t="s">
        <v>275</v>
      </c>
      <c r="C89" s="4">
        <v>40</v>
      </c>
      <c r="F89">
        <v>0</v>
      </c>
    </row>
    <row r="90" spans="1:6" x14ac:dyDescent="0.25">
      <c r="A90" t="str">
        <f t="shared" si="5"/>
        <v>D41</v>
      </c>
      <c r="B90" s="9" t="s">
        <v>275</v>
      </c>
      <c r="C90" s="4">
        <v>41</v>
      </c>
      <c r="F90">
        <v>0</v>
      </c>
    </row>
    <row r="91" spans="1:6" x14ac:dyDescent="0.25">
      <c r="A91" t="str">
        <f t="shared" si="5"/>
        <v>D42</v>
      </c>
      <c r="B91" s="9" t="s">
        <v>275</v>
      </c>
      <c r="C91" s="4">
        <v>42</v>
      </c>
      <c r="F91">
        <v>0</v>
      </c>
    </row>
    <row r="92" spans="1:6" x14ac:dyDescent="0.25">
      <c r="A92" t="str">
        <f t="shared" si="5"/>
        <v>D43</v>
      </c>
      <c r="B92" s="9" t="s">
        <v>275</v>
      </c>
      <c r="C92" s="4">
        <v>43</v>
      </c>
      <c r="F92">
        <v>0</v>
      </c>
    </row>
    <row r="93" spans="1:6" x14ac:dyDescent="0.25">
      <c r="A93" t="str">
        <f t="shared" si="5"/>
        <v>D44</v>
      </c>
      <c r="B93" s="9" t="s">
        <v>275</v>
      </c>
      <c r="C93" s="4">
        <v>44</v>
      </c>
      <c r="F93">
        <v>0</v>
      </c>
    </row>
    <row r="94" spans="1:6" x14ac:dyDescent="0.25">
      <c r="A94" t="str">
        <f t="shared" si="5"/>
        <v>D45</v>
      </c>
      <c r="B94" s="9" t="s">
        <v>275</v>
      </c>
      <c r="C94" s="4">
        <v>45</v>
      </c>
      <c r="F94">
        <v>0</v>
      </c>
    </row>
    <row r="95" spans="1:6" x14ac:dyDescent="0.25">
      <c r="A95" t="str">
        <f t="shared" si="5"/>
        <v>D46</v>
      </c>
      <c r="B95" s="9" t="s">
        <v>275</v>
      </c>
      <c r="C95" s="4">
        <v>46</v>
      </c>
      <c r="F95">
        <v>0</v>
      </c>
    </row>
    <row r="96" spans="1:6" x14ac:dyDescent="0.25">
      <c r="A96" t="str">
        <f t="shared" si="5"/>
        <v>D47</v>
      </c>
      <c r="B96" s="9" t="s">
        <v>275</v>
      </c>
      <c r="C96" s="4">
        <v>47</v>
      </c>
      <c r="F96">
        <v>0</v>
      </c>
    </row>
    <row r="97" spans="1:6" x14ac:dyDescent="0.25">
      <c r="A97" t="str">
        <f t="shared" si="5"/>
        <v>D48</v>
      </c>
      <c r="B97" s="9" t="s">
        <v>275</v>
      </c>
      <c r="C97" s="4">
        <v>48</v>
      </c>
      <c r="F97">
        <v>0</v>
      </c>
    </row>
    <row r="98" spans="1:6" x14ac:dyDescent="0.25">
      <c r="A98" t="str">
        <f t="shared" si="5"/>
        <v>D49</v>
      </c>
      <c r="B98" s="9" t="s">
        <v>275</v>
      </c>
      <c r="C98" s="4">
        <v>49</v>
      </c>
      <c r="F98">
        <v>0</v>
      </c>
    </row>
    <row r="99" spans="1:6" x14ac:dyDescent="0.25">
      <c r="A99" t="str">
        <f t="shared" si="5"/>
        <v>D50</v>
      </c>
      <c r="B99" s="9" t="s">
        <v>275</v>
      </c>
      <c r="C99" s="4">
        <v>50</v>
      </c>
      <c r="F99">
        <v>0</v>
      </c>
    </row>
    <row r="100" spans="1:6" x14ac:dyDescent="0.25">
      <c r="A100" t="str">
        <f t="shared" si="5"/>
        <v>D51</v>
      </c>
      <c r="B100" s="9" t="s">
        <v>275</v>
      </c>
      <c r="C100" s="4">
        <v>51</v>
      </c>
      <c r="F100">
        <v>0</v>
      </c>
    </row>
    <row r="101" spans="1:6" x14ac:dyDescent="0.25">
      <c r="A101" t="str">
        <f t="shared" si="5"/>
        <v>D52</v>
      </c>
      <c r="B101" s="9" t="s">
        <v>275</v>
      </c>
      <c r="C101" s="4">
        <v>52</v>
      </c>
      <c r="F101">
        <v>0</v>
      </c>
    </row>
  </sheetData>
  <hyperlinks>
    <hyperlink ref="A1" location="Menu!A1" display="Menu!A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7030A0"/>
  </sheetPr>
  <dimension ref="A1:L30"/>
  <sheetViews>
    <sheetView workbookViewId="0">
      <selection activeCell="A5" sqref="A5"/>
    </sheetView>
  </sheetViews>
  <sheetFormatPr defaultRowHeight="13.2" x14ac:dyDescent="0.25"/>
  <cols>
    <col min="1" max="1" width="18.6640625" customWidth="1"/>
    <col min="4" max="4" width="11.5546875" customWidth="1"/>
    <col min="5" max="5" width="11.88671875" customWidth="1"/>
    <col min="9" max="9" width="21.88671875" customWidth="1"/>
    <col min="10" max="11" width="13.6640625" style="53" customWidth="1"/>
    <col min="12" max="12" width="11.6640625" customWidth="1"/>
  </cols>
  <sheetData>
    <row r="1" spans="1:12" ht="33" customHeight="1" x14ac:dyDescent="0.25">
      <c r="A1" s="501"/>
      <c r="B1" s="508" t="s">
        <v>128</v>
      </c>
      <c r="C1" s="508" t="s">
        <v>428</v>
      </c>
      <c r="D1" s="508" t="s">
        <v>434</v>
      </c>
      <c r="E1" s="508" t="s">
        <v>580</v>
      </c>
      <c r="F1" s="508" t="s">
        <v>131</v>
      </c>
      <c r="G1" s="508" t="s">
        <v>429</v>
      </c>
      <c r="I1" s="501"/>
      <c r="J1" s="508" t="s">
        <v>434</v>
      </c>
      <c r="K1" s="508" t="s">
        <v>580</v>
      </c>
      <c r="L1" s="508" t="s">
        <v>435</v>
      </c>
    </row>
    <row r="2" spans="1:12" ht="18" customHeight="1" x14ac:dyDescent="0.25">
      <c r="A2" s="502" t="s">
        <v>338</v>
      </c>
      <c r="B2" s="503">
        <f>IF(A2="","",INDEX(Table!G:G,MATCH(A2,Table!$F:$F,0)))</f>
        <v>34.242795815295821</v>
      </c>
      <c r="C2" s="504">
        <f>IF(A2="","",INDEX(Table!H:H,MATCH(A2,Table!$F:$F,0)))</f>
        <v>32</v>
      </c>
      <c r="D2" s="512">
        <f>IF(A2="","",IF(ISERROR(INDEX(Results!AI:AI,MATCH(A2,Results!$V:$V,0))),"TBC",INDEX(Results!AI:AI,MATCH(A2,Results!$V:$V,0))))</f>
        <v>16.040500000000002</v>
      </c>
      <c r="E2" s="503">
        <f>IF(A2="","",INDEX(Table!I:I,MATCH(A2,Table!$F:$F,0)))</f>
        <v>2.2300000000000004</v>
      </c>
      <c r="F2" s="504">
        <f>IF(A2="","",INDEX(Table!J:J,MATCH(A2,Table!$F:$F,0)))</f>
        <v>2</v>
      </c>
      <c r="G2" s="504">
        <f>IF(A2="","",INDEX(Picks!AF:AF,MATCH(A2,Picks!$AC:$AC,0)))</f>
        <v>16</v>
      </c>
      <c r="I2" s="502" t="s">
        <v>339</v>
      </c>
      <c r="J2" s="512">
        <f>IF(I2="","",IF(ISERROR(INDEX(Results!AI:AI,MATCH(I2,Results!$V:$V,0))),"TBC",INDEX(Results!AI:AI,MATCH(I2,Results!$V:$V,0))))</f>
        <v>25.969374999999999</v>
      </c>
      <c r="K2" s="512">
        <f>IF(I2="","",IF(ISERROR(INDEX(Results!T:T,MATCH(I2,Results!$V:$V,0))),"TBC",INDEX(Results!T:T,MATCH(I2,Results!$V:$V,0))))</f>
        <v>25.969374999999999</v>
      </c>
      <c r="L2" s="503">
        <f>IF(I2="","",INDEX(Table!G:G,MATCH(I2,Table!$F:$F,0)))</f>
        <v>26.998430555555551</v>
      </c>
    </row>
    <row r="3" spans="1:12" ht="18" customHeight="1" x14ac:dyDescent="0.25">
      <c r="A3" s="502" t="s">
        <v>339</v>
      </c>
      <c r="B3" s="503">
        <f>IF(A3="","",INDEX(Table!G:G,MATCH(A3,Table!$F:$F,0)))</f>
        <v>26.998430555555551</v>
      </c>
      <c r="C3" s="504">
        <f>IF(A3="","",INDEX(Table!H:H,MATCH(A3,Table!$F:$F,0)))</f>
        <v>23</v>
      </c>
      <c r="D3" s="512">
        <f>IF(A3="","",IF(ISERROR(INDEX(Results!AI:AI,MATCH(A3,Results!$V:$V,0))),"TBC",INDEX(Results!AI:AI,MATCH(A3,Results!$V:$V,0))))</f>
        <v>25.969374999999999</v>
      </c>
      <c r="E3" s="503">
        <f>IF(A3="","",INDEX(Table!I:I,MATCH(A3,Table!$F:$F,0)))</f>
        <v>25.969374999999999</v>
      </c>
      <c r="F3" s="504">
        <f>IF(A3="","",INDEX(Table!J:J,MATCH(A3,Table!$F:$F,0)))</f>
        <v>3</v>
      </c>
      <c r="G3" s="504">
        <f>IF(A3="","",INDEX(Picks!AF:AF,MATCH(A3,Picks!$AC:$AC,0)))</f>
        <v>4</v>
      </c>
      <c r="I3" s="502" t="s">
        <v>354</v>
      </c>
      <c r="J3" s="512">
        <f>IF(I3="","",IF(ISERROR(INDEX(Results!AI:AI,MATCH(I3,Results!$V:$V,0))),"TBC",INDEX(Results!AI:AI,MATCH(I3,Results!$V:$V,0))))</f>
        <v>38.463999999999999</v>
      </c>
      <c r="K3" s="512">
        <f>IF(I3="","",IF(ISERROR(INDEX(Results!T:T,MATCH(I3,Results!$V:$V,0))),"TBC",INDEX(Results!T:T,MATCH(I3,Results!$V:$V,0))))</f>
        <v>6.5199999999999978</v>
      </c>
      <c r="L3" s="503">
        <f>IF(I3="","",INDEX(Table!G:G,MATCH(I3,Table!$F:$F,0)))</f>
        <v>18.934010381153236</v>
      </c>
    </row>
    <row r="4" spans="1:12" ht="18" customHeight="1" x14ac:dyDescent="0.25">
      <c r="A4" s="502" t="s">
        <v>354</v>
      </c>
      <c r="B4" s="503">
        <f>IF(A4="","",INDEX(Table!G:G,MATCH(A4,Table!$F:$F,0)))</f>
        <v>18.934010381153236</v>
      </c>
      <c r="C4" s="504">
        <f>IF(A4="","",INDEX(Table!H:H,MATCH(A4,Table!$F:$F,0)))</f>
        <v>40</v>
      </c>
      <c r="D4" s="512">
        <f>IF(A4="","",IF(ISERROR(INDEX(Results!AI:AI,MATCH(A4,Results!$V:$V,0))),"TBC",INDEX(Results!AI:AI,MATCH(A4,Results!$V:$V,0))))</f>
        <v>38.463999999999999</v>
      </c>
      <c r="E4" s="503">
        <f>IF(A4="","",INDEX(Table!I:I,MATCH(A4,Table!$F:$F,0)))</f>
        <v>6.5199999999999978</v>
      </c>
      <c r="F4" s="504">
        <f>IF(A4="","",INDEX(Table!J:J,MATCH(A4,Table!$F:$F,0)))</f>
        <v>2</v>
      </c>
      <c r="G4" s="504">
        <f>IF(A4="","",INDEX(Picks!AF:AF,MATCH(A4,Picks!$AC:$AC,0)))</f>
        <v>12</v>
      </c>
      <c r="I4" s="502" t="s">
        <v>325</v>
      </c>
      <c r="J4" s="512">
        <f>IF(I4="","",IF(ISERROR(INDEX(Results!AI:AI,MATCH(I4,Results!$V:$V,0))),"TBC",INDEX(Results!AI:AI,MATCH(I4,Results!$V:$V,0))))</f>
        <v>18.840000000000003</v>
      </c>
      <c r="K4" s="512">
        <f>IF(I4="","",IF(ISERROR(INDEX(Results!T:T,MATCH(I4,Results!$V:$V,0))),"TBC",INDEX(Results!T:T,MATCH(I4,Results!$V:$V,0))))</f>
        <v>-7</v>
      </c>
      <c r="L4" s="503">
        <f>IF(I4="","",INDEX(Table!G:G,MATCH(I4,Table!$F:$F,0)))</f>
        <v>-24.641997890997892</v>
      </c>
    </row>
    <row r="5" spans="1:12" ht="18" customHeight="1" x14ac:dyDescent="0.25">
      <c r="A5" s="502" t="s">
        <v>357</v>
      </c>
      <c r="B5" s="503">
        <f>IF(A5="","",INDEX(Table!G:G,MATCH(A5,Table!$F:$F,0)))</f>
        <v>-23.718316128316122</v>
      </c>
      <c r="C5" s="504">
        <f>IF(A5="","",INDEX(Table!H:H,MATCH(A5,Table!$F:$F,0)))</f>
        <v>34</v>
      </c>
      <c r="D5" s="512">
        <f>IF(A5="","",IF(ISERROR(INDEX(Results!AI:AI,MATCH(A5,Results!$V:$V,0))),"TBC",INDEX(Results!AI:AI,MATCH(A5,Results!$V:$V,0))))</f>
        <v>27.227499999999992</v>
      </c>
      <c r="E5" s="503">
        <f>IF(A5="","",INDEX(Table!I:I,MATCH(A5,Table!$F:$F,0)))</f>
        <v>-4.7</v>
      </c>
      <c r="F5" s="504">
        <f>IF(A5="","",INDEX(Table!J:J,MATCH(A5,Table!$F:$F,0)))</f>
        <v>1</v>
      </c>
      <c r="G5" s="504">
        <f>IF(A5="","",INDEX(Picks!AF:AF,MATCH(A5,Picks!$AC:$AC,0)))</f>
        <v>41</v>
      </c>
      <c r="I5" s="502" t="s">
        <v>357</v>
      </c>
      <c r="J5" s="512">
        <f>IF(I5="","",IF(ISERROR(INDEX(Results!AI:AI,MATCH(I5,Results!$V:$V,0))),"TBC",INDEX(Results!AI:AI,MATCH(I5,Results!$V:$V,0))))</f>
        <v>27.227499999999992</v>
      </c>
      <c r="K5" s="512">
        <f>IF(I5="","",IF(ISERROR(INDEX(Results!T:T,MATCH(I5,Results!$V:$V,0))),"TBC",INDEX(Results!T:T,MATCH(I5,Results!$V:$V,0))))</f>
        <v>-4.7</v>
      </c>
      <c r="L5" s="503">
        <f>IF(I5="","",INDEX(Table!G:G,MATCH(I5,Table!$F:$F,0)))</f>
        <v>-23.718316128316122</v>
      </c>
    </row>
    <row r="6" spans="1:12" ht="18" customHeight="1" x14ac:dyDescent="0.25">
      <c r="A6" s="502" t="s">
        <v>325</v>
      </c>
      <c r="B6" s="503">
        <f>IF(A6="","",INDEX(Table!G:G,MATCH(A6,Table!$F:$F,0)))</f>
        <v>-24.641997890997892</v>
      </c>
      <c r="C6" s="504">
        <f>IF(A6="","",INDEX(Table!H:H,MATCH(A6,Table!$F:$F,0)))</f>
        <v>30</v>
      </c>
      <c r="D6" s="512">
        <f>IF(A6="","",IF(ISERROR(INDEX(Results!AI:AI,MATCH(A6,Results!$V:$V,0))),"TBC",INDEX(Results!AI:AI,MATCH(A6,Results!$V:$V,0))))</f>
        <v>18.840000000000003</v>
      </c>
      <c r="E6" s="503">
        <f>IF(A6="","",INDEX(Table!I:I,MATCH(A6,Table!$F:$F,0)))</f>
        <v>-7</v>
      </c>
      <c r="F6" s="504">
        <f>IF(A6="","",INDEX(Table!J:J,MATCH(A6,Table!$F:$F,0)))</f>
        <v>0</v>
      </c>
      <c r="G6" s="504">
        <f>IF(A6="","",INDEX(Picks!AF:AF,MATCH(A6,Picks!$AC:$AC,0)))</f>
        <v>47</v>
      </c>
      <c r="I6" s="502" t="s">
        <v>338</v>
      </c>
      <c r="J6" s="512">
        <f>IF(I6="","",IF(ISERROR(INDEX(Results!AI:AI,MATCH(I6,Results!$V:$V,0))),"TBC",INDEX(Results!AI:AI,MATCH(I6,Results!$V:$V,0))))</f>
        <v>16.040500000000002</v>
      </c>
      <c r="K6" s="512">
        <f>IF(I6="","",IF(ISERROR(INDEX(Results!T:T,MATCH(I6,Results!$V:$V,0))),"TBC",INDEX(Results!T:T,MATCH(I6,Results!$V:$V,0))))</f>
        <v>2.2300000000000004</v>
      </c>
      <c r="L6" s="503">
        <f>IF(I6="","",INDEX(Table!G:G,MATCH(I6,Table!$F:$F,0)))</f>
        <v>34.242795815295821</v>
      </c>
    </row>
    <row r="7" spans="1:12" ht="18" customHeight="1" x14ac:dyDescent="0.25">
      <c r="A7" s="307"/>
      <c r="B7" s="275"/>
      <c r="C7" s="392" t="str">
        <f>IF(A7="","",INDEX(Table!H:H,MATCH(A7,Table!$F:$F,0)))</f>
        <v/>
      </c>
      <c r="D7" s="392"/>
    </row>
    <row r="8" spans="1:12" ht="18" customHeight="1" x14ac:dyDescent="0.25">
      <c r="A8" s="307"/>
      <c r="B8" s="275"/>
      <c r="C8" s="392" t="str">
        <f>IF(A8="","",INDEX(Table!H:H,MATCH(A8,Table!$F:$F,0)))</f>
        <v/>
      </c>
      <c r="D8" s="392"/>
    </row>
    <row r="9" spans="1:12" ht="18" customHeight="1" x14ac:dyDescent="0.25">
      <c r="A9" s="307"/>
      <c r="B9" s="275"/>
      <c r="C9" s="392" t="str">
        <f>IF(A9="","",INDEX(Table!H:H,MATCH(A9,Table!$F:$F,0)))</f>
        <v/>
      </c>
      <c r="D9" s="392"/>
    </row>
    <row r="10" spans="1:12" ht="18" customHeight="1" x14ac:dyDescent="0.25">
      <c r="A10" s="307"/>
      <c r="B10" s="275"/>
      <c r="C10" s="392" t="str">
        <f>IF(A10="","",INDEX(Table!H:H,MATCH(A10,Table!$F:$F,0)))</f>
        <v/>
      </c>
      <c r="D10" s="392"/>
    </row>
    <row r="11" spans="1:12" ht="18" customHeight="1" x14ac:dyDescent="0.25">
      <c r="A11" s="307"/>
      <c r="B11" s="275"/>
      <c r="C11" s="392" t="str">
        <f>IF(A11="","",INDEX(Table!H:H,MATCH(A11,Table!$F:$F,0)))</f>
        <v/>
      </c>
      <c r="D11" s="392"/>
    </row>
    <row r="12" spans="1:12" ht="18" customHeight="1" x14ac:dyDescent="0.25">
      <c r="A12" s="307"/>
      <c r="B12" s="275"/>
      <c r="C12" s="392" t="str">
        <f>IF(A12="","",INDEX(Table!H:H,MATCH(A12,Table!$F:$F,0)))</f>
        <v/>
      </c>
      <c r="D12" s="392"/>
    </row>
    <row r="13" spans="1:12" ht="18" customHeight="1" x14ac:dyDescent="0.25">
      <c r="A13" s="307"/>
      <c r="B13" s="275"/>
      <c r="C13" s="392" t="str">
        <f>IF(A13="","",INDEX(Table!H:H,MATCH(A13,Table!$F:$F,0)))</f>
        <v/>
      </c>
      <c r="D13" s="392"/>
    </row>
    <row r="14" spans="1:12" ht="18" customHeight="1" x14ac:dyDescent="0.25">
      <c r="A14" s="307"/>
      <c r="B14" s="275"/>
      <c r="C14" s="392" t="str">
        <f>IF(A14="","",INDEX(Table!H:H,MATCH(A14,Table!$F:$F,0)))</f>
        <v/>
      </c>
      <c r="D14" s="392"/>
    </row>
    <row r="15" spans="1:12" ht="18" customHeight="1" x14ac:dyDescent="0.25">
      <c r="A15" s="307"/>
      <c r="B15" s="275"/>
      <c r="C15" s="392" t="str">
        <f>IF(A15="","",INDEX(Table!H:H,MATCH(A15,Table!$F:$F,0)))</f>
        <v/>
      </c>
      <c r="D15" s="392"/>
    </row>
    <row r="16" spans="1:12" ht="18" customHeight="1" x14ac:dyDescent="0.25">
      <c r="A16" s="307"/>
      <c r="B16" s="275"/>
      <c r="C16" s="392" t="str">
        <f>IF(A16="","",INDEX(Table!H:H,MATCH(A16,Table!$F:$F,0)))</f>
        <v/>
      </c>
      <c r="D16" s="392"/>
    </row>
    <row r="17" spans="1:4" ht="18" customHeight="1" x14ac:dyDescent="0.25">
      <c r="A17" s="307"/>
      <c r="B17" s="275"/>
      <c r="C17" s="392" t="str">
        <f>IF(A17="","",INDEX(Table!H:H,MATCH(A17,Table!$F:$F,0)))</f>
        <v/>
      </c>
      <c r="D17" s="392"/>
    </row>
    <row r="18" spans="1:4" ht="18" customHeight="1" x14ac:dyDescent="0.25">
      <c r="A18" s="307"/>
      <c r="B18" s="275"/>
      <c r="C18" s="392" t="str">
        <f>IF(A18="","",INDEX(Table!H:H,MATCH(A18,Table!$F:$F,0)))</f>
        <v/>
      </c>
      <c r="D18" s="392"/>
    </row>
    <row r="19" spans="1:4" ht="18" customHeight="1" x14ac:dyDescent="0.25">
      <c r="A19" s="307"/>
      <c r="B19" s="275"/>
      <c r="C19" s="392" t="str">
        <f>IF(A19="","",INDEX(Table!H:H,MATCH(A19,Table!$F:$F,0)))</f>
        <v/>
      </c>
      <c r="D19" s="392"/>
    </row>
    <row r="20" spans="1:4" ht="18" customHeight="1" x14ac:dyDescent="0.25">
      <c r="A20" s="307"/>
      <c r="B20" s="275"/>
      <c r="C20" s="392" t="str">
        <f>IF(A20="","",INDEX(Table!H:H,MATCH(A20,Table!$F:$F,0)))</f>
        <v/>
      </c>
      <c r="D20" s="392"/>
    </row>
    <row r="21" spans="1:4" ht="18" customHeight="1" x14ac:dyDescent="0.25">
      <c r="A21" s="307"/>
      <c r="B21" s="275"/>
      <c r="C21" s="392" t="str">
        <f>IF(A21="","",INDEX(Table!H:H,MATCH(A21,Table!$F:$F,0)))</f>
        <v/>
      </c>
      <c r="D21" s="392"/>
    </row>
    <row r="22" spans="1:4" ht="18" customHeight="1" x14ac:dyDescent="0.25">
      <c r="A22" s="307"/>
      <c r="B22" s="275"/>
      <c r="C22" s="392" t="str">
        <f>IF(A22="","",INDEX(Table!H:H,MATCH(A22,Table!$F:$F,0)))</f>
        <v/>
      </c>
      <c r="D22" s="392"/>
    </row>
    <row r="23" spans="1:4" ht="18" customHeight="1" x14ac:dyDescent="0.25">
      <c r="A23" s="307"/>
      <c r="B23" s="275"/>
      <c r="C23" s="392" t="str">
        <f>IF(A23="","",INDEX(Table!H:H,MATCH(A23,Table!$F:$F,0)))</f>
        <v/>
      </c>
      <c r="D23" s="392"/>
    </row>
    <row r="24" spans="1:4" ht="18" customHeight="1" x14ac:dyDescent="0.25">
      <c r="A24" s="307"/>
      <c r="B24" s="275"/>
      <c r="C24" s="392" t="str">
        <f>IF(A24="","",INDEX(Table!H:H,MATCH(A24,Table!$F:$F,0)))</f>
        <v/>
      </c>
      <c r="D24" s="392"/>
    </row>
    <row r="25" spans="1:4" ht="18" customHeight="1" x14ac:dyDescent="0.25">
      <c r="A25" s="307"/>
      <c r="B25" s="275"/>
      <c r="C25" s="392" t="str">
        <f>IF(A25="","",INDEX(Table!H:H,MATCH(A25,Table!$F:$F,0)))</f>
        <v/>
      </c>
      <c r="D25" s="392"/>
    </row>
    <row r="26" spans="1:4" ht="18" customHeight="1" x14ac:dyDescent="0.25">
      <c r="A26" s="307"/>
      <c r="B26" s="275"/>
      <c r="C26" s="392" t="str">
        <f>IF(A26="","",INDEX(Table!H:H,MATCH(A26,Table!$F:$F,0)))</f>
        <v/>
      </c>
      <c r="D26" s="392"/>
    </row>
    <row r="27" spans="1:4" ht="18" customHeight="1" x14ac:dyDescent="0.25">
      <c r="A27" s="307"/>
      <c r="B27" s="275"/>
      <c r="C27" s="392" t="str">
        <f>IF(A27="","",INDEX(Table!H:H,MATCH(A27,Table!$F:$F,0)))</f>
        <v/>
      </c>
      <c r="D27" s="392"/>
    </row>
    <row r="28" spans="1:4" ht="18" customHeight="1" x14ac:dyDescent="0.25">
      <c r="A28" s="307"/>
      <c r="B28" s="275"/>
      <c r="C28" s="392" t="str">
        <f>IF(A28="","",INDEX(Table!H:H,MATCH(A28,Table!$F:$F,0)))</f>
        <v/>
      </c>
      <c r="D28" s="392"/>
    </row>
    <row r="29" spans="1:4" ht="18" customHeight="1" x14ac:dyDescent="0.25">
      <c r="A29" s="307"/>
      <c r="B29" s="275"/>
      <c r="C29" s="392" t="str">
        <f>IF(A29="","",INDEX(Table!H:H,MATCH(A29,Table!$F:$F,0)))</f>
        <v/>
      </c>
      <c r="D29" s="392"/>
    </row>
    <row r="30" spans="1:4" ht="18" customHeight="1" x14ac:dyDescent="0.25">
      <c r="A30" s="307"/>
      <c r="B30" s="275"/>
      <c r="C30" s="392" t="str">
        <f>IF(A30="","",INDEX(Table!H:H,MATCH(A30,Table!$F:$F,0)))</f>
        <v/>
      </c>
      <c r="D30" s="392"/>
    </row>
  </sheetData>
  <sheetCalcPr fullCalcOnLoad="1"/>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7030A0"/>
    <pageSetUpPr fitToPage="1"/>
  </sheetPr>
  <dimension ref="A1:Z69"/>
  <sheetViews>
    <sheetView tabSelected="1" zoomScale="90" zoomScaleNormal="90" workbookViewId="0">
      <pane ySplit="1" topLeftCell="A2" activePane="bottomLeft" state="frozen"/>
      <selection pane="bottomLeft" activeCell="A2" sqref="A2:A17"/>
    </sheetView>
  </sheetViews>
  <sheetFormatPr defaultRowHeight="13.2" x14ac:dyDescent="0.25"/>
  <cols>
    <col min="1" max="1" width="10.33203125" customWidth="1"/>
    <col min="2" max="2" width="8.33203125" hidden="1" customWidth="1"/>
    <col min="3" max="3" width="11.109375" customWidth="1"/>
    <col min="4" max="4" width="10.33203125" customWidth="1"/>
    <col min="5" max="5" width="10.33203125" hidden="1" customWidth="1"/>
    <col min="6" max="6" width="26.109375" style="4" customWidth="1"/>
    <col min="7" max="7" width="8.5546875" style="275" customWidth="1"/>
    <col min="8" max="8" width="8" style="392" customWidth="1"/>
    <col min="9" max="9" width="8.88671875" style="275" customWidth="1"/>
    <col min="10" max="10" width="9.109375" style="392" customWidth="1"/>
    <col min="11" max="11" width="10.6640625" style="601" customWidth="1"/>
    <col min="12" max="12" width="10.6640625" customWidth="1"/>
    <col min="13" max="13" width="10.6640625" style="21" customWidth="1"/>
    <col min="14" max="15" width="10.6640625" customWidth="1"/>
    <col min="16" max="16" width="10.6640625" style="214" customWidth="1"/>
    <col min="17" max="17" width="3.6640625" customWidth="1"/>
    <col min="18" max="18" width="4.5546875" customWidth="1"/>
    <col min="19" max="19" width="41.6640625" customWidth="1"/>
  </cols>
  <sheetData>
    <row r="1" spans="1:26" ht="42.75" customHeight="1" thickBot="1" x14ac:dyDescent="0.3">
      <c r="A1" s="659"/>
      <c r="B1" s="64" t="s">
        <v>276</v>
      </c>
      <c r="C1" s="364" t="s">
        <v>305</v>
      </c>
      <c r="D1" s="64" t="s">
        <v>294</v>
      </c>
      <c r="E1" s="64" t="s">
        <v>268</v>
      </c>
      <c r="F1" s="336" t="s">
        <v>16</v>
      </c>
      <c r="G1" s="386" t="s">
        <v>128</v>
      </c>
      <c r="H1" s="388" t="s">
        <v>129</v>
      </c>
      <c r="I1" s="387" t="s">
        <v>130</v>
      </c>
      <c r="J1" s="393" t="s">
        <v>131</v>
      </c>
      <c r="K1" s="594" t="s">
        <v>303</v>
      </c>
      <c r="L1" s="365" t="s">
        <v>383</v>
      </c>
      <c r="M1" s="365" t="s">
        <v>271</v>
      </c>
      <c r="N1" s="365" t="s">
        <v>186</v>
      </c>
      <c r="O1" s="365" t="s">
        <v>277</v>
      </c>
      <c r="P1" s="366" t="s">
        <v>281</v>
      </c>
      <c r="Q1" s="86"/>
      <c r="R1" s="86"/>
      <c r="S1" s="86"/>
      <c r="T1" s="86"/>
      <c r="U1" s="86"/>
      <c r="V1" s="86"/>
      <c r="W1" s="86"/>
      <c r="X1" s="86"/>
      <c r="Y1" s="86"/>
    </row>
    <row r="2" spans="1:26" x14ac:dyDescent="0.25">
      <c r="A2" s="704" t="s">
        <v>264</v>
      </c>
      <c r="B2" s="353" t="str">
        <f>CONCATENATE(E2,D2)</f>
        <v>A1</v>
      </c>
      <c r="C2" s="377"/>
      <c r="D2" s="353">
        <v>1</v>
      </c>
      <c r="E2" s="399" t="s">
        <v>272</v>
      </c>
      <c r="F2" s="407" t="s">
        <v>352</v>
      </c>
      <c r="G2" s="408">
        <f>INDEX(Weekly!F:F,MATCH($F2,Weekly!$E:$E,0))</f>
        <v>63.448333333333338</v>
      </c>
      <c r="H2" s="409">
        <f>INDEX(Weekly!G:G,MATCH($F2,Weekly!$E:$E,0))</f>
        <v>17</v>
      </c>
      <c r="I2" s="410">
        <f>INDEX(Weekly!H:H,MATCH($F2,Weekly!$E:$E,0))</f>
        <v>-4</v>
      </c>
      <c r="J2" s="411">
        <f>INDEX(Weekly!I:I,MATCH($F2,Weekly!$E:$E,0))</f>
        <v>1</v>
      </c>
      <c r="K2" s="595">
        <f>INDEX(Weekly!J:J,MATCH($F2,Weekly!$E:$E,0))</f>
        <v>93.55</v>
      </c>
      <c r="L2" s="412">
        <f>INDEX(Prizes!F:F,MATCH($B2,Prizes!A:A,0))</f>
        <v>118.125</v>
      </c>
      <c r="M2" s="369">
        <f>INDEX(Weekly!K:K,MATCH($F2,Weekly!$E:$E,0))</f>
        <v>10</v>
      </c>
      <c r="N2" s="412">
        <f>INDEX(Weekly!L:L,MATCH($F2,Weekly!$E:$E,0))</f>
        <v>0</v>
      </c>
      <c r="O2" s="412">
        <f>INDEX(Weekly!N:N,MATCH($F2,Weekly!$E:$E,0))</f>
        <v>128.125</v>
      </c>
      <c r="P2" s="602">
        <f t="shared" ref="P2:P33" si="0">O2+K2</f>
        <v>221.67500000000001</v>
      </c>
      <c r="Q2" s="86"/>
      <c r="R2" s="86"/>
      <c r="S2" s="86"/>
      <c r="T2" s="86"/>
      <c r="U2" s="86"/>
      <c r="V2" s="86"/>
      <c r="W2" s="86"/>
      <c r="X2" s="86"/>
      <c r="Y2" s="86"/>
      <c r="Z2" s="86"/>
    </row>
    <row r="3" spans="1:26" x14ac:dyDescent="0.25">
      <c r="A3" s="705"/>
      <c r="B3" s="1" t="str">
        <f t="shared" ref="B3:B66" si="1">CONCATENATE(E3,D3)</f>
        <v>A2</v>
      </c>
      <c r="C3" s="374"/>
      <c r="D3" s="1">
        <v>2</v>
      </c>
      <c r="E3" s="400" t="s">
        <v>272</v>
      </c>
      <c r="F3" s="4" t="s">
        <v>367</v>
      </c>
      <c r="G3" s="361">
        <f>INDEX(Weekly!F:F,MATCH($F3,Weekly!$E:$E,0))</f>
        <v>52.29999999999999</v>
      </c>
      <c r="H3" s="389">
        <f>INDEX(Weekly!G:G,MATCH($F3,Weekly!$E:$E,0))</f>
        <v>18</v>
      </c>
      <c r="I3" s="153">
        <f>INDEX(Weekly!H:H,MATCH($F3,Weekly!$E:$E,0))</f>
        <v>11.36</v>
      </c>
      <c r="J3" s="394">
        <f>INDEX(Weekly!I:I,MATCH($F3,Weekly!$E:$E,0))</f>
        <v>2</v>
      </c>
      <c r="K3" s="596">
        <f>INDEX(Weekly!J:J,MATCH($F3,Weekly!$E:$E,0))</f>
        <v>73.84</v>
      </c>
      <c r="L3" s="367">
        <f>INDEX(Prizes!F:F,MATCH($B3,Prizes!A:A,0))</f>
        <v>84.375</v>
      </c>
      <c r="M3" s="370">
        <f>INDEX(Weekly!K:K,MATCH($F3,Weekly!$E:$E,0))</f>
        <v>15</v>
      </c>
      <c r="N3" s="367">
        <f>INDEX(Weekly!L:L,MATCH($F3,Weekly!$E:$E,0))</f>
        <v>0</v>
      </c>
      <c r="O3" s="367">
        <f>INDEX(Weekly!N:N,MATCH($F3,Weekly!$E:$E,0))</f>
        <v>99.375</v>
      </c>
      <c r="P3" s="603">
        <f t="shared" si="0"/>
        <v>173.215</v>
      </c>
      <c r="Q3" s="86"/>
      <c r="R3" s="86"/>
      <c r="S3" s="86"/>
      <c r="T3" s="86"/>
      <c r="U3" s="86"/>
      <c r="V3" s="86"/>
      <c r="W3" s="86"/>
      <c r="X3" s="86"/>
      <c r="Y3" s="86"/>
      <c r="Z3" s="86"/>
    </row>
    <row r="4" spans="1:26" x14ac:dyDescent="0.25">
      <c r="A4" s="705"/>
      <c r="B4" s="1" t="str">
        <f t="shared" si="1"/>
        <v>A3</v>
      </c>
      <c r="C4" s="374"/>
      <c r="D4" s="1">
        <v>3</v>
      </c>
      <c r="E4" s="662" t="s">
        <v>272</v>
      </c>
      <c r="F4" s="663" t="s">
        <v>363</v>
      </c>
      <c r="G4" s="361">
        <f>INDEX(Weekly!F:F,MATCH($F4,Weekly!$E:$E,0))</f>
        <v>43.498000000000005</v>
      </c>
      <c r="H4" s="665">
        <f>INDEX(Weekly!G:G,MATCH($F4,Weekly!$E:$E,0))</f>
        <v>28</v>
      </c>
      <c r="I4" s="667">
        <f>INDEX(Weekly!H:H,MATCH($F4,Weekly!$E:$E,0))</f>
        <v>30.272500000000001</v>
      </c>
      <c r="J4" s="394">
        <f>INDEX(Weekly!I:I,MATCH($F4,Weekly!$E:$E,0))</f>
        <v>3</v>
      </c>
      <c r="K4" s="669">
        <f>INDEX(Weekly!J:J,MATCH($F4,Weekly!$E:$E,0))</f>
        <v>24.045000000000002</v>
      </c>
      <c r="L4" s="670">
        <f>INDEX(Prizes!F:F,MATCH($B4,Prizes!A:A,0))</f>
        <v>60.75</v>
      </c>
      <c r="M4" s="671">
        <f>INDEX(Weekly!K:K,MATCH($F4,Weekly!$E:$E,0))</f>
        <v>25</v>
      </c>
      <c r="N4" s="670">
        <f>INDEX(Weekly!L:L,MATCH($F4,Weekly!$E:$E,0))</f>
        <v>0</v>
      </c>
      <c r="O4" s="670">
        <f>INDEX(Weekly!N:N,MATCH($F4,Weekly!$E:$E,0))</f>
        <v>85.75</v>
      </c>
      <c r="P4" s="603">
        <f t="shared" si="0"/>
        <v>109.795</v>
      </c>
      <c r="Q4" s="86"/>
      <c r="R4" s="385"/>
      <c r="S4" s="102" t="s">
        <v>309</v>
      </c>
      <c r="T4" s="86"/>
      <c r="U4" s="86"/>
      <c r="V4" s="86"/>
      <c r="W4" s="86"/>
      <c r="X4" s="86"/>
      <c r="Y4" s="86"/>
      <c r="Z4" s="86"/>
    </row>
    <row r="5" spans="1:26" x14ac:dyDescent="0.25">
      <c r="A5" s="705"/>
      <c r="B5" s="1" t="str">
        <f t="shared" si="1"/>
        <v>A4</v>
      </c>
      <c r="C5" s="374"/>
      <c r="D5" s="1">
        <v>4</v>
      </c>
      <c r="E5" s="400" t="s">
        <v>272</v>
      </c>
      <c r="F5" s="4" t="s">
        <v>368</v>
      </c>
      <c r="G5" s="361">
        <f>INDEX(Weekly!F:F,MATCH($F5,Weekly!$E:$E,0))</f>
        <v>13.593547452547455</v>
      </c>
      <c r="H5" s="389">
        <f>INDEX(Weekly!G:G,MATCH($F5,Weekly!$E:$E,0))</f>
        <v>31</v>
      </c>
      <c r="I5" s="153">
        <f>INDEX(Weekly!H:H,MATCH($F5,Weekly!$E:$E,0))</f>
        <v>26.65</v>
      </c>
      <c r="J5" s="394">
        <f>INDEX(Weekly!I:I,MATCH($F5,Weekly!$E:$E,0))</f>
        <v>3</v>
      </c>
      <c r="K5" s="596">
        <f>INDEX(Weekly!J:J,MATCH($F5,Weekly!$E:$E,0))</f>
        <v>-15.515000000000001</v>
      </c>
      <c r="L5" s="367">
        <f>INDEX(Prizes!F:F,MATCH($B5,Prizes!A:A,0))</f>
        <v>40.5</v>
      </c>
      <c r="M5" s="370">
        <f>INDEX(Weekly!K:K,MATCH($F5,Weekly!$E:$E,0))</f>
        <v>15</v>
      </c>
      <c r="N5" s="367">
        <f>INDEX(Weekly!L:L,MATCH($F5,Weekly!$E:$E,0))</f>
        <v>0</v>
      </c>
      <c r="O5" s="367">
        <f>INDEX(Weekly!N:N,MATCH($F5,Weekly!$E:$E,0))</f>
        <v>55.5</v>
      </c>
      <c r="P5" s="603">
        <f t="shared" si="0"/>
        <v>39.984999999999999</v>
      </c>
      <c r="Q5" s="86"/>
      <c r="R5" s="379"/>
      <c r="S5" s="78" t="s">
        <v>310</v>
      </c>
      <c r="T5" s="86"/>
      <c r="U5" s="86"/>
      <c r="V5" s="86"/>
      <c r="W5" s="86"/>
      <c r="X5" s="86"/>
      <c r="Y5" s="86"/>
      <c r="Z5" s="86"/>
    </row>
    <row r="6" spans="1:26" x14ac:dyDescent="0.25">
      <c r="A6" s="705"/>
      <c r="B6" s="11" t="str">
        <f t="shared" si="1"/>
        <v>A5</v>
      </c>
      <c r="C6" s="375"/>
      <c r="D6" s="1">
        <v>5</v>
      </c>
      <c r="E6" s="400" t="s">
        <v>272</v>
      </c>
      <c r="F6" s="4" t="s">
        <v>364</v>
      </c>
      <c r="G6" s="361">
        <f>INDEX(Weekly!F:F,MATCH($F6,Weekly!$E:$E,0))</f>
        <v>-2.8620027195027227</v>
      </c>
      <c r="H6" s="389">
        <f>INDEX(Weekly!G:G,MATCH($F6,Weekly!$E:$E,0))</f>
        <v>37</v>
      </c>
      <c r="I6" s="153">
        <f>INDEX(Weekly!H:H,MATCH($F6,Weekly!$E:$E,0))</f>
        <v>-1.8888888888888893</v>
      </c>
      <c r="J6" s="394">
        <f>INDEX(Weekly!I:I,MATCH($F6,Weekly!$E:$E,0))</f>
        <v>2</v>
      </c>
      <c r="K6" s="596">
        <f>INDEX(Weekly!J:J,MATCH($F6,Weekly!$E:$E,0))</f>
        <v>22.659999999999997</v>
      </c>
      <c r="L6" s="367">
        <f>INDEX(Prizes!F:F,MATCH($B6,Prizes!A:A,0))</f>
        <v>23.625</v>
      </c>
      <c r="M6" s="370">
        <f>INDEX(Weekly!K:K,MATCH($F6,Weekly!$E:$E,0))</f>
        <v>5</v>
      </c>
      <c r="N6" s="367">
        <f>INDEX(Weekly!L:L,MATCH($F6,Weekly!$E:$E,0))</f>
        <v>0</v>
      </c>
      <c r="O6" s="367">
        <f>INDEX(Weekly!N:N,MATCH($F6,Weekly!$E:$E,0))</f>
        <v>28.625</v>
      </c>
      <c r="P6" s="603">
        <f t="shared" si="0"/>
        <v>51.284999999999997</v>
      </c>
      <c r="Q6" s="86"/>
      <c r="R6" s="380"/>
      <c r="S6" s="78" t="s">
        <v>311</v>
      </c>
      <c r="T6" s="86"/>
      <c r="U6" s="86"/>
      <c r="V6" s="86"/>
      <c r="W6" s="86"/>
      <c r="X6" s="86"/>
      <c r="Y6" s="86"/>
      <c r="Z6" s="86"/>
    </row>
    <row r="7" spans="1:26" x14ac:dyDescent="0.25">
      <c r="A7" s="705"/>
      <c r="B7" s="1" t="str">
        <f t="shared" si="1"/>
        <v>A6</v>
      </c>
      <c r="C7" s="374"/>
      <c r="D7" s="1">
        <v>6</v>
      </c>
      <c r="E7" s="400" t="s">
        <v>272</v>
      </c>
      <c r="F7" s="4" t="s">
        <v>342</v>
      </c>
      <c r="G7" s="361">
        <f>INDEX(Weekly!F:F,MATCH($F7,Weekly!$E:$E,0))</f>
        <v>-8.6288888888888842</v>
      </c>
      <c r="H7" s="389">
        <f>INDEX(Weekly!G:G,MATCH($F7,Weekly!$E:$E,0))</f>
        <v>25</v>
      </c>
      <c r="I7" s="153">
        <f>INDEX(Weekly!H:H,MATCH($F7,Weekly!$E:$E,0))</f>
        <v>-7</v>
      </c>
      <c r="J7" s="394">
        <f>INDEX(Weekly!I:I,MATCH($F7,Weekly!$E:$E,0))</f>
        <v>0</v>
      </c>
      <c r="K7" s="596">
        <f>INDEX(Weekly!J:J,MATCH($F7,Weekly!$E:$E,0))</f>
        <v>51.265000000000001</v>
      </c>
      <c r="L7" s="367">
        <f>INDEX(Prizes!F:F,MATCH($B7,Prizes!A:A,0))</f>
        <v>10.125</v>
      </c>
      <c r="M7" s="370">
        <f>INDEX(Weekly!K:K,MATCH($F7,Weekly!$E:$E,0))</f>
        <v>10</v>
      </c>
      <c r="N7" s="367">
        <f>INDEX(Weekly!L:L,MATCH($F7,Weekly!$E:$E,0))</f>
        <v>0</v>
      </c>
      <c r="O7" s="367">
        <f>INDEX(Weekly!N:N,MATCH($F7,Weekly!$E:$E,0))</f>
        <v>20.125</v>
      </c>
      <c r="P7" s="603">
        <f t="shared" si="0"/>
        <v>71.39</v>
      </c>
      <c r="Q7" s="86"/>
      <c r="R7" s="381"/>
      <c r="S7" s="78" t="s">
        <v>312</v>
      </c>
      <c r="T7" s="86"/>
      <c r="U7" s="86"/>
      <c r="V7" s="86"/>
      <c r="W7" s="86"/>
      <c r="X7" s="86"/>
      <c r="Y7" s="86"/>
      <c r="Z7" s="86"/>
    </row>
    <row r="8" spans="1:26" x14ac:dyDescent="0.25">
      <c r="A8" s="705"/>
      <c r="B8" s="1" t="str">
        <f t="shared" si="1"/>
        <v>A7</v>
      </c>
      <c r="C8" s="374"/>
      <c r="D8" s="1">
        <v>7</v>
      </c>
      <c r="E8" s="662" t="s">
        <v>272</v>
      </c>
      <c r="F8" s="663" t="s">
        <v>322</v>
      </c>
      <c r="G8" s="361">
        <f>INDEX(Weekly!F:F,MATCH($F8,Weekly!$E:$E,0))</f>
        <v>-11.598515928515933</v>
      </c>
      <c r="H8" s="665">
        <f>INDEX(Weekly!G:G,MATCH($F8,Weekly!$E:$E,0))</f>
        <v>30</v>
      </c>
      <c r="I8" s="667">
        <f>INDEX(Weekly!H:H,MATCH($F8,Weekly!$E:$E,0))</f>
        <v>-7</v>
      </c>
      <c r="J8" s="394">
        <f>INDEX(Weekly!I:I,MATCH($F8,Weekly!$E:$E,0))</f>
        <v>0</v>
      </c>
      <c r="K8" s="669">
        <f>INDEX(Weekly!J:J,MATCH($F8,Weekly!$E:$E,0))</f>
        <v>151.35499999999999</v>
      </c>
      <c r="L8" s="670">
        <f>INDEX(Prizes!F:F,MATCH($B8,Prizes!A:A,0))</f>
        <v>0</v>
      </c>
      <c r="M8" s="671">
        <f>INDEX(Weekly!K:K,MATCH($F8,Weekly!$E:$E,0))</f>
        <v>5</v>
      </c>
      <c r="N8" s="670">
        <f>INDEX(Weekly!L:L,MATCH($F8,Weekly!$E:$E,0))</f>
        <v>0</v>
      </c>
      <c r="O8" s="670">
        <f>INDEX(Weekly!N:N,MATCH($F8,Weekly!$E:$E,0))</f>
        <v>5</v>
      </c>
      <c r="P8" s="603">
        <f t="shared" si="0"/>
        <v>156.35499999999999</v>
      </c>
      <c r="Q8" s="86"/>
      <c r="R8" s="382"/>
      <c r="S8" s="78" t="s">
        <v>313</v>
      </c>
      <c r="T8" s="86"/>
      <c r="U8" s="86"/>
      <c r="V8" s="86"/>
      <c r="W8" s="86"/>
      <c r="X8" s="86"/>
      <c r="Y8" s="86"/>
      <c r="Z8" s="86"/>
    </row>
    <row r="9" spans="1:26" x14ac:dyDescent="0.25">
      <c r="A9" s="705"/>
      <c r="B9" s="1" t="str">
        <f t="shared" si="1"/>
        <v>A8</v>
      </c>
      <c r="C9" s="374"/>
      <c r="D9" s="1">
        <v>8</v>
      </c>
      <c r="E9" s="400" t="s">
        <v>272</v>
      </c>
      <c r="F9" s="4" t="s">
        <v>321</v>
      </c>
      <c r="G9" s="361">
        <f>INDEX(Weekly!F:F,MATCH($F9,Weekly!$E:$E,0))</f>
        <v>-23.636212121212111</v>
      </c>
      <c r="H9" s="389">
        <f>INDEX(Weekly!G:G,MATCH($F9,Weekly!$E:$E,0))</f>
        <v>29</v>
      </c>
      <c r="I9" s="153">
        <f>INDEX(Weekly!H:H,MATCH($F9,Weekly!$E:$E,0))</f>
        <v>-7</v>
      </c>
      <c r="J9" s="394">
        <f>INDEX(Weekly!I:I,MATCH($F9,Weekly!$E:$E,0))</f>
        <v>0</v>
      </c>
      <c r="K9" s="596">
        <f>INDEX(Weekly!J:J,MATCH($F9,Weekly!$E:$E,0))</f>
        <v>11.18</v>
      </c>
      <c r="L9" s="367">
        <f>INDEX(Prizes!F:F,MATCH($B9,Prizes!A:A,0))</f>
        <v>0</v>
      </c>
      <c r="M9" s="370">
        <f>INDEX(Weekly!K:K,MATCH($F9,Weekly!$E:$E,0))</f>
        <v>0</v>
      </c>
      <c r="N9" s="367">
        <f>INDEX(Weekly!L:L,MATCH($F9,Weekly!$E:$E,0))</f>
        <v>0</v>
      </c>
      <c r="O9" s="367">
        <f>INDEX(Weekly!N:N,MATCH($F9,Weekly!$E:$E,0))</f>
        <v>0</v>
      </c>
      <c r="P9" s="603">
        <f t="shared" si="0"/>
        <v>11.18</v>
      </c>
      <c r="Q9" s="86"/>
      <c r="R9" s="383"/>
      <c r="S9" s="78" t="s">
        <v>314</v>
      </c>
      <c r="T9" s="86"/>
      <c r="U9" s="86"/>
      <c r="V9" s="86"/>
      <c r="W9" s="86"/>
      <c r="X9" s="86"/>
      <c r="Y9" s="86"/>
      <c r="Z9" s="86"/>
    </row>
    <row r="10" spans="1:26" x14ac:dyDescent="0.25">
      <c r="A10" s="705"/>
      <c r="B10" s="1" t="str">
        <f t="shared" si="1"/>
        <v>A9</v>
      </c>
      <c r="C10" s="703" t="s">
        <v>306</v>
      </c>
      <c r="D10" s="1">
        <v>9</v>
      </c>
      <c r="E10" s="400" t="s">
        <v>272</v>
      </c>
      <c r="F10" s="4" t="s">
        <v>357</v>
      </c>
      <c r="G10" s="361">
        <f>INDEX(Weekly!F:F,MATCH($F10,Weekly!$E:$E,0))</f>
        <v>-23.718316128316122</v>
      </c>
      <c r="H10" s="389">
        <f>INDEX(Weekly!G:G,MATCH($F10,Weekly!$E:$E,0))</f>
        <v>34</v>
      </c>
      <c r="I10" s="153">
        <f>INDEX(Weekly!H:H,MATCH($F10,Weekly!$E:$E,0))</f>
        <v>-4.7</v>
      </c>
      <c r="J10" s="394">
        <f>INDEX(Weekly!I:I,MATCH($F10,Weekly!$E:$E,0))</f>
        <v>1</v>
      </c>
      <c r="K10" s="596">
        <f>INDEX(Weekly!J:J,MATCH($F10,Weekly!$E:$E,0))</f>
        <v>33.375</v>
      </c>
      <c r="L10" s="367">
        <f>INDEX(Prizes!F:F,MATCH($B10,Prizes!A:A,0))</f>
        <v>0</v>
      </c>
      <c r="M10" s="370">
        <f>INDEX(Weekly!K:K,MATCH($F10,Weekly!$E:$E,0))</f>
        <v>5</v>
      </c>
      <c r="N10" s="367">
        <f>INDEX(Weekly!L:L,MATCH($F10,Weekly!$E:$E,0))</f>
        <v>0</v>
      </c>
      <c r="O10" s="367">
        <f>INDEX(Weekly!N:N,MATCH($F10,Weekly!$E:$E,0))</f>
        <v>5</v>
      </c>
      <c r="P10" s="603">
        <f t="shared" si="0"/>
        <v>38.375</v>
      </c>
      <c r="Q10" s="86"/>
      <c r="R10" s="384"/>
      <c r="S10" s="78" t="s">
        <v>315</v>
      </c>
      <c r="T10" s="86"/>
      <c r="U10" s="86"/>
      <c r="V10" s="86"/>
      <c r="W10" s="86"/>
      <c r="X10" s="86"/>
      <c r="Y10" s="86"/>
      <c r="Z10" s="86"/>
    </row>
    <row r="11" spans="1:26" x14ac:dyDescent="0.25">
      <c r="A11" s="705"/>
      <c r="B11" s="1" t="str">
        <f t="shared" si="1"/>
        <v>A10</v>
      </c>
      <c r="C11" s="703" t="s">
        <v>306</v>
      </c>
      <c r="D11" s="11">
        <v>10</v>
      </c>
      <c r="E11" s="400" t="s">
        <v>272</v>
      </c>
      <c r="F11" s="4" t="s">
        <v>325</v>
      </c>
      <c r="G11" s="361">
        <f>INDEX(Weekly!F:F,MATCH($F11,Weekly!$E:$E,0))</f>
        <v>-24.641997890997892</v>
      </c>
      <c r="H11" s="389">
        <f>INDEX(Weekly!G:G,MATCH($F11,Weekly!$E:$E,0))</f>
        <v>30</v>
      </c>
      <c r="I11" s="153">
        <f>INDEX(Weekly!H:H,MATCH($F11,Weekly!$E:$E,0))</f>
        <v>-7</v>
      </c>
      <c r="J11" s="394">
        <f>INDEX(Weekly!I:I,MATCH($F11,Weekly!$E:$E,0))</f>
        <v>0</v>
      </c>
      <c r="K11" s="596">
        <f>INDEX(Weekly!J:J,MATCH($F11,Weekly!$E:$E,0))</f>
        <v>44.844999999999999</v>
      </c>
      <c r="L11" s="367">
        <f>INDEX(Prizes!F:F,MATCH($B11,Prizes!A:A,0))</f>
        <v>0</v>
      </c>
      <c r="M11" s="370">
        <f>INDEX(Weekly!K:K,MATCH($F11,Weekly!$E:$E,0))</f>
        <v>10</v>
      </c>
      <c r="N11" s="367">
        <f>INDEX(Weekly!L:L,MATCH($F11,Weekly!$E:$E,0))</f>
        <v>0</v>
      </c>
      <c r="O11" s="367">
        <f>INDEX(Weekly!N:N,MATCH($F11,Weekly!$E:$E,0))</f>
        <v>10</v>
      </c>
      <c r="P11" s="603">
        <f t="shared" si="0"/>
        <v>54.844999999999999</v>
      </c>
      <c r="Q11" s="86"/>
      <c r="R11" s="86"/>
      <c r="S11" s="86"/>
      <c r="T11" s="86"/>
      <c r="U11" s="86"/>
      <c r="V11" s="86"/>
      <c r="W11" s="86"/>
      <c r="X11" s="86"/>
      <c r="Y11" s="86"/>
      <c r="Z11" s="86"/>
    </row>
    <row r="12" spans="1:26" x14ac:dyDescent="0.25">
      <c r="A12" s="705"/>
      <c r="B12" s="1" t="str">
        <f t="shared" si="1"/>
        <v>A11</v>
      </c>
      <c r="C12" s="477" t="s">
        <v>307</v>
      </c>
      <c r="D12" s="478">
        <v>11</v>
      </c>
      <c r="E12" s="469" t="s">
        <v>272</v>
      </c>
      <c r="F12" s="470" t="s">
        <v>336</v>
      </c>
      <c r="G12" s="471">
        <f>INDEX(Weekly!F:F,MATCH($F12,Weekly!$E:$E,0))</f>
        <v>-37.83735159285159</v>
      </c>
      <c r="H12" s="472">
        <f>INDEX(Weekly!G:G,MATCH($F12,Weekly!$E:$E,0))</f>
        <v>33</v>
      </c>
      <c r="I12" s="473">
        <f>INDEX(Weekly!H:H,MATCH($F12,Weekly!$E:$E,0))</f>
        <v>0.52500000000000036</v>
      </c>
      <c r="J12" s="474">
        <f>INDEX(Weekly!I:I,MATCH($F12,Weekly!$E:$E,0))</f>
        <v>2</v>
      </c>
      <c r="K12" s="597">
        <f>INDEX(Weekly!J:J,MATCH($F12,Weekly!$E:$E,0))</f>
        <v>5.4999999999999716E-2</v>
      </c>
      <c r="L12" s="475">
        <f>INDEX(Prizes!F:F,MATCH($B12,Prizes!A:A,0))</f>
        <v>0</v>
      </c>
      <c r="M12" s="476">
        <f>INDEX(Weekly!K:K,MATCH($F12,Weekly!$E:$E,0))</f>
        <v>5</v>
      </c>
      <c r="N12" s="475">
        <f>INDEX(Weekly!L:L,MATCH($F12,Weekly!$E:$E,0))</f>
        <v>0</v>
      </c>
      <c r="O12" s="475">
        <f>INDEX(Weekly!N:N,MATCH($F12,Weekly!$E:$E,0))</f>
        <v>5</v>
      </c>
      <c r="P12" s="604">
        <f t="shared" si="0"/>
        <v>5.0549999999999997</v>
      </c>
      <c r="Q12" s="86"/>
      <c r="R12" s="86"/>
      <c r="S12" s="86"/>
      <c r="T12" s="86"/>
      <c r="U12" s="86"/>
      <c r="V12" s="86"/>
      <c r="W12" s="86"/>
      <c r="X12" s="86"/>
      <c r="Y12" s="86"/>
      <c r="Z12" s="86"/>
    </row>
    <row r="13" spans="1:26" x14ac:dyDescent="0.25">
      <c r="A13" s="705"/>
      <c r="B13" s="11" t="str">
        <f t="shared" si="1"/>
        <v>A12</v>
      </c>
      <c r="C13" s="359" t="s">
        <v>307</v>
      </c>
      <c r="D13" s="1">
        <v>12</v>
      </c>
      <c r="E13" s="662" t="s">
        <v>272</v>
      </c>
      <c r="F13" s="663" t="s">
        <v>324</v>
      </c>
      <c r="G13" s="361">
        <f>INDEX(Weekly!F:F,MATCH($F13,Weekly!$E:$E,0))</f>
        <v>-38.088096237096238</v>
      </c>
      <c r="H13" s="665">
        <f>INDEX(Weekly!G:G,MATCH($F13,Weekly!$E:$E,0))</f>
        <v>28</v>
      </c>
      <c r="I13" s="667">
        <f>INDEX(Weekly!H:H,MATCH($F13,Weekly!$E:$E,0))</f>
        <v>1.3599999999999994</v>
      </c>
      <c r="J13" s="394">
        <f>INDEX(Weekly!I:I,MATCH($F13,Weekly!$E:$E,0))</f>
        <v>2</v>
      </c>
      <c r="K13" s="669">
        <f>INDEX(Weekly!J:J,MATCH($F13,Weekly!$E:$E,0))</f>
        <v>13.740000000000002</v>
      </c>
      <c r="L13" s="670">
        <f>INDEX(Prizes!F:F,MATCH($B13,Prizes!A:A,0))</f>
        <v>0</v>
      </c>
      <c r="M13" s="671">
        <f>INDEX(Weekly!K:K,MATCH($F13,Weekly!$E:$E,0))</f>
        <v>0</v>
      </c>
      <c r="N13" s="670">
        <f>INDEX(Weekly!L:L,MATCH($F13,Weekly!$E:$E,0))</f>
        <v>0</v>
      </c>
      <c r="O13" s="670">
        <f>INDEX(Weekly!N:N,MATCH($F13,Weekly!$E:$E,0))</f>
        <v>0</v>
      </c>
      <c r="P13" s="603">
        <f t="shared" si="0"/>
        <v>13.740000000000002</v>
      </c>
      <c r="Q13" s="86"/>
      <c r="R13" s="86"/>
      <c r="S13" s="86"/>
      <c r="T13" s="86"/>
      <c r="U13" s="86"/>
      <c r="V13" s="86"/>
      <c r="W13" s="86"/>
      <c r="X13" s="86"/>
      <c r="Y13" s="86"/>
      <c r="Z13" s="86"/>
    </row>
    <row r="14" spans="1:26" x14ac:dyDescent="0.25">
      <c r="A14" s="705"/>
      <c r="B14" s="1" t="str">
        <f t="shared" si="1"/>
        <v>A13</v>
      </c>
      <c r="C14" s="358" t="s">
        <v>307</v>
      </c>
      <c r="D14" s="1">
        <v>13</v>
      </c>
      <c r="E14" s="400" t="s">
        <v>272</v>
      </c>
      <c r="F14" s="4" t="s">
        <v>327</v>
      </c>
      <c r="G14" s="361">
        <f>INDEX(Weekly!F:F,MATCH($F14,Weekly!$E:$E,0))</f>
        <v>-57.225776445776447</v>
      </c>
      <c r="H14" s="389">
        <f>INDEX(Weekly!G:G,MATCH($F14,Weekly!$E:$E,0))</f>
        <v>23</v>
      </c>
      <c r="I14" s="153">
        <f>INDEX(Weekly!H:H,MATCH($F14,Weekly!$E:$E,0))</f>
        <v>-2.5999999999999996</v>
      </c>
      <c r="J14" s="394">
        <f>INDEX(Weekly!I:I,MATCH($F14,Weekly!$E:$E,0))</f>
        <v>1</v>
      </c>
      <c r="K14" s="596">
        <f>INDEX(Weekly!J:J,MATCH($F14,Weekly!$E:$E,0))</f>
        <v>-20</v>
      </c>
      <c r="L14" s="367">
        <f>INDEX(Prizes!F:F,MATCH($B14,Prizes!A:A,0))</f>
        <v>0</v>
      </c>
      <c r="M14" s="370">
        <f>INDEX(Weekly!K:K,MATCH($F14,Weekly!$E:$E,0))</f>
        <v>0</v>
      </c>
      <c r="N14" s="367">
        <f>INDEX(Weekly!L:L,MATCH($F14,Weekly!$E:$E,0))</f>
        <v>0</v>
      </c>
      <c r="O14" s="367">
        <f>INDEX(Weekly!N:N,MATCH($F14,Weekly!$E:$E,0))</f>
        <v>0</v>
      </c>
      <c r="P14" s="603">
        <f t="shared" si="0"/>
        <v>-20</v>
      </c>
      <c r="Q14" s="86"/>
      <c r="R14" s="86"/>
      <c r="S14" s="86"/>
      <c r="T14" s="86"/>
      <c r="U14" s="86"/>
      <c r="V14" s="86"/>
      <c r="W14" s="86"/>
      <c r="X14" s="86"/>
      <c r="Y14" s="86"/>
      <c r="Z14" s="86"/>
    </row>
    <row r="15" spans="1:26" x14ac:dyDescent="0.25">
      <c r="A15" s="705"/>
      <c r="B15" s="1" t="str">
        <f t="shared" si="1"/>
        <v>A14</v>
      </c>
      <c r="C15" s="358" t="s">
        <v>307</v>
      </c>
      <c r="D15" s="1">
        <v>14</v>
      </c>
      <c r="E15" s="400" t="s">
        <v>272</v>
      </c>
      <c r="F15" s="4" t="s">
        <v>330</v>
      </c>
      <c r="G15" s="361">
        <f>INDEX(Weekly!F:F,MATCH($F15,Weekly!$E:$E,0))</f>
        <v>-68.67</v>
      </c>
      <c r="H15" s="389">
        <f>INDEX(Weekly!G:G,MATCH($F15,Weekly!$E:$E,0))</f>
        <v>21</v>
      </c>
      <c r="I15" s="153">
        <f>INDEX(Weekly!H:H,MATCH($F15,Weekly!$E:$E,0))</f>
        <v>-3.5</v>
      </c>
      <c r="J15" s="394">
        <f>INDEX(Weekly!I:I,MATCH($F15,Weekly!$E:$E,0))</f>
        <v>1</v>
      </c>
      <c r="K15" s="596">
        <f>INDEX(Weekly!J:J,MATCH($F15,Weekly!$E:$E,0))</f>
        <v>-10.93</v>
      </c>
      <c r="L15" s="367">
        <f>INDEX(Prizes!F:F,MATCH($B15,Prizes!A:A,0))</f>
        <v>0</v>
      </c>
      <c r="M15" s="370">
        <f>INDEX(Weekly!K:K,MATCH($F15,Weekly!$E:$E,0))</f>
        <v>0</v>
      </c>
      <c r="N15" s="367">
        <f>INDEX(Weekly!L:L,MATCH($F15,Weekly!$E:$E,0))</f>
        <v>0</v>
      </c>
      <c r="O15" s="367">
        <f>INDEX(Weekly!N:N,MATCH($F15,Weekly!$E:$E,0))</f>
        <v>0</v>
      </c>
      <c r="P15" s="603">
        <f t="shared" si="0"/>
        <v>-10.93</v>
      </c>
      <c r="Q15" s="86"/>
      <c r="R15" s="86"/>
      <c r="S15" s="86"/>
      <c r="T15" s="86"/>
      <c r="U15" s="86"/>
      <c r="V15" s="86"/>
      <c r="W15" s="86"/>
      <c r="X15" s="86"/>
      <c r="Y15" s="86"/>
      <c r="Z15" s="86"/>
    </row>
    <row r="16" spans="1:26" x14ac:dyDescent="0.25">
      <c r="A16" s="705"/>
      <c r="B16" s="1" t="str">
        <f t="shared" si="1"/>
        <v>A15</v>
      </c>
      <c r="C16" s="358" t="s">
        <v>307</v>
      </c>
      <c r="D16" s="11">
        <v>15</v>
      </c>
      <c r="E16" s="400" t="s">
        <v>272</v>
      </c>
      <c r="F16" s="15" t="s">
        <v>332</v>
      </c>
      <c r="G16" s="362">
        <f>INDEX(Weekly!F:F,MATCH($F16,Weekly!$E:$E,0))</f>
        <v>-70.111893939393951</v>
      </c>
      <c r="H16" s="390">
        <f>INDEX(Weekly!G:G,MATCH($F16,Weekly!$E:$E,0))</f>
        <v>23</v>
      </c>
      <c r="I16" s="154">
        <f>INDEX(Weekly!H:H,MATCH($F16,Weekly!$E:$E,0))</f>
        <v>-4.625</v>
      </c>
      <c r="J16" s="395">
        <f>INDEX(Weekly!I:I,MATCH($F16,Weekly!$E:$E,0))</f>
        <v>1</v>
      </c>
      <c r="K16" s="596">
        <f>INDEX(Weekly!J:J,MATCH($F16,Weekly!$E:$E,0))</f>
        <v>206.965</v>
      </c>
      <c r="L16" s="370">
        <f>INDEX(Prizes!F:F,MATCH($B16,Prizes!A:A,0))</f>
        <v>0</v>
      </c>
      <c r="M16" s="370">
        <f>INDEX(Weekly!K:K,MATCH($F16,Weekly!$E:$E,0))</f>
        <v>0</v>
      </c>
      <c r="N16" s="370">
        <f>INDEX(Weekly!L:L,MATCH($F16,Weekly!$E:$E,0))</f>
        <v>0</v>
      </c>
      <c r="O16" s="370">
        <f>INDEX(Weekly!N:N,MATCH($F16,Weekly!$E:$E,0))</f>
        <v>0</v>
      </c>
      <c r="P16" s="603">
        <f t="shared" si="0"/>
        <v>206.965</v>
      </c>
      <c r="Q16" s="86"/>
      <c r="R16" s="86"/>
      <c r="S16" s="86"/>
      <c r="T16" s="86"/>
      <c r="U16" s="86"/>
      <c r="V16" s="86"/>
      <c r="W16" s="86"/>
      <c r="X16" s="86"/>
      <c r="Y16" s="86"/>
      <c r="Z16" s="86"/>
    </row>
    <row r="17" spans="1:26" ht="13.8" thickBot="1" x14ac:dyDescent="0.3">
      <c r="A17" s="705"/>
      <c r="B17" s="1" t="str">
        <f t="shared" si="1"/>
        <v>A16</v>
      </c>
      <c r="C17" s="360" t="s">
        <v>307</v>
      </c>
      <c r="D17" s="354">
        <v>16</v>
      </c>
      <c r="E17" s="401" t="s">
        <v>272</v>
      </c>
      <c r="F17" s="355" t="s">
        <v>344</v>
      </c>
      <c r="G17" s="363">
        <f>INDEX(Weekly!F:F,MATCH($F17,Weekly!$E:$E,0))</f>
        <v>-97.927499999999981</v>
      </c>
      <c r="H17" s="391">
        <f>INDEX(Weekly!G:G,MATCH($F17,Weekly!$E:$E,0))</f>
        <v>11</v>
      </c>
      <c r="I17" s="181">
        <f>INDEX(Weekly!H:H,MATCH($F17,Weekly!$E:$E,0))</f>
        <v>-7</v>
      </c>
      <c r="J17" s="396">
        <f>INDEX(Weekly!I:I,MATCH($F17,Weekly!$E:$E,0))</f>
        <v>0</v>
      </c>
      <c r="K17" s="598">
        <f>INDEX(Weekly!J:J,MATCH($F17,Weekly!$E:$E,0))</f>
        <v>147.98500000000001</v>
      </c>
      <c r="L17" s="371">
        <f>INDEX(Prizes!F:F,MATCH($B17,Prizes!A:A,0))</f>
        <v>0</v>
      </c>
      <c r="M17" s="372">
        <f>INDEX(Weekly!K:K,MATCH($F17,Weekly!$E:$E,0))</f>
        <v>5</v>
      </c>
      <c r="N17" s="371">
        <f>INDEX(Weekly!L:L,MATCH($F17,Weekly!$E:$E,0))</f>
        <v>0</v>
      </c>
      <c r="O17" s="371">
        <f>INDEX(Weekly!N:N,MATCH($F17,Weekly!$E:$E,0))</f>
        <v>5</v>
      </c>
      <c r="P17" s="605">
        <f t="shared" si="0"/>
        <v>152.98500000000001</v>
      </c>
      <c r="Q17" s="86"/>
      <c r="R17" s="86"/>
      <c r="S17" s="86"/>
      <c r="T17" s="86"/>
      <c r="U17" s="86"/>
      <c r="V17" s="86"/>
      <c r="W17" s="86"/>
      <c r="X17" s="86"/>
      <c r="Y17" s="86"/>
      <c r="Z17" s="86"/>
    </row>
    <row r="18" spans="1:26" ht="12.75" customHeight="1" x14ac:dyDescent="0.25">
      <c r="A18" s="704" t="s">
        <v>265</v>
      </c>
      <c r="B18" s="1" t="str">
        <f t="shared" si="1"/>
        <v>B1</v>
      </c>
      <c r="C18" s="357" t="s">
        <v>308</v>
      </c>
      <c r="D18" s="11">
        <v>1</v>
      </c>
      <c r="E18" s="400" t="s">
        <v>273</v>
      </c>
      <c r="F18" s="4" t="s">
        <v>343</v>
      </c>
      <c r="G18" s="361">
        <f>INDEX(Weekly!F:F,MATCH($F18,Weekly!$E:$E,0))</f>
        <v>104.605065759404</v>
      </c>
      <c r="H18" s="389">
        <f>INDEX(Weekly!G:G,MATCH($F18,Weekly!$E:$E,0))</f>
        <v>22</v>
      </c>
      <c r="I18" s="153">
        <f>INDEX(Weekly!H:H,MATCH($F18,Weekly!$E:$E,0))</f>
        <v>-1.8888888888888893</v>
      </c>
      <c r="J18" s="394">
        <f>INDEX(Weekly!I:I,MATCH($F18,Weekly!$E:$E,0))</f>
        <v>2</v>
      </c>
      <c r="K18" s="596">
        <f>INDEX(Weekly!J:J,MATCH($F18,Weekly!$E:$E,0))</f>
        <v>63.75</v>
      </c>
      <c r="L18" s="367">
        <f>INDEX(Prizes!F:F,MATCH($B18,Prizes!A:A,0))</f>
        <v>78.75</v>
      </c>
      <c r="M18" s="370">
        <f>INDEX(Weekly!K:K,MATCH($F18,Weekly!$E:$E,0))</f>
        <v>25</v>
      </c>
      <c r="N18" s="367">
        <f>INDEX(Weekly!L:L,MATCH($F18,Weekly!$E:$E,0))</f>
        <v>0</v>
      </c>
      <c r="O18" s="367">
        <f>INDEX(Weekly!N:N,MATCH($F18,Weekly!$E:$E,0))</f>
        <v>103.75</v>
      </c>
      <c r="P18" s="603">
        <f t="shared" si="0"/>
        <v>167.5</v>
      </c>
      <c r="Q18" s="86"/>
      <c r="R18" s="86"/>
      <c r="S18" s="86"/>
      <c r="T18" s="86"/>
      <c r="U18" s="86"/>
      <c r="V18" s="86"/>
      <c r="W18" s="86"/>
      <c r="X18" s="86"/>
      <c r="Y18" s="86"/>
      <c r="Z18" s="86"/>
    </row>
    <row r="19" spans="1:26" x14ac:dyDescent="0.25">
      <c r="A19" s="705"/>
      <c r="B19" s="1" t="str">
        <f t="shared" si="1"/>
        <v>B2</v>
      </c>
      <c r="C19" s="356" t="s">
        <v>308</v>
      </c>
      <c r="D19" s="1">
        <v>2</v>
      </c>
      <c r="E19" s="662" t="s">
        <v>273</v>
      </c>
      <c r="F19" s="663" t="s">
        <v>350</v>
      </c>
      <c r="G19" s="361">
        <f>INDEX(Weekly!F:F,MATCH($F19,Weekly!$E:$E,0))</f>
        <v>86.818457431457446</v>
      </c>
      <c r="H19" s="665">
        <f>INDEX(Weekly!G:G,MATCH($F19,Weekly!$E:$E,0))</f>
        <v>36</v>
      </c>
      <c r="I19" s="667">
        <f>INDEX(Weekly!H:H,MATCH($F19,Weekly!$E:$E,0))</f>
        <v>104.75200000000001</v>
      </c>
      <c r="J19" s="394">
        <f>INDEX(Weekly!I:I,MATCH($F19,Weekly!$E:$E,0))</f>
        <v>3</v>
      </c>
      <c r="K19" s="669">
        <f>INDEX(Weekly!J:J,MATCH($F19,Weekly!$E:$E,0))</f>
        <v>-7.3800000000000026</v>
      </c>
      <c r="L19" s="670">
        <f>INDEX(Prizes!F:F,MATCH($B19,Prizes!A:A,0))</f>
        <v>56.25</v>
      </c>
      <c r="M19" s="671">
        <f>INDEX(Weekly!K:K,MATCH($F19,Weekly!$E:$E,0))</f>
        <v>10</v>
      </c>
      <c r="N19" s="670">
        <f>INDEX(Weekly!L:L,MATCH($F19,Weekly!$E:$E,0))</f>
        <v>0</v>
      </c>
      <c r="O19" s="670">
        <f>INDEX(Weekly!N:N,MATCH($F19,Weekly!$E:$E,0))</f>
        <v>66.25</v>
      </c>
      <c r="P19" s="603">
        <f t="shared" si="0"/>
        <v>58.87</v>
      </c>
      <c r="Q19" s="86"/>
      <c r="R19" s="86"/>
      <c r="S19" s="86"/>
      <c r="T19" s="86"/>
      <c r="U19" s="86"/>
      <c r="V19" s="86"/>
      <c r="W19" s="86"/>
      <c r="X19" s="86"/>
      <c r="Y19" s="86"/>
      <c r="Z19" s="86"/>
    </row>
    <row r="20" spans="1:26" x14ac:dyDescent="0.25">
      <c r="A20" s="705"/>
      <c r="B20" s="1" t="str">
        <f t="shared" si="1"/>
        <v>B3</v>
      </c>
      <c r="C20" s="356" t="s">
        <v>308</v>
      </c>
      <c r="D20" s="1">
        <v>3</v>
      </c>
      <c r="E20" s="400" t="s">
        <v>273</v>
      </c>
      <c r="F20" s="4" t="s">
        <v>338</v>
      </c>
      <c r="G20" s="361">
        <f>INDEX(Weekly!F:F,MATCH($F20,Weekly!$E:$E,0))</f>
        <v>34.242795815295821</v>
      </c>
      <c r="H20" s="389">
        <f>INDEX(Weekly!G:G,MATCH($F20,Weekly!$E:$E,0))</f>
        <v>32</v>
      </c>
      <c r="I20" s="153">
        <f>INDEX(Weekly!H:H,MATCH($F20,Weekly!$E:$E,0))</f>
        <v>2.2300000000000004</v>
      </c>
      <c r="J20" s="394">
        <f>INDEX(Weekly!I:I,MATCH($F20,Weekly!$E:$E,0))</f>
        <v>2</v>
      </c>
      <c r="K20" s="596">
        <f>INDEX(Weekly!J:J,MATCH($F20,Weekly!$E:$E,0))</f>
        <v>-31.355</v>
      </c>
      <c r="L20" s="367">
        <f>INDEX(Prizes!F:F,MATCH($B20,Prizes!A:A,0))</f>
        <v>40.5</v>
      </c>
      <c r="M20" s="370">
        <f>INDEX(Weekly!K:K,MATCH($F20,Weekly!$E:$E,0))</f>
        <v>10</v>
      </c>
      <c r="N20" s="367">
        <f>INDEX(Weekly!L:L,MATCH($F20,Weekly!$E:$E,0))</f>
        <v>5</v>
      </c>
      <c r="O20" s="367">
        <f>INDEX(Weekly!N:N,MATCH($F20,Weekly!$E:$E,0))</f>
        <v>55.5</v>
      </c>
      <c r="P20" s="603">
        <f t="shared" si="0"/>
        <v>24.145</v>
      </c>
      <c r="Q20" s="86"/>
      <c r="R20" s="86"/>
      <c r="S20" s="86"/>
      <c r="T20" s="86"/>
      <c r="U20" s="86"/>
      <c r="V20" s="86"/>
      <c r="W20" s="86"/>
      <c r="X20" s="86"/>
      <c r="Y20" s="86"/>
      <c r="Z20" s="86"/>
    </row>
    <row r="21" spans="1:26" x14ac:dyDescent="0.25">
      <c r="A21" s="705"/>
      <c r="B21" s="1" t="str">
        <f t="shared" si="1"/>
        <v>B4</v>
      </c>
      <c r="C21" s="356" t="s">
        <v>308</v>
      </c>
      <c r="D21" s="1">
        <v>4</v>
      </c>
      <c r="E21" s="400" t="s">
        <v>273</v>
      </c>
      <c r="F21" s="4" t="s">
        <v>390</v>
      </c>
      <c r="G21" s="361">
        <f>INDEX(Weekly!F:F,MATCH($F21,Weekly!$E:$E,0))</f>
        <v>26.771365281183467</v>
      </c>
      <c r="H21" s="389">
        <f>INDEX(Weekly!G:G,MATCH($F21,Weekly!$E:$E,0))</f>
        <v>31</v>
      </c>
      <c r="I21" s="153">
        <f>INDEX(Weekly!H:H,MATCH($F21,Weekly!$E:$E,0))</f>
        <v>19</v>
      </c>
      <c r="J21" s="394">
        <f>INDEX(Weekly!I:I,MATCH($F21,Weekly!$E:$E,0))</f>
        <v>3</v>
      </c>
      <c r="K21" s="596">
        <f>INDEX(Weekly!J:J,MATCH($F21,Weekly!$E:$E,0))</f>
        <v>-10.309999999999999</v>
      </c>
      <c r="L21" s="367">
        <f>INDEX(Prizes!F:F,MATCH($B21,Prizes!A:A,0))</f>
        <v>27</v>
      </c>
      <c r="M21" s="370">
        <f>INDEX(Weekly!K:K,MATCH($F21,Weekly!$E:$E,0))</f>
        <v>7.5</v>
      </c>
      <c r="N21" s="367">
        <f>INDEX(Weekly!L:L,MATCH($F21,Weekly!$E:$E,0))</f>
        <v>0</v>
      </c>
      <c r="O21" s="367">
        <f>INDEX(Weekly!N:N,MATCH($F21,Weekly!$E:$E,0))</f>
        <v>34.5</v>
      </c>
      <c r="P21" s="603">
        <f t="shared" si="0"/>
        <v>24.19</v>
      </c>
      <c r="Q21" s="86"/>
      <c r="R21" s="86"/>
      <c r="S21" s="86"/>
      <c r="T21" s="86"/>
      <c r="U21" s="86"/>
      <c r="V21" s="86"/>
      <c r="W21" s="86"/>
      <c r="X21" s="86"/>
      <c r="Y21" s="86"/>
      <c r="Z21" s="86"/>
    </row>
    <row r="22" spans="1:26" x14ac:dyDescent="0.25">
      <c r="A22" s="705"/>
      <c r="B22" s="1" t="str">
        <f t="shared" si="1"/>
        <v>B5</v>
      </c>
      <c r="C22" s="356" t="s">
        <v>308</v>
      </c>
      <c r="D22" s="1">
        <v>5</v>
      </c>
      <c r="E22" s="662" t="s">
        <v>273</v>
      </c>
      <c r="F22" s="663" t="s">
        <v>356</v>
      </c>
      <c r="G22" s="361">
        <f>INDEX(Weekly!F:F,MATCH($F22,Weekly!$E:$E,0))</f>
        <v>13.540977272727266</v>
      </c>
      <c r="H22" s="665">
        <f>INDEX(Weekly!G:G,MATCH($F22,Weekly!$E:$E,0))</f>
        <v>25</v>
      </c>
      <c r="I22" s="667">
        <f>INDEX(Weekly!H:H,MATCH($F22,Weekly!$E:$E,0))</f>
        <v>-4.8499999999999996</v>
      </c>
      <c r="J22" s="394">
        <f>INDEX(Weekly!I:I,MATCH($F22,Weekly!$E:$E,0))</f>
        <v>1</v>
      </c>
      <c r="K22" s="669">
        <f>INDEX(Weekly!J:J,MATCH($F22,Weekly!$E:$E,0))</f>
        <v>-20</v>
      </c>
      <c r="L22" s="670">
        <f>INDEX(Prizes!F:F,MATCH($B22,Prizes!A:A,0))</f>
        <v>15.75</v>
      </c>
      <c r="M22" s="671">
        <f>INDEX(Weekly!K:K,MATCH($F22,Weekly!$E:$E,0))</f>
        <v>15</v>
      </c>
      <c r="N22" s="670">
        <f>INDEX(Weekly!L:L,MATCH($F22,Weekly!$E:$E,0))</f>
        <v>0</v>
      </c>
      <c r="O22" s="670">
        <f>INDEX(Weekly!N:N,MATCH($F22,Weekly!$E:$E,0))</f>
        <v>30.75</v>
      </c>
      <c r="P22" s="603">
        <f t="shared" si="0"/>
        <v>10.75</v>
      </c>
      <c r="Q22" s="86"/>
      <c r="R22" s="86"/>
      <c r="S22" s="86"/>
      <c r="T22" s="86"/>
      <c r="U22" s="86"/>
      <c r="V22" s="86"/>
      <c r="W22" s="86"/>
      <c r="X22" s="86"/>
      <c r="Y22" s="86"/>
      <c r="Z22" s="86"/>
    </row>
    <row r="23" spans="1:26" x14ac:dyDescent="0.25">
      <c r="A23" s="705"/>
      <c r="B23" s="11" t="str">
        <f t="shared" si="1"/>
        <v>B6</v>
      </c>
      <c r="C23" s="460" t="s">
        <v>308</v>
      </c>
      <c r="D23" s="480">
        <v>6</v>
      </c>
      <c r="E23" s="461" t="s">
        <v>273</v>
      </c>
      <c r="F23" s="462" t="s">
        <v>348</v>
      </c>
      <c r="G23" s="463">
        <f>INDEX(Weekly!F:F,MATCH($F23,Weekly!$E:$E,0))</f>
        <v>-6.5839702291172948</v>
      </c>
      <c r="H23" s="464">
        <f>INDEX(Weekly!G:G,MATCH($F23,Weekly!$E:$E,0))</f>
        <v>34</v>
      </c>
      <c r="I23" s="465">
        <f>INDEX(Weekly!H:H,MATCH($F23,Weekly!$E:$E,0))</f>
        <v>-5.666666666666667</v>
      </c>
      <c r="J23" s="466">
        <f>INDEX(Weekly!I:I,MATCH($F23,Weekly!$E:$E,0))</f>
        <v>1</v>
      </c>
      <c r="K23" s="599">
        <f>INDEX(Weekly!J:J,MATCH($F23,Weekly!$E:$E,0))</f>
        <v>42.125</v>
      </c>
      <c r="L23" s="467">
        <f>INDEX(Prizes!F:F,MATCH($B23,Prizes!A:A,0))</f>
        <v>6.75</v>
      </c>
      <c r="M23" s="468">
        <f>INDEX(Weekly!K:K,MATCH($F23,Weekly!$E:$E,0))</f>
        <v>10</v>
      </c>
      <c r="N23" s="467">
        <f>INDEX(Weekly!L:L,MATCH($F23,Weekly!$E:$E,0))</f>
        <v>0</v>
      </c>
      <c r="O23" s="467">
        <f>INDEX(Weekly!N:N,MATCH($F23,Weekly!$E:$E,0))</f>
        <v>16.75</v>
      </c>
      <c r="P23" s="606">
        <f t="shared" si="0"/>
        <v>58.875</v>
      </c>
      <c r="Q23" s="86"/>
      <c r="R23" s="86"/>
      <c r="S23" s="86"/>
      <c r="T23" s="86"/>
      <c r="U23" s="86"/>
      <c r="V23" s="86"/>
      <c r="W23" s="86"/>
      <c r="X23" s="86"/>
      <c r="Y23" s="86"/>
      <c r="Z23" s="86"/>
    </row>
    <row r="24" spans="1:26" x14ac:dyDescent="0.25">
      <c r="A24" s="705"/>
      <c r="B24" s="1" t="str">
        <f t="shared" si="1"/>
        <v>B7</v>
      </c>
      <c r="C24" s="357" t="s">
        <v>306</v>
      </c>
      <c r="D24" s="11">
        <v>7</v>
      </c>
      <c r="E24" s="662" t="s">
        <v>273</v>
      </c>
      <c r="F24" s="663" t="s">
        <v>360</v>
      </c>
      <c r="G24" s="361">
        <f>INDEX(Weekly!F:F,MATCH($F24,Weekly!$E:$E,0))</f>
        <v>-6.8553125000000055</v>
      </c>
      <c r="H24" s="665">
        <f>INDEX(Weekly!G:G,MATCH($F24,Weekly!$E:$E,0))</f>
        <v>21</v>
      </c>
      <c r="I24" s="667">
        <f>INDEX(Weekly!H:H,MATCH($F24,Weekly!$E:$E,0))</f>
        <v>-4</v>
      </c>
      <c r="J24" s="394">
        <f>INDEX(Weekly!I:I,MATCH($F24,Weekly!$E:$E,0))</f>
        <v>1</v>
      </c>
      <c r="K24" s="669">
        <f>INDEX(Weekly!J:J,MATCH($F24,Weekly!$E:$E,0))</f>
        <v>-22.494999999999997</v>
      </c>
      <c r="L24" s="670">
        <f>INDEX(Prizes!F:F,MATCH($B24,Prizes!A:A,0))</f>
        <v>0</v>
      </c>
      <c r="M24" s="671">
        <f>INDEX(Weekly!K:K,MATCH($F24,Weekly!$E:$E,0))</f>
        <v>10</v>
      </c>
      <c r="N24" s="670">
        <f>INDEX(Weekly!L:L,MATCH($F24,Weekly!$E:$E,0))</f>
        <v>0</v>
      </c>
      <c r="O24" s="670">
        <f>INDEX(Weekly!N:N,MATCH($F24,Weekly!$E:$E,0))</f>
        <v>10</v>
      </c>
      <c r="P24" s="603">
        <f t="shared" si="0"/>
        <v>-12.494999999999997</v>
      </c>
      <c r="Q24" s="86"/>
      <c r="R24" s="86"/>
      <c r="S24" s="86"/>
      <c r="T24" s="86"/>
      <c r="U24" s="86"/>
      <c r="V24" s="86"/>
      <c r="W24" s="86"/>
      <c r="X24" s="86"/>
      <c r="Y24" s="86"/>
      <c r="Z24" s="86"/>
    </row>
    <row r="25" spans="1:26" x14ac:dyDescent="0.25">
      <c r="A25" s="705"/>
      <c r="B25" s="1" t="str">
        <f t="shared" si="1"/>
        <v>B8</v>
      </c>
      <c r="C25" s="357" t="s">
        <v>306</v>
      </c>
      <c r="D25" s="11">
        <v>8</v>
      </c>
      <c r="E25" s="662" t="s">
        <v>273</v>
      </c>
      <c r="F25" s="663" t="s">
        <v>345</v>
      </c>
      <c r="G25" s="361">
        <f>INDEX(Weekly!F:F,MATCH($F25,Weekly!$E:$E,0))</f>
        <v>-13.649393939393946</v>
      </c>
      <c r="H25" s="665">
        <f>INDEX(Weekly!G:G,MATCH($F25,Weekly!$E:$E,0))</f>
        <v>26</v>
      </c>
      <c r="I25" s="667">
        <f>INDEX(Weekly!H:H,MATCH($F25,Weekly!$E:$E,0))</f>
        <v>3.879999999999999</v>
      </c>
      <c r="J25" s="394">
        <f>INDEX(Weekly!I:I,MATCH($F25,Weekly!$E:$E,0))</f>
        <v>2</v>
      </c>
      <c r="K25" s="669">
        <f>INDEX(Weekly!J:J,MATCH($F25,Weekly!$E:$E,0))</f>
        <v>-25</v>
      </c>
      <c r="L25" s="670">
        <f>INDEX(Prizes!F:F,MATCH($B25,Prizes!A:A,0))</f>
        <v>0</v>
      </c>
      <c r="M25" s="671">
        <f>INDEX(Weekly!K:K,MATCH($F25,Weekly!$E:$E,0))</f>
        <v>10</v>
      </c>
      <c r="N25" s="670">
        <f>INDEX(Weekly!L:L,MATCH($F25,Weekly!$E:$E,0))</f>
        <v>0</v>
      </c>
      <c r="O25" s="670">
        <f>INDEX(Weekly!N:N,MATCH($F25,Weekly!$E:$E,0))</f>
        <v>10</v>
      </c>
      <c r="P25" s="603">
        <f t="shared" si="0"/>
        <v>-15</v>
      </c>
      <c r="Q25" s="86"/>
      <c r="R25" s="86"/>
      <c r="S25" s="86"/>
      <c r="T25" s="86"/>
      <c r="U25" s="86"/>
      <c r="V25" s="86"/>
      <c r="W25" s="86"/>
      <c r="X25" s="86"/>
      <c r="Y25" s="86"/>
      <c r="Z25" s="86"/>
    </row>
    <row r="26" spans="1:26" x14ac:dyDescent="0.25">
      <c r="A26" s="705"/>
      <c r="B26" s="1" t="str">
        <f t="shared" si="1"/>
        <v>B9</v>
      </c>
      <c r="C26" s="378" t="s">
        <v>306</v>
      </c>
      <c r="D26" s="1">
        <v>9</v>
      </c>
      <c r="E26" s="662" t="s">
        <v>273</v>
      </c>
      <c r="F26" s="663" t="s">
        <v>391</v>
      </c>
      <c r="G26" s="361">
        <f>INDEX(Weekly!F:F,MATCH($F26,Weekly!$E:$E,0))</f>
        <v>-26.577904040404029</v>
      </c>
      <c r="H26" s="665">
        <f>INDEX(Weekly!G:G,MATCH($F26,Weekly!$E:$E,0))</f>
        <v>21</v>
      </c>
      <c r="I26" s="667">
        <f>INDEX(Weekly!H:H,MATCH($F26,Weekly!$E:$E,0))</f>
        <v>1.7749999999999986</v>
      </c>
      <c r="J26" s="394">
        <f>INDEX(Weekly!I:I,MATCH($F26,Weekly!$E:$E,0))</f>
        <v>2</v>
      </c>
      <c r="K26" s="669">
        <f>INDEX(Weekly!J:J,MATCH($F26,Weekly!$E:$E,0))</f>
        <v>45.320000000000007</v>
      </c>
      <c r="L26" s="670">
        <f>INDEX(Prizes!F:F,MATCH($B26,Prizes!A:A,0))</f>
        <v>0</v>
      </c>
      <c r="M26" s="671">
        <f>INDEX(Weekly!K:K,MATCH($F26,Weekly!$E:$E,0))</f>
        <v>5</v>
      </c>
      <c r="N26" s="670">
        <f>INDEX(Weekly!L:L,MATCH($F26,Weekly!$E:$E,0))</f>
        <v>0</v>
      </c>
      <c r="O26" s="670">
        <f>INDEX(Weekly!N:N,MATCH($F26,Weekly!$E:$E,0))</f>
        <v>5</v>
      </c>
      <c r="P26" s="603">
        <f t="shared" si="0"/>
        <v>50.320000000000007</v>
      </c>
      <c r="Q26" s="86"/>
      <c r="R26" s="86"/>
      <c r="S26" s="86"/>
      <c r="T26" s="86"/>
      <c r="U26" s="86"/>
      <c r="V26" s="86"/>
      <c r="W26" s="86"/>
      <c r="X26" s="86"/>
      <c r="Y26" s="86"/>
      <c r="Z26" s="86"/>
    </row>
    <row r="27" spans="1:26" x14ac:dyDescent="0.25">
      <c r="A27" s="705"/>
      <c r="B27" s="1" t="str">
        <f t="shared" si="1"/>
        <v>B10</v>
      </c>
      <c r="C27" s="703" t="s">
        <v>306</v>
      </c>
      <c r="D27" s="1">
        <v>10</v>
      </c>
      <c r="E27" s="662" t="s">
        <v>273</v>
      </c>
      <c r="F27" s="663" t="s">
        <v>323</v>
      </c>
      <c r="G27" s="361">
        <f>INDEX(Weekly!F:F,MATCH($F27,Weekly!$E:$E,0))</f>
        <v>-32.410000000000004</v>
      </c>
      <c r="H27" s="665">
        <f>INDEX(Weekly!G:G,MATCH($F27,Weekly!$E:$E,0))</f>
        <v>20</v>
      </c>
      <c r="I27" s="667">
        <f>INDEX(Weekly!H:H,MATCH($F27,Weekly!$E:$E,0))</f>
        <v>2.4000000000000004</v>
      </c>
      <c r="J27" s="394">
        <f>INDEX(Weekly!I:I,MATCH($F27,Weekly!$E:$E,0))</f>
        <v>2</v>
      </c>
      <c r="K27" s="669">
        <f>INDEX(Weekly!J:J,MATCH($F27,Weekly!$E:$E,0))</f>
        <v>65.349999999999994</v>
      </c>
      <c r="L27" s="670">
        <f>INDEX(Prizes!F:F,MATCH($B27,Prizes!A:A,0))</f>
        <v>0</v>
      </c>
      <c r="M27" s="671">
        <f>INDEX(Weekly!K:K,MATCH($F27,Weekly!$E:$E,0))</f>
        <v>10</v>
      </c>
      <c r="N27" s="670">
        <f>INDEX(Weekly!L:L,MATCH($F27,Weekly!$E:$E,0))</f>
        <v>0</v>
      </c>
      <c r="O27" s="670">
        <f>INDEX(Weekly!N:N,MATCH($F27,Weekly!$E:$E,0))</f>
        <v>10</v>
      </c>
      <c r="P27" s="603">
        <f t="shared" si="0"/>
        <v>75.349999999999994</v>
      </c>
      <c r="Q27" s="86"/>
      <c r="R27" s="86"/>
      <c r="S27" s="86"/>
      <c r="T27" s="86"/>
      <c r="U27" s="86"/>
      <c r="V27" s="86"/>
      <c r="W27" s="86"/>
      <c r="X27" s="86"/>
      <c r="Y27" s="86"/>
      <c r="Z27" s="86"/>
    </row>
    <row r="28" spans="1:26" x14ac:dyDescent="0.25">
      <c r="A28" s="705"/>
      <c r="B28" s="11" t="str">
        <f t="shared" si="1"/>
        <v>B11</v>
      </c>
      <c r="C28" s="359" t="s">
        <v>307</v>
      </c>
      <c r="D28" s="478">
        <v>11</v>
      </c>
      <c r="E28" s="469" t="s">
        <v>273</v>
      </c>
      <c r="F28" s="470" t="s">
        <v>341</v>
      </c>
      <c r="G28" s="471">
        <f>INDEX(Weekly!F:F,MATCH($F28,Weekly!$E:$E,0))</f>
        <v>-32.487000000000002</v>
      </c>
      <c r="H28" s="472">
        <f>INDEX(Weekly!G:G,MATCH($F28,Weekly!$E:$E,0))</f>
        <v>17</v>
      </c>
      <c r="I28" s="473">
        <f>INDEX(Weekly!H:H,MATCH($F28,Weekly!$E:$E,0))</f>
        <v>-4.625</v>
      </c>
      <c r="J28" s="474">
        <f>INDEX(Weekly!I:I,MATCH($F28,Weekly!$E:$E,0))</f>
        <v>1</v>
      </c>
      <c r="K28" s="597">
        <f>INDEX(Weekly!J:J,MATCH($F28,Weekly!$E:$E,0))</f>
        <v>14.545000000000002</v>
      </c>
      <c r="L28" s="475">
        <f>INDEX(Prizes!F:F,MATCH($B28,Prizes!A:A,0))</f>
        <v>0</v>
      </c>
      <c r="M28" s="476">
        <f>INDEX(Weekly!K:K,MATCH($F28,Weekly!$E:$E,0))</f>
        <v>10</v>
      </c>
      <c r="N28" s="475">
        <f>INDEX(Weekly!L:L,MATCH($F28,Weekly!$E:$E,0))</f>
        <v>0</v>
      </c>
      <c r="O28" s="475">
        <f>INDEX(Weekly!N:N,MATCH($F28,Weekly!$E:$E,0))</f>
        <v>10</v>
      </c>
      <c r="P28" s="604">
        <f t="shared" si="0"/>
        <v>24.545000000000002</v>
      </c>
      <c r="Q28" s="86"/>
      <c r="R28" s="86"/>
      <c r="S28" s="86"/>
      <c r="T28" s="86"/>
      <c r="U28" s="86"/>
      <c r="V28" s="86"/>
      <c r="W28" s="86"/>
      <c r="X28" s="86"/>
      <c r="Y28" s="86"/>
      <c r="Z28" s="86"/>
    </row>
    <row r="29" spans="1:26" x14ac:dyDescent="0.25">
      <c r="A29" s="705"/>
      <c r="B29" s="1" t="str">
        <f t="shared" si="1"/>
        <v>B12</v>
      </c>
      <c r="C29" s="358" t="s">
        <v>307</v>
      </c>
      <c r="D29" s="1">
        <v>12</v>
      </c>
      <c r="E29" s="662" t="s">
        <v>273</v>
      </c>
      <c r="F29" s="663" t="s">
        <v>337</v>
      </c>
      <c r="G29" s="361">
        <f>INDEX(Weekly!F:F,MATCH($F29,Weekly!$E:$E,0))</f>
        <v>-41.575000000000003</v>
      </c>
      <c r="H29" s="665">
        <f>INDEX(Weekly!G:G,MATCH($F29,Weekly!$E:$E,0))</f>
        <v>21</v>
      </c>
      <c r="I29" s="667">
        <f>INDEX(Weekly!H:H,MATCH($F29,Weekly!$E:$E,0))</f>
        <v>11.8</v>
      </c>
      <c r="J29" s="394">
        <f>INDEX(Weekly!I:I,MATCH($F29,Weekly!$E:$E,0))</f>
        <v>2</v>
      </c>
      <c r="K29" s="669">
        <f>INDEX(Weekly!J:J,MATCH($F29,Weekly!$E:$E,0))</f>
        <v>26.25</v>
      </c>
      <c r="L29" s="670">
        <f>INDEX(Prizes!F:F,MATCH($B29,Prizes!A:A,0))</f>
        <v>0</v>
      </c>
      <c r="M29" s="671">
        <f>INDEX(Weekly!K:K,MATCH($F29,Weekly!$E:$E,0))</f>
        <v>0</v>
      </c>
      <c r="N29" s="670">
        <f>INDEX(Weekly!L:L,MATCH($F29,Weekly!$E:$E,0))</f>
        <v>0</v>
      </c>
      <c r="O29" s="670">
        <f>INDEX(Weekly!N:N,MATCH($F29,Weekly!$E:$E,0))</f>
        <v>0</v>
      </c>
      <c r="P29" s="603">
        <f t="shared" si="0"/>
        <v>26.25</v>
      </c>
      <c r="Q29" s="86"/>
      <c r="R29" s="86"/>
      <c r="S29" s="86"/>
      <c r="T29" s="86"/>
      <c r="U29" s="86"/>
      <c r="V29" s="86"/>
      <c r="W29" s="86"/>
      <c r="X29" s="86"/>
      <c r="Y29" s="86"/>
      <c r="Z29" s="86"/>
    </row>
    <row r="30" spans="1:26" x14ac:dyDescent="0.25">
      <c r="A30" s="705"/>
      <c r="B30" s="1" t="str">
        <f t="shared" si="1"/>
        <v>B13</v>
      </c>
      <c r="C30" s="358" t="s">
        <v>307</v>
      </c>
      <c r="D30" s="1">
        <v>13</v>
      </c>
      <c r="E30" s="662" t="s">
        <v>273</v>
      </c>
      <c r="F30" s="663" t="s">
        <v>328</v>
      </c>
      <c r="G30" s="361">
        <f>INDEX(Weekly!F:F,MATCH($F30,Weekly!$E:$E,0))</f>
        <v>-42.317091630591626</v>
      </c>
      <c r="H30" s="665">
        <f>INDEX(Weekly!G:G,MATCH($F30,Weekly!$E:$E,0))</f>
        <v>19</v>
      </c>
      <c r="I30" s="667">
        <f>INDEX(Weekly!H:H,MATCH($F30,Weekly!$E:$E,0))</f>
        <v>-7</v>
      </c>
      <c r="J30" s="394">
        <f>INDEX(Weekly!I:I,MATCH($F30,Weekly!$E:$E,0))</f>
        <v>0</v>
      </c>
      <c r="K30" s="669">
        <f>INDEX(Weekly!J:J,MATCH($F30,Weekly!$E:$E,0))</f>
        <v>-28.97</v>
      </c>
      <c r="L30" s="670">
        <f>INDEX(Prizes!F:F,MATCH($B30,Prizes!A:A,0))</f>
        <v>0</v>
      </c>
      <c r="M30" s="671">
        <f>INDEX(Weekly!K:K,MATCH($F30,Weekly!$E:$E,0))</f>
        <v>5</v>
      </c>
      <c r="N30" s="670">
        <f>INDEX(Weekly!L:L,MATCH($F30,Weekly!$E:$E,0))</f>
        <v>0</v>
      </c>
      <c r="O30" s="670">
        <f>INDEX(Weekly!N:N,MATCH($F30,Weekly!$E:$E,0))</f>
        <v>5</v>
      </c>
      <c r="P30" s="603">
        <f t="shared" si="0"/>
        <v>-23.97</v>
      </c>
      <c r="Q30" s="86"/>
      <c r="R30" s="86"/>
      <c r="S30" s="86"/>
      <c r="T30" s="86"/>
      <c r="U30" s="86"/>
      <c r="V30" s="86"/>
      <c r="W30" s="86"/>
      <c r="X30" s="86"/>
      <c r="Y30" s="86"/>
      <c r="Z30" s="86"/>
    </row>
    <row r="31" spans="1:26" x14ac:dyDescent="0.25">
      <c r="A31" s="705"/>
      <c r="B31" s="1" t="str">
        <f t="shared" si="1"/>
        <v>B14</v>
      </c>
      <c r="C31" s="358" t="s">
        <v>307</v>
      </c>
      <c r="D31" s="1">
        <v>14</v>
      </c>
      <c r="E31" s="662" t="s">
        <v>273</v>
      </c>
      <c r="F31" s="664" t="s">
        <v>355</v>
      </c>
      <c r="G31" s="362">
        <f>INDEX(Weekly!F:F,MATCH($F31,Weekly!$E:$E,0))</f>
        <v>-43.795000000000002</v>
      </c>
      <c r="H31" s="666">
        <f>INDEX(Weekly!G:G,MATCH($F31,Weekly!$E:$E,0))</f>
        <v>19</v>
      </c>
      <c r="I31" s="668">
        <f>INDEX(Weekly!H:H,MATCH($F31,Weekly!$E:$E,0))</f>
        <v>-7</v>
      </c>
      <c r="J31" s="395">
        <f>INDEX(Weekly!I:I,MATCH($F31,Weekly!$E:$E,0))</f>
        <v>0</v>
      </c>
      <c r="K31" s="669">
        <f>INDEX(Weekly!J:J,MATCH($F31,Weekly!$E:$E,0))</f>
        <v>47.775000000000006</v>
      </c>
      <c r="L31" s="671">
        <f>INDEX(Prizes!F:F,MATCH($B31,Prizes!A:A,0))</f>
        <v>0</v>
      </c>
      <c r="M31" s="671">
        <f>INDEX(Weekly!K:K,MATCH($F31,Weekly!$E:$E,0))</f>
        <v>5</v>
      </c>
      <c r="N31" s="671">
        <f>INDEX(Weekly!L:L,MATCH($F31,Weekly!$E:$E,0))</f>
        <v>0</v>
      </c>
      <c r="O31" s="671">
        <f>INDEX(Weekly!N:N,MATCH($F31,Weekly!$E:$E,0))</f>
        <v>5</v>
      </c>
      <c r="P31" s="603">
        <f t="shared" si="0"/>
        <v>52.775000000000006</v>
      </c>
      <c r="Q31" s="86"/>
      <c r="R31" s="86"/>
      <c r="S31" s="86"/>
      <c r="T31" s="86"/>
      <c r="U31" s="86"/>
      <c r="V31" s="86"/>
      <c r="W31" s="86"/>
      <c r="X31" s="86"/>
      <c r="Y31" s="86"/>
      <c r="Z31" s="86"/>
    </row>
    <row r="32" spans="1:26" x14ac:dyDescent="0.25">
      <c r="A32" s="705"/>
      <c r="B32" s="1" t="str">
        <f t="shared" si="1"/>
        <v>B15</v>
      </c>
      <c r="C32" s="358" t="s">
        <v>307</v>
      </c>
      <c r="D32" s="1">
        <v>15</v>
      </c>
      <c r="E32" s="662" t="s">
        <v>273</v>
      </c>
      <c r="F32" s="663" t="s">
        <v>329</v>
      </c>
      <c r="G32" s="361">
        <f>INDEX(Weekly!F:F,MATCH($F32,Weekly!$E:$E,0))</f>
        <v>-44.324999999999996</v>
      </c>
      <c r="H32" s="665">
        <f>INDEX(Weekly!G:G,MATCH($F32,Weekly!$E:$E,0))</f>
        <v>18</v>
      </c>
      <c r="I32" s="667">
        <f>INDEX(Weekly!H:H,MATCH($F32,Weekly!$E:$E,0))</f>
        <v>-7</v>
      </c>
      <c r="J32" s="394">
        <f>INDEX(Weekly!I:I,MATCH($F32,Weekly!$E:$E,0))</f>
        <v>0</v>
      </c>
      <c r="K32" s="669">
        <f>INDEX(Weekly!J:J,MATCH($F32,Weekly!$E:$E,0))</f>
        <v>-30</v>
      </c>
      <c r="L32" s="670">
        <f>INDEX(Prizes!F:F,MATCH($B32,Prizes!A:A,0))</f>
        <v>0</v>
      </c>
      <c r="M32" s="671">
        <f>INDEX(Weekly!K:K,MATCH($F32,Weekly!$E:$E,0))</f>
        <v>5</v>
      </c>
      <c r="N32" s="670">
        <f>INDEX(Weekly!L:L,MATCH($F32,Weekly!$E:$E,0))</f>
        <v>0</v>
      </c>
      <c r="O32" s="670">
        <f>INDEX(Weekly!N:N,MATCH($F32,Weekly!$E:$E,0))</f>
        <v>5</v>
      </c>
      <c r="P32" s="603">
        <f t="shared" si="0"/>
        <v>-25</v>
      </c>
      <c r="Q32" s="86"/>
      <c r="R32" s="86"/>
      <c r="S32" s="86"/>
      <c r="T32" s="86"/>
      <c r="U32" s="86"/>
      <c r="V32" s="86"/>
      <c r="W32" s="86"/>
      <c r="X32" s="86"/>
      <c r="Y32" s="86"/>
      <c r="Z32" s="86"/>
    </row>
    <row r="33" spans="1:26" ht="13.8" thickBot="1" x14ac:dyDescent="0.3">
      <c r="A33" s="705"/>
      <c r="B33" s="1" t="str">
        <f t="shared" si="1"/>
        <v>B16</v>
      </c>
      <c r="C33" s="360" t="s">
        <v>307</v>
      </c>
      <c r="D33" s="354">
        <v>16</v>
      </c>
      <c r="E33" s="401" t="s">
        <v>273</v>
      </c>
      <c r="F33" s="355" t="s">
        <v>340</v>
      </c>
      <c r="G33" s="363">
        <f>INDEX(Weekly!F:F,MATCH($F33,Weekly!$E:$E,0))</f>
        <v>-54.319277777777778</v>
      </c>
      <c r="H33" s="391">
        <f>INDEX(Weekly!G:G,MATCH($F33,Weekly!$E:$E,0))</f>
        <v>19</v>
      </c>
      <c r="I33" s="181">
        <f>INDEX(Weekly!H:H,MATCH($F33,Weekly!$E:$E,0))</f>
        <v>-7</v>
      </c>
      <c r="J33" s="396">
        <f>INDEX(Weekly!I:I,MATCH($F33,Weekly!$E:$E,0))</f>
        <v>0</v>
      </c>
      <c r="K33" s="598">
        <f>INDEX(Weekly!J:J,MATCH($F33,Weekly!$E:$E,0))</f>
        <v>-28.25</v>
      </c>
      <c r="L33" s="371">
        <f>INDEX(Prizes!F:F,MATCH($B33,Prizes!A:A,0))</f>
        <v>0</v>
      </c>
      <c r="M33" s="372">
        <f>INDEX(Weekly!K:K,MATCH($F33,Weekly!$E:$E,0))</f>
        <v>5</v>
      </c>
      <c r="N33" s="371">
        <f>INDEX(Weekly!L:L,MATCH($F33,Weekly!$E:$E,0))</f>
        <v>0</v>
      </c>
      <c r="O33" s="371">
        <f>INDEX(Weekly!N:N,MATCH($F33,Weekly!$E:$E,0))</f>
        <v>5</v>
      </c>
      <c r="P33" s="605">
        <f t="shared" si="0"/>
        <v>-23.25</v>
      </c>
      <c r="Q33" s="86"/>
      <c r="R33" s="86"/>
      <c r="S33" s="86"/>
      <c r="T33" s="86"/>
      <c r="U33" s="86"/>
      <c r="V33" s="86"/>
      <c r="W33" s="86"/>
      <c r="X33" s="86"/>
      <c r="Y33" s="86"/>
      <c r="Z33" s="86"/>
    </row>
    <row r="34" spans="1:26" ht="12.75" customHeight="1" x14ac:dyDescent="0.25">
      <c r="A34" s="704" t="s">
        <v>266</v>
      </c>
      <c r="B34" s="1" t="str">
        <f t="shared" si="1"/>
        <v>C1</v>
      </c>
      <c r="C34" s="356" t="s">
        <v>308</v>
      </c>
      <c r="D34" s="1">
        <v>1</v>
      </c>
      <c r="E34" s="400" t="s">
        <v>274</v>
      </c>
      <c r="F34" s="4" t="s">
        <v>320</v>
      </c>
      <c r="G34" s="362">
        <f>INDEX(Weekly!F:F,MATCH($F34,Weekly!$E:$E,0))</f>
        <v>66.322234487734491</v>
      </c>
      <c r="H34" s="390">
        <f>INDEX(Weekly!G:G,MATCH($F34,Weekly!$E:$E,0))</f>
        <v>39</v>
      </c>
      <c r="I34" s="154">
        <f>INDEX(Weekly!H:H,MATCH($F34,Weekly!$E:$E,0))</f>
        <v>-0.75499999999999989</v>
      </c>
      <c r="J34" s="395">
        <f>INDEX(Weekly!I:I,MATCH($F34,Weekly!$E:$E,0))</f>
        <v>2</v>
      </c>
      <c r="K34" s="596">
        <f>INDEX(Weekly!J:J,MATCH($F34,Weekly!$E:$E,0))</f>
        <v>88.13</v>
      </c>
      <c r="L34" s="370">
        <f>INDEX(Prizes!F:F,MATCH($B34,Prizes!A:A,0))</f>
        <v>39.375</v>
      </c>
      <c r="M34" s="370">
        <f>INDEX(Weekly!K:K,MATCH($F34,Weekly!$E:$E,0))</f>
        <v>25</v>
      </c>
      <c r="N34" s="370">
        <f>INDEX(Weekly!L:L,MATCH($F34,Weekly!$E:$E,0))</f>
        <v>5</v>
      </c>
      <c r="O34" s="370">
        <f>INDEX(Weekly!N:N,MATCH($F34,Weekly!$E:$E,0))</f>
        <v>69.375</v>
      </c>
      <c r="P34" s="603">
        <f t="shared" ref="P34:P65" si="2">O34+K34</f>
        <v>157.505</v>
      </c>
      <c r="Q34" s="86"/>
      <c r="R34" s="86"/>
      <c r="S34" s="86"/>
      <c r="T34" s="86"/>
      <c r="U34" s="86"/>
      <c r="V34" s="86"/>
      <c r="W34" s="86"/>
      <c r="X34" s="86"/>
      <c r="Y34" s="86"/>
      <c r="Z34" s="86"/>
    </row>
    <row r="35" spans="1:26" x14ac:dyDescent="0.25">
      <c r="A35" s="705"/>
      <c r="B35" s="1" t="str">
        <f t="shared" si="1"/>
        <v>C2</v>
      </c>
      <c r="C35" s="356" t="s">
        <v>308</v>
      </c>
      <c r="D35" s="1">
        <v>2</v>
      </c>
      <c r="E35" s="400" t="s">
        <v>274</v>
      </c>
      <c r="F35" s="4" t="s">
        <v>351</v>
      </c>
      <c r="G35" s="361">
        <f>INDEX(Weekly!F:F,MATCH($F35,Weekly!$E:$E,0))</f>
        <v>30.550210955710952</v>
      </c>
      <c r="H35" s="389">
        <f>INDEX(Weekly!G:G,MATCH($F35,Weekly!$E:$E,0))</f>
        <v>34</v>
      </c>
      <c r="I35" s="153">
        <f>INDEX(Weekly!H:H,MATCH($F35,Weekly!$E:$E,0))</f>
        <v>-5.1538461538461533</v>
      </c>
      <c r="J35" s="394">
        <f>INDEX(Weekly!I:I,MATCH($F35,Weekly!$E:$E,0))</f>
        <v>1</v>
      </c>
      <c r="K35" s="596">
        <f>INDEX(Weekly!J:J,MATCH($F35,Weekly!$E:$E,0))</f>
        <v>-26.675000000000001</v>
      </c>
      <c r="L35" s="367">
        <f>INDEX(Prizes!F:F,MATCH($B35,Prizes!A:A,0))</f>
        <v>28.125</v>
      </c>
      <c r="M35" s="370">
        <f>INDEX(Weekly!K:K,MATCH($F35,Weekly!$E:$E,0))</f>
        <v>10</v>
      </c>
      <c r="N35" s="367">
        <f>INDEX(Weekly!L:L,MATCH($F35,Weekly!$E:$E,0))</f>
        <v>0</v>
      </c>
      <c r="O35" s="367">
        <f>INDEX(Weekly!N:N,MATCH($F35,Weekly!$E:$E,0))</f>
        <v>38.125</v>
      </c>
      <c r="P35" s="603">
        <f t="shared" si="2"/>
        <v>11.45</v>
      </c>
      <c r="Q35" s="86"/>
      <c r="R35" s="86"/>
      <c r="S35" s="86"/>
      <c r="T35" s="86"/>
      <c r="U35" s="86"/>
      <c r="V35" s="86"/>
      <c r="W35" s="86"/>
      <c r="X35" s="86"/>
      <c r="Y35" s="86"/>
      <c r="Z35" s="86"/>
    </row>
    <row r="36" spans="1:26" x14ac:dyDescent="0.25">
      <c r="A36" s="705"/>
      <c r="B36" s="11" t="str">
        <f t="shared" si="1"/>
        <v>C3</v>
      </c>
      <c r="C36" s="357" t="s">
        <v>308</v>
      </c>
      <c r="D36" s="1">
        <v>3</v>
      </c>
      <c r="E36" s="400" t="s">
        <v>274</v>
      </c>
      <c r="F36" s="4" t="s">
        <v>339</v>
      </c>
      <c r="G36" s="361">
        <f>INDEX(Weekly!F:F,MATCH($F36,Weekly!$E:$E,0))</f>
        <v>26.998430555555551</v>
      </c>
      <c r="H36" s="389">
        <f>INDEX(Weekly!G:G,MATCH($F36,Weekly!$E:$E,0))</f>
        <v>23</v>
      </c>
      <c r="I36" s="153">
        <f>INDEX(Weekly!H:H,MATCH($F36,Weekly!$E:$E,0))</f>
        <v>25.969374999999999</v>
      </c>
      <c r="J36" s="394">
        <f>INDEX(Weekly!I:I,MATCH($F36,Weekly!$E:$E,0))</f>
        <v>3</v>
      </c>
      <c r="K36" s="596">
        <f>INDEX(Weekly!J:J,MATCH($F36,Weekly!$E:$E,0))</f>
        <v>10.125</v>
      </c>
      <c r="L36" s="367">
        <f>INDEX(Prizes!F:F,MATCH($B36,Prizes!A:A,0))</f>
        <v>20.25</v>
      </c>
      <c r="M36" s="370">
        <f>INDEX(Weekly!K:K,MATCH($F36,Weekly!$E:$E,0))</f>
        <v>17.5</v>
      </c>
      <c r="N36" s="367">
        <f>INDEX(Weekly!L:L,MATCH($F36,Weekly!$E:$E,0))</f>
        <v>0</v>
      </c>
      <c r="O36" s="367">
        <f>INDEX(Weekly!N:N,MATCH($F36,Weekly!$E:$E,0))</f>
        <v>37.75</v>
      </c>
      <c r="P36" s="603">
        <f t="shared" si="2"/>
        <v>47.875</v>
      </c>
      <c r="Q36" s="86"/>
      <c r="R36" s="86"/>
      <c r="S36" s="86"/>
      <c r="T36" s="86"/>
      <c r="U36" s="86"/>
      <c r="V36" s="86"/>
      <c r="W36" s="86"/>
      <c r="X36" s="86"/>
      <c r="Y36" s="86"/>
      <c r="Z36" s="86"/>
    </row>
    <row r="37" spans="1:26" x14ac:dyDescent="0.25">
      <c r="A37" s="705"/>
      <c r="B37" s="1" t="str">
        <f t="shared" si="1"/>
        <v>C4</v>
      </c>
      <c r="C37" s="356" t="s">
        <v>308</v>
      </c>
      <c r="D37" s="1">
        <v>4</v>
      </c>
      <c r="E37" s="400" t="s">
        <v>274</v>
      </c>
      <c r="F37" s="4" t="s">
        <v>354</v>
      </c>
      <c r="G37" s="361">
        <f>INDEX(Weekly!F:F,MATCH($F37,Weekly!$E:$E,0))</f>
        <v>18.934010381153236</v>
      </c>
      <c r="H37" s="389">
        <f>INDEX(Weekly!G:G,MATCH($F37,Weekly!$E:$E,0))</f>
        <v>40</v>
      </c>
      <c r="I37" s="153">
        <f>INDEX(Weekly!H:H,MATCH($F37,Weekly!$E:$E,0))</f>
        <v>6.5199999999999978</v>
      </c>
      <c r="J37" s="394">
        <f>INDEX(Weekly!I:I,MATCH($F37,Weekly!$E:$E,0))</f>
        <v>2</v>
      </c>
      <c r="K37" s="596">
        <f>INDEX(Weekly!J:J,MATCH($F37,Weekly!$E:$E,0))</f>
        <v>-55</v>
      </c>
      <c r="L37" s="367">
        <f>INDEX(Prizes!F:F,MATCH($B37,Prizes!A:A,0))</f>
        <v>13.5</v>
      </c>
      <c r="M37" s="370">
        <f>INDEX(Weekly!K:K,MATCH($F37,Weekly!$E:$E,0))</f>
        <v>5</v>
      </c>
      <c r="N37" s="367">
        <f>INDEX(Weekly!L:L,MATCH($F37,Weekly!$E:$E,0))</f>
        <v>0</v>
      </c>
      <c r="O37" s="367">
        <f>INDEX(Weekly!N:N,MATCH($F37,Weekly!$E:$E,0))</f>
        <v>18.5</v>
      </c>
      <c r="P37" s="603">
        <f t="shared" si="2"/>
        <v>-36.5</v>
      </c>
      <c r="Q37" s="86"/>
      <c r="R37" s="86"/>
      <c r="S37" s="86"/>
      <c r="T37" s="86"/>
      <c r="U37" s="86"/>
      <c r="V37" s="86"/>
      <c r="W37" s="86"/>
      <c r="X37" s="86"/>
      <c r="Y37" s="86"/>
      <c r="Z37" s="86"/>
    </row>
    <row r="38" spans="1:26" x14ac:dyDescent="0.25">
      <c r="A38" s="705"/>
      <c r="B38" s="1" t="str">
        <f t="shared" si="1"/>
        <v>C5</v>
      </c>
      <c r="C38" s="356" t="s">
        <v>308</v>
      </c>
      <c r="D38" s="1">
        <v>5</v>
      </c>
      <c r="E38" s="662" t="s">
        <v>274</v>
      </c>
      <c r="F38" s="663" t="s">
        <v>463</v>
      </c>
      <c r="G38" s="361">
        <f>INDEX(Weekly!F:F,MATCH($F38,Weekly!$E:$E,0))</f>
        <v>16.682619269619266</v>
      </c>
      <c r="H38" s="665">
        <f>INDEX(Weekly!G:G,MATCH($F38,Weekly!$E:$E,0))</f>
        <v>29</v>
      </c>
      <c r="I38" s="667">
        <f>INDEX(Weekly!H:H,MATCH($F38,Weekly!$E:$E,0))</f>
        <v>-5.1538461538461533</v>
      </c>
      <c r="J38" s="394">
        <f>INDEX(Weekly!I:I,MATCH($F38,Weekly!$E:$E,0))</f>
        <v>1</v>
      </c>
      <c r="K38" s="669">
        <f>INDEX(Weekly!J:J,MATCH($F38,Weekly!$E:$E,0))</f>
        <v>-27.57</v>
      </c>
      <c r="L38" s="670">
        <f>INDEX(Prizes!F:F,MATCH($B38,Prizes!A:A,0))</f>
        <v>7.875</v>
      </c>
      <c r="M38" s="671">
        <f>INDEX(Weekly!K:K,MATCH($F38,Weekly!$E:$E,0))</f>
        <v>10</v>
      </c>
      <c r="N38" s="670">
        <f>INDEX(Weekly!L:L,MATCH($F38,Weekly!$E:$E,0))</f>
        <v>0</v>
      </c>
      <c r="O38" s="670">
        <f>INDEX(Weekly!N:N,MATCH($F38,Weekly!$E:$E,0))</f>
        <v>17.875</v>
      </c>
      <c r="P38" s="603">
        <f t="shared" si="2"/>
        <v>-9.6950000000000003</v>
      </c>
      <c r="Q38" s="86"/>
      <c r="R38" s="86"/>
      <c r="S38" s="86"/>
      <c r="T38" s="86"/>
      <c r="U38" s="86"/>
      <c r="V38" s="86"/>
      <c r="W38" s="86"/>
      <c r="X38" s="86"/>
      <c r="Y38" s="86"/>
      <c r="Z38" s="86"/>
    </row>
    <row r="39" spans="1:26" x14ac:dyDescent="0.25">
      <c r="A39" s="705"/>
      <c r="B39" s="1" t="str">
        <f t="shared" si="1"/>
        <v>C6</v>
      </c>
      <c r="C39" s="479" t="s">
        <v>308</v>
      </c>
      <c r="D39" s="480">
        <v>6</v>
      </c>
      <c r="E39" s="461" t="s">
        <v>274</v>
      </c>
      <c r="F39" s="462" t="s">
        <v>452</v>
      </c>
      <c r="G39" s="463">
        <f>INDEX(Weekly!F:F,MATCH($F39,Weekly!$E:$E,0))</f>
        <v>-14.056619658119665</v>
      </c>
      <c r="H39" s="464">
        <f>INDEX(Weekly!G:G,MATCH($F39,Weekly!$E:$E,0))</f>
        <v>30</v>
      </c>
      <c r="I39" s="465">
        <f>INDEX(Weekly!H:H,MATCH($F39,Weekly!$E:$E,0))</f>
        <v>1.25</v>
      </c>
      <c r="J39" s="466">
        <f>INDEX(Weekly!I:I,MATCH($F39,Weekly!$E:$E,0))</f>
        <v>2</v>
      </c>
      <c r="K39" s="599">
        <f>INDEX(Weekly!J:J,MATCH($F39,Weekly!$E:$E,0))</f>
        <v>3.3500000000000014</v>
      </c>
      <c r="L39" s="467">
        <f>INDEX(Prizes!F:F,MATCH($B39,Prizes!A:A,0))</f>
        <v>3.375</v>
      </c>
      <c r="M39" s="468">
        <f>INDEX(Weekly!K:K,MATCH($F39,Weekly!$E:$E,0))</f>
        <v>10</v>
      </c>
      <c r="N39" s="467">
        <f>INDEX(Weekly!L:L,MATCH($F39,Weekly!$E:$E,0))</f>
        <v>0</v>
      </c>
      <c r="O39" s="467">
        <f>INDEX(Weekly!N:N,MATCH($F39,Weekly!$E:$E,0))</f>
        <v>13.375</v>
      </c>
      <c r="P39" s="606">
        <f t="shared" si="2"/>
        <v>16.725000000000001</v>
      </c>
      <c r="Q39" s="86"/>
      <c r="R39" s="86"/>
      <c r="S39" s="86"/>
      <c r="T39" s="86"/>
      <c r="U39" s="86"/>
      <c r="V39" s="86"/>
      <c r="W39" s="86"/>
      <c r="X39" s="86"/>
      <c r="Y39" s="86"/>
      <c r="Z39" s="86"/>
    </row>
    <row r="40" spans="1:26" x14ac:dyDescent="0.25">
      <c r="A40" s="705"/>
      <c r="B40" s="1" t="str">
        <f t="shared" si="1"/>
        <v>C7</v>
      </c>
      <c r="C40" s="357" t="s">
        <v>306</v>
      </c>
      <c r="D40" s="1">
        <v>7</v>
      </c>
      <c r="E40" s="662" t="s">
        <v>274</v>
      </c>
      <c r="F40" s="664" t="s">
        <v>362</v>
      </c>
      <c r="G40" s="362">
        <f>INDEX(Weekly!F:F,MATCH($F40,Weekly!$E:$E,0))</f>
        <v>-26.674047619047624</v>
      </c>
      <c r="H40" s="666">
        <f>INDEX(Weekly!G:G,MATCH($F40,Weekly!$E:$E,0))</f>
        <v>22</v>
      </c>
      <c r="I40" s="668">
        <f>INDEX(Weekly!H:H,MATCH($F40,Weekly!$E:$E,0))</f>
        <v>-4.625</v>
      </c>
      <c r="J40" s="395">
        <f>INDEX(Weekly!I:I,MATCH($F40,Weekly!$E:$E,0))</f>
        <v>1</v>
      </c>
      <c r="K40" s="669">
        <f>INDEX(Weekly!J:J,MATCH($F40,Weekly!$E:$E,0))</f>
        <v>18.329999999999998</v>
      </c>
      <c r="L40" s="671">
        <f>INDEX(Prizes!F:F,MATCH($B40,Prizes!A:A,0))</f>
        <v>0</v>
      </c>
      <c r="M40" s="671">
        <f>INDEX(Weekly!K:K,MATCH($F40,Weekly!$E:$E,0))</f>
        <v>5</v>
      </c>
      <c r="N40" s="671">
        <f>INDEX(Weekly!L:L,MATCH($F40,Weekly!$E:$E,0))</f>
        <v>0</v>
      </c>
      <c r="O40" s="671">
        <f>INDEX(Weekly!N:N,MATCH($F40,Weekly!$E:$E,0))</f>
        <v>5</v>
      </c>
      <c r="P40" s="603">
        <f t="shared" si="2"/>
        <v>23.33</v>
      </c>
      <c r="Q40" s="86"/>
      <c r="R40" s="86"/>
      <c r="S40" s="86"/>
      <c r="T40" s="86"/>
      <c r="U40" s="86"/>
      <c r="V40" s="86"/>
      <c r="W40" s="86"/>
      <c r="X40" s="86"/>
      <c r="Y40" s="86"/>
      <c r="Z40" s="86"/>
    </row>
    <row r="41" spans="1:26" x14ac:dyDescent="0.25">
      <c r="A41" s="705"/>
      <c r="B41" s="1" t="str">
        <f t="shared" si="1"/>
        <v>C8</v>
      </c>
      <c r="C41" s="378" t="s">
        <v>306</v>
      </c>
      <c r="D41" s="1">
        <v>8</v>
      </c>
      <c r="E41" s="400" t="s">
        <v>274</v>
      </c>
      <c r="F41" s="4" t="s">
        <v>455</v>
      </c>
      <c r="G41" s="361">
        <f>INDEX(Weekly!F:F,MATCH($F41,Weekly!$E:$E,0))</f>
        <v>-29.921057969807979</v>
      </c>
      <c r="H41" s="389">
        <f>INDEX(Weekly!G:G,MATCH($F41,Weekly!$E:$E,0))</f>
        <v>30</v>
      </c>
      <c r="I41" s="153">
        <f>INDEX(Weekly!H:H,MATCH($F41,Weekly!$E:$E,0))</f>
        <v>-0.125</v>
      </c>
      <c r="J41" s="394">
        <f>INDEX(Weekly!I:I,MATCH($F41,Weekly!$E:$E,0))</f>
        <v>2</v>
      </c>
      <c r="K41" s="596">
        <f>INDEX(Weekly!J:J,MATCH($F41,Weekly!$E:$E,0))</f>
        <v>-24.33</v>
      </c>
      <c r="L41" s="367">
        <f>INDEX(Prizes!F:F,MATCH($B41,Prizes!A:A,0))</f>
        <v>0</v>
      </c>
      <c r="M41" s="370">
        <f>INDEX(Weekly!K:K,MATCH($F41,Weekly!$E:$E,0))</f>
        <v>2.5</v>
      </c>
      <c r="N41" s="367">
        <f>INDEX(Weekly!L:L,MATCH($F41,Weekly!$E:$E,0))</f>
        <v>15</v>
      </c>
      <c r="O41" s="367">
        <f>INDEX(Weekly!N:N,MATCH($F41,Weekly!$E:$E,0))</f>
        <v>17.5</v>
      </c>
      <c r="P41" s="603">
        <f t="shared" si="2"/>
        <v>-6.8299999999999983</v>
      </c>
      <c r="Q41" s="86"/>
      <c r="R41" s="86"/>
      <c r="S41" s="86"/>
      <c r="T41" s="86"/>
      <c r="U41" s="86"/>
      <c r="V41" s="86"/>
      <c r="W41" s="86"/>
      <c r="X41" s="86"/>
      <c r="Y41" s="86"/>
      <c r="Z41" s="86"/>
    </row>
    <row r="42" spans="1:26" x14ac:dyDescent="0.25">
      <c r="A42" s="705"/>
      <c r="B42" s="1" t="str">
        <f t="shared" si="1"/>
        <v>C9</v>
      </c>
      <c r="C42" s="703" t="s">
        <v>306</v>
      </c>
      <c r="D42" s="1">
        <v>9</v>
      </c>
      <c r="E42" s="400" t="s">
        <v>274</v>
      </c>
      <c r="F42" s="4" t="s">
        <v>358</v>
      </c>
      <c r="G42" s="361">
        <f>INDEX(Weekly!F:F,MATCH($F42,Weekly!$E:$E,0))</f>
        <v>-31.544999999999995</v>
      </c>
      <c r="H42" s="389">
        <f>INDEX(Weekly!G:G,MATCH($F42,Weekly!$E:$E,0))</f>
        <v>16</v>
      </c>
      <c r="I42" s="153">
        <f>INDEX(Weekly!H:H,MATCH($F42,Weekly!$E:$E,0))</f>
        <v>-7</v>
      </c>
      <c r="J42" s="394">
        <f>INDEX(Weekly!I:I,MATCH($F42,Weekly!$E:$E,0))</f>
        <v>0</v>
      </c>
      <c r="K42" s="596">
        <f>INDEX(Weekly!J:J,MATCH($F42,Weekly!$E:$E,0))</f>
        <v>-20.28</v>
      </c>
      <c r="L42" s="367">
        <f>INDEX(Prizes!F:F,MATCH($B42,Prizes!A:A,0))</f>
        <v>0</v>
      </c>
      <c r="M42" s="370">
        <f>INDEX(Weekly!K:K,MATCH($F42,Weekly!$E:$E,0))</f>
        <v>5</v>
      </c>
      <c r="N42" s="367">
        <f>INDEX(Weekly!L:L,MATCH($F42,Weekly!$E:$E,0))</f>
        <v>0</v>
      </c>
      <c r="O42" s="367">
        <f>INDEX(Weekly!N:N,MATCH($F42,Weekly!$E:$E,0))</f>
        <v>5</v>
      </c>
      <c r="P42" s="603">
        <f t="shared" si="2"/>
        <v>-15.280000000000001</v>
      </c>
      <c r="Q42" s="86"/>
      <c r="R42" s="86"/>
      <c r="S42" s="86"/>
      <c r="T42" s="86"/>
      <c r="U42" s="86"/>
      <c r="V42" s="86"/>
      <c r="W42" s="86"/>
      <c r="X42" s="86"/>
      <c r="Y42" s="86"/>
      <c r="Z42" s="86"/>
    </row>
    <row r="43" spans="1:26" x14ac:dyDescent="0.25">
      <c r="A43" s="705"/>
      <c r="B43" s="1" t="str">
        <f t="shared" si="1"/>
        <v>C10</v>
      </c>
      <c r="C43" s="703" t="s">
        <v>306</v>
      </c>
      <c r="D43" s="1">
        <v>10</v>
      </c>
      <c r="E43" s="662" t="s">
        <v>274</v>
      </c>
      <c r="F43" s="663" t="s">
        <v>359</v>
      </c>
      <c r="G43" s="361">
        <f>INDEX(Weekly!F:F,MATCH($F43,Weekly!$E:$E,0))</f>
        <v>-32.429848484848485</v>
      </c>
      <c r="H43" s="665">
        <f>INDEX(Weekly!G:G,MATCH($F43,Weekly!$E:$E,0))</f>
        <v>19</v>
      </c>
      <c r="I43" s="667">
        <f>INDEX(Weekly!H:H,MATCH($F43,Weekly!$E:$E,0))</f>
        <v>23.32</v>
      </c>
      <c r="J43" s="394">
        <f>INDEX(Weekly!I:I,MATCH($F43,Weekly!$E:$E,0))</f>
        <v>2</v>
      </c>
      <c r="K43" s="669">
        <f>INDEX(Weekly!J:J,MATCH($F43,Weekly!$E:$E,0))</f>
        <v>-40</v>
      </c>
      <c r="L43" s="670">
        <f>INDEX(Prizes!F:F,MATCH($B43,Prizes!A:A,0))</f>
        <v>0</v>
      </c>
      <c r="M43" s="671">
        <f>INDEX(Weekly!K:K,MATCH($F43,Weekly!$E:$E,0))</f>
        <v>0</v>
      </c>
      <c r="N43" s="670">
        <f>INDEX(Weekly!L:L,MATCH($F43,Weekly!$E:$E,0))</f>
        <v>0</v>
      </c>
      <c r="O43" s="670">
        <f>INDEX(Weekly!N:N,MATCH($F43,Weekly!$E:$E,0))</f>
        <v>0</v>
      </c>
      <c r="P43" s="603">
        <f t="shared" si="2"/>
        <v>-40</v>
      </c>
      <c r="Q43" s="86"/>
      <c r="R43" s="86"/>
      <c r="S43" s="86"/>
      <c r="T43" s="86"/>
      <c r="U43" s="86"/>
      <c r="V43" s="86"/>
      <c r="W43" s="86"/>
      <c r="X43" s="86"/>
      <c r="Y43" s="86"/>
      <c r="Z43" s="86"/>
    </row>
    <row r="44" spans="1:26" x14ac:dyDescent="0.25">
      <c r="A44" s="705"/>
      <c r="B44" s="1" t="str">
        <f t="shared" si="1"/>
        <v>C11</v>
      </c>
      <c r="C44" s="481" t="s">
        <v>307</v>
      </c>
      <c r="D44" s="478">
        <v>11</v>
      </c>
      <c r="E44" s="469" t="s">
        <v>274</v>
      </c>
      <c r="F44" s="470" t="s">
        <v>353</v>
      </c>
      <c r="G44" s="471">
        <f>INDEX(Weekly!F:F,MATCH($F44,Weekly!$E:$E,0))</f>
        <v>-54.732575757575759</v>
      </c>
      <c r="H44" s="472">
        <f>INDEX(Weekly!G:G,MATCH($F44,Weekly!$E:$E,0))</f>
        <v>20</v>
      </c>
      <c r="I44" s="473">
        <f>INDEX(Weekly!H:H,MATCH($F44,Weekly!$E:$E,0))</f>
        <v>-7</v>
      </c>
      <c r="J44" s="474">
        <f>INDEX(Weekly!I:I,MATCH($F44,Weekly!$E:$E,0))</f>
        <v>0</v>
      </c>
      <c r="K44" s="597">
        <f>INDEX(Weekly!J:J,MATCH($F44,Weekly!$E:$E,0))</f>
        <v>5</v>
      </c>
      <c r="L44" s="475">
        <f>INDEX(Prizes!F:F,MATCH($B44,Prizes!A:A,0))</f>
        <v>0</v>
      </c>
      <c r="M44" s="476">
        <f>INDEX(Weekly!K:K,MATCH($F44,Weekly!$E:$E,0))</f>
        <v>0</v>
      </c>
      <c r="N44" s="475">
        <f>INDEX(Weekly!L:L,MATCH($F44,Weekly!$E:$E,0))</f>
        <v>0</v>
      </c>
      <c r="O44" s="475">
        <f>INDEX(Weekly!N:N,MATCH($F44,Weekly!$E:$E,0))</f>
        <v>0</v>
      </c>
      <c r="P44" s="604">
        <f t="shared" si="2"/>
        <v>5</v>
      </c>
      <c r="Q44" s="86"/>
      <c r="R44" s="86"/>
      <c r="S44" s="86"/>
      <c r="T44" s="86"/>
      <c r="U44" s="86"/>
      <c r="V44" s="86"/>
      <c r="W44" s="86"/>
      <c r="X44" s="86"/>
      <c r="Y44" s="86"/>
      <c r="Z44" s="86"/>
    </row>
    <row r="45" spans="1:26" x14ac:dyDescent="0.25">
      <c r="A45" s="705"/>
      <c r="B45" s="1" t="str">
        <f t="shared" si="1"/>
        <v>C12</v>
      </c>
      <c r="C45" s="358" t="s">
        <v>307</v>
      </c>
      <c r="D45" s="11">
        <v>12</v>
      </c>
      <c r="E45" s="400" t="s">
        <v>274</v>
      </c>
      <c r="F45" s="4" t="s">
        <v>346</v>
      </c>
      <c r="G45" s="361">
        <f>INDEX(Weekly!F:F,MATCH($F45,Weekly!$E:$E,0))</f>
        <v>-63.14409090909092</v>
      </c>
      <c r="H45" s="389">
        <f>INDEX(Weekly!G:G,MATCH($F45,Weekly!$E:$E,0))</f>
        <v>23</v>
      </c>
      <c r="I45" s="153">
        <f>INDEX(Weekly!H:H,MATCH($F45,Weekly!$E:$E,0))</f>
        <v>0.58000000000000007</v>
      </c>
      <c r="J45" s="394">
        <f>INDEX(Weekly!I:I,MATCH($F45,Weekly!$E:$E,0))</f>
        <v>2</v>
      </c>
      <c r="K45" s="596">
        <f>INDEX(Weekly!J:J,MATCH($F45,Weekly!$E:$E,0))</f>
        <v>25.174999999999997</v>
      </c>
      <c r="L45" s="367">
        <f>INDEX(Prizes!F:F,MATCH($B45,Prizes!A:A,0))</f>
        <v>0</v>
      </c>
      <c r="M45" s="370">
        <f>INDEX(Weekly!K:K,MATCH($F45,Weekly!$E:$E,0))</f>
        <v>0</v>
      </c>
      <c r="N45" s="367">
        <f>INDEX(Weekly!L:L,MATCH($F45,Weekly!$E:$E,0))</f>
        <v>0</v>
      </c>
      <c r="O45" s="367">
        <f>INDEX(Weekly!N:N,MATCH($F45,Weekly!$E:$E,0))</f>
        <v>0</v>
      </c>
      <c r="P45" s="603">
        <f t="shared" si="2"/>
        <v>25.174999999999997</v>
      </c>
      <c r="Q45" s="86"/>
      <c r="R45" s="86"/>
      <c r="S45" s="86"/>
      <c r="T45" s="86"/>
      <c r="U45" s="86"/>
      <c r="V45" s="86"/>
      <c r="W45" s="86"/>
      <c r="X45" s="86"/>
      <c r="Y45" s="86"/>
      <c r="Z45" s="86"/>
    </row>
    <row r="46" spans="1:26" x14ac:dyDescent="0.25">
      <c r="A46" s="705"/>
      <c r="B46" s="1" t="str">
        <f t="shared" si="1"/>
        <v>C13</v>
      </c>
      <c r="C46" s="358" t="s">
        <v>307</v>
      </c>
      <c r="D46" s="1">
        <v>13</v>
      </c>
      <c r="E46" s="662" t="s">
        <v>274</v>
      </c>
      <c r="F46" s="663" t="s">
        <v>334</v>
      </c>
      <c r="G46" s="361">
        <f>INDEX(Weekly!F:F,MATCH($F46,Weekly!$E:$E,0))</f>
        <v>-72.564393939393938</v>
      </c>
      <c r="H46" s="665">
        <f>INDEX(Weekly!G:G,MATCH($F46,Weekly!$E:$E,0))</f>
        <v>20</v>
      </c>
      <c r="I46" s="667">
        <f>INDEX(Weekly!H:H,MATCH($F46,Weekly!$E:$E,0))</f>
        <v>-7</v>
      </c>
      <c r="J46" s="394">
        <f>INDEX(Weekly!I:I,MATCH($F46,Weekly!$E:$E,0))</f>
        <v>0</v>
      </c>
      <c r="K46" s="669">
        <f>INDEX(Weekly!J:J,MATCH($F46,Weekly!$E:$E,0))</f>
        <v>-7.9399999999999977</v>
      </c>
      <c r="L46" s="670">
        <f>INDEX(Prizes!F:F,MATCH($B46,Prizes!A:A,0))</f>
        <v>0</v>
      </c>
      <c r="M46" s="671">
        <f>INDEX(Weekly!K:K,MATCH($F46,Weekly!$E:$E,0))</f>
        <v>0</v>
      </c>
      <c r="N46" s="670">
        <f>INDEX(Weekly!L:L,MATCH($F46,Weekly!$E:$E,0))</f>
        <v>0</v>
      </c>
      <c r="O46" s="670">
        <f>INDEX(Weekly!N:N,MATCH($F46,Weekly!$E:$E,0))</f>
        <v>0</v>
      </c>
      <c r="P46" s="603">
        <f t="shared" si="2"/>
        <v>-7.9399999999999977</v>
      </c>
      <c r="Q46" s="86"/>
      <c r="R46" s="86"/>
      <c r="S46" s="86"/>
      <c r="T46" s="86"/>
      <c r="U46" s="86"/>
      <c r="V46" s="86"/>
      <c r="W46" s="86"/>
      <c r="X46" s="86"/>
      <c r="Y46" s="86"/>
      <c r="Z46" s="86"/>
    </row>
    <row r="47" spans="1:26" x14ac:dyDescent="0.25">
      <c r="A47" s="705"/>
      <c r="B47" s="1" t="str">
        <f t="shared" si="1"/>
        <v>C14</v>
      </c>
      <c r="C47" s="358" t="s">
        <v>307</v>
      </c>
      <c r="D47" s="11">
        <v>14</v>
      </c>
      <c r="E47" s="400" t="s">
        <v>274</v>
      </c>
      <c r="F47" s="4" t="s">
        <v>333</v>
      </c>
      <c r="G47" s="361">
        <f>INDEX(Weekly!F:F,MATCH($F47,Weekly!$E:$E,0))</f>
        <v>-77.17</v>
      </c>
      <c r="H47" s="389">
        <f>INDEX(Weekly!G:G,MATCH($F47,Weekly!$E:$E,0))</f>
        <v>15</v>
      </c>
      <c r="I47" s="153">
        <f>INDEX(Weekly!H:H,MATCH($F47,Weekly!$E:$E,0))</f>
        <v>-3.8</v>
      </c>
      <c r="J47" s="394">
        <f>INDEX(Weekly!I:I,MATCH($F47,Weekly!$E:$E,0))</f>
        <v>1</v>
      </c>
      <c r="K47" s="596">
        <f>INDEX(Weekly!J:J,MATCH($F47,Weekly!$E:$E,0))</f>
        <v>-20</v>
      </c>
      <c r="L47" s="367">
        <f>INDEX(Prizes!F:F,MATCH($B47,Prizes!A:A,0))</f>
        <v>0</v>
      </c>
      <c r="M47" s="370">
        <f>INDEX(Weekly!K:K,MATCH($F47,Weekly!$E:$E,0))</f>
        <v>0</v>
      </c>
      <c r="N47" s="367">
        <f>INDEX(Weekly!L:L,MATCH($F47,Weekly!$E:$E,0))</f>
        <v>0</v>
      </c>
      <c r="O47" s="367">
        <f>INDEX(Weekly!N:N,MATCH($F47,Weekly!$E:$E,0))</f>
        <v>0</v>
      </c>
      <c r="P47" s="603">
        <f t="shared" si="2"/>
        <v>-20</v>
      </c>
      <c r="Q47" s="86"/>
      <c r="R47" s="86"/>
      <c r="S47" s="86"/>
      <c r="T47" s="86"/>
      <c r="U47" s="86"/>
      <c r="V47" s="86"/>
      <c r="W47" s="86"/>
      <c r="X47" s="86"/>
      <c r="Y47" s="86"/>
      <c r="Z47" s="86"/>
    </row>
    <row r="48" spans="1:26" x14ac:dyDescent="0.25">
      <c r="A48" s="705"/>
      <c r="B48" s="1" t="str">
        <f t="shared" si="1"/>
        <v>C15</v>
      </c>
      <c r="C48" s="358" t="s">
        <v>307</v>
      </c>
      <c r="D48" s="1">
        <v>15</v>
      </c>
      <c r="E48" s="662" t="s">
        <v>274</v>
      </c>
      <c r="F48" s="663" t="s">
        <v>347</v>
      </c>
      <c r="G48" s="361">
        <f>INDEX(Weekly!F:F,MATCH($F48,Weekly!$E:$E,0))</f>
        <v>-81.867167587314654</v>
      </c>
      <c r="H48" s="665">
        <f>INDEX(Weekly!G:G,MATCH($F48,Weekly!$E:$E,0))</f>
        <v>16</v>
      </c>
      <c r="I48" s="667">
        <f>INDEX(Weekly!H:H,MATCH($F48,Weekly!$E:$E,0))</f>
        <v>11.440000000000001</v>
      </c>
      <c r="J48" s="394">
        <f>INDEX(Weekly!I:I,MATCH($F48,Weekly!$E:$E,0))</f>
        <v>2</v>
      </c>
      <c r="K48" s="669">
        <f>INDEX(Weekly!J:J,MATCH($F48,Weekly!$E:$E,0))</f>
        <v>55.069999999999993</v>
      </c>
      <c r="L48" s="670">
        <f>INDEX(Prizes!F:F,MATCH($B48,Prizes!A:A,0))</f>
        <v>0</v>
      </c>
      <c r="M48" s="671">
        <f>INDEX(Weekly!K:K,MATCH($F48,Weekly!$E:$E,0))</f>
        <v>0</v>
      </c>
      <c r="N48" s="670">
        <f>INDEX(Weekly!L:L,MATCH($F48,Weekly!$E:$E,0))</f>
        <v>0</v>
      </c>
      <c r="O48" s="670">
        <f>INDEX(Weekly!N:N,MATCH($F48,Weekly!$E:$E,0))</f>
        <v>0</v>
      </c>
      <c r="P48" s="603">
        <f t="shared" si="2"/>
        <v>55.069999999999993</v>
      </c>
      <c r="Q48" s="86"/>
      <c r="R48" s="86"/>
      <c r="S48" s="86"/>
      <c r="T48" s="86"/>
      <c r="U48" s="86"/>
      <c r="V48" s="86"/>
      <c r="W48" s="86"/>
      <c r="X48" s="86"/>
      <c r="Y48" s="86"/>
      <c r="Z48" s="86"/>
    </row>
    <row r="49" spans="1:26" ht="13.8" thickBot="1" x14ac:dyDescent="0.3">
      <c r="A49" s="706"/>
      <c r="B49" s="1" t="str">
        <f t="shared" si="1"/>
        <v>C16</v>
      </c>
      <c r="C49" s="360" t="s">
        <v>307</v>
      </c>
      <c r="D49" s="593">
        <v>16</v>
      </c>
      <c r="E49" s="401" t="s">
        <v>274</v>
      </c>
      <c r="F49" s="355" t="s">
        <v>331</v>
      </c>
      <c r="G49" s="363">
        <f>INDEX(Weekly!F:F,MATCH($F49,Weekly!$E:$E,0))</f>
        <v>-94.709568764568772</v>
      </c>
      <c r="H49" s="391">
        <f>INDEX(Weekly!G:G,MATCH($F49,Weekly!$E:$E,0))</f>
        <v>13</v>
      </c>
      <c r="I49" s="181">
        <f>INDEX(Weekly!H:H,MATCH($F49,Weekly!$E:$E,0))</f>
        <v>-7</v>
      </c>
      <c r="J49" s="396">
        <f>INDEX(Weekly!I:I,MATCH($F49,Weekly!$E:$E,0))</f>
        <v>0</v>
      </c>
      <c r="K49" s="598">
        <f>INDEX(Weekly!J:J,MATCH($F49,Weekly!$E:$E,0))</f>
        <v>-11.370000000000001</v>
      </c>
      <c r="L49" s="371">
        <f>INDEX(Prizes!F:F,MATCH($B49,Prizes!A:A,0))</f>
        <v>0</v>
      </c>
      <c r="M49" s="372">
        <f>INDEX(Weekly!K:K,MATCH($F49,Weekly!$E:$E,0))</f>
        <v>0</v>
      </c>
      <c r="N49" s="371">
        <f>INDEX(Weekly!L:L,MATCH($F49,Weekly!$E:$E,0))</f>
        <v>0</v>
      </c>
      <c r="O49" s="371">
        <f>INDEX(Weekly!N:N,MATCH($F49,Weekly!$E:$E,0))</f>
        <v>0</v>
      </c>
      <c r="P49" s="605">
        <f t="shared" si="2"/>
        <v>-11.370000000000001</v>
      </c>
      <c r="Q49" s="86"/>
      <c r="R49" s="86"/>
      <c r="S49" s="86"/>
      <c r="T49" s="86"/>
      <c r="U49" s="86"/>
      <c r="V49" s="86"/>
      <c r="W49" s="86"/>
      <c r="X49" s="86"/>
      <c r="Y49" s="86"/>
      <c r="Z49" s="86"/>
    </row>
    <row r="50" spans="1:26" ht="12.75" customHeight="1" x14ac:dyDescent="0.25">
      <c r="A50" s="707" t="s">
        <v>267</v>
      </c>
      <c r="B50" s="1" t="str">
        <f t="shared" si="1"/>
        <v>D1</v>
      </c>
      <c r="C50" s="356" t="s">
        <v>308</v>
      </c>
      <c r="D50" s="1">
        <v>1</v>
      </c>
      <c r="E50" s="400" t="s">
        <v>275</v>
      </c>
      <c r="F50" s="15" t="s">
        <v>458</v>
      </c>
      <c r="G50" s="362">
        <f>INDEX(Weekly!F:F,MATCH($F50,Weekly!$E:$E,0))</f>
        <v>89.756249999999994</v>
      </c>
      <c r="H50" s="390">
        <f>INDEX(Weekly!G:G,MATCH($F50,Weekly!$E:$E,0))</f>
        <v>21</v>
      </c>
      <c r="I50" s="154">
        <f>INDEX(Weekly!H:H,MATCH($F50,Weekly!$E:$E,0))</f>
        <v>-7</v>
      </c>
      <c r="J50" s="395">
        <f>INDEX(Weekly!I:I,MATCH($F50,Weekly!$E:$E,0))</f>
        <v>0</v>
      </c>
      <c r="K50" s="596">
        <f>INDEX(Weekly!J:J,MATCH($F50,Weekly!$E:$E,0))</f>
        <v>-40</v>
      </c>
      <c r="L50" s="370">
        <f>INDEX(Prizes!F:F,MATCH($B50,Prizes!A:A,0))</f>
        <v>26.25</v>
      </c>
      <c r="M50" s="370">
        <f>INDEX(Weekly!K:K,MATCH($F50,Weekly!$E:$E,0))</f>
        <v>10</v>
      </c>
      <c r="N50" s="370">
        <f>INDEX(Weekly!L:L,MATCH($F50,Weekly!$E:$E,0))</f>
        <v>0</v>
      </c>
      <c r="O50" s="370">
        <f>INDEX(Weekly!N:N,MATCH($F50,Weekly!$E:$E,0))</f>
        <v>36.25</v>
      </c>
      <c r="P50" s="603">
        <f t="shared" si="2"/>
        <v>-3.75</v>
      </c>
      <c r="Q50" s="86"/>
      <c r="R50" s="86"/>
      <c r="S50" s="86"/>
      <c r="T50" s="86"/>
      <c r="U50" s="86"/>
      <c r="V50" s="86"/>
      <c r="W50" s="86"/>
      <c r="X50" s="86"/>
      <c r="Y50" s="86"/>
      <c r="Z50" s="86"/>
    </row>
    <row r="51" spans="1:26" x14ac:dyDescent="0.25">
      <c r="A51" s="708"/>
      <c r="B51" s="1" t="str">
        <f t="shared" si="1"/>
        <v>D2</v>
      </c>
      <c r="C51" s="356" t="s">
        <v>308</v>
      </c>
      <c r="D51" s="1">
        <v>2</v>
      </c>
      <c r="E51" s="662" t="s">
        <v>275</v>
      </c>
      <c r="F51" s="663" t="s">
        <v>366</v>
      </c>
      <c r="G51" s="361">
        <f>INDEX(Weekly!F:F,MATCH($F51,Weekly!$E:$E,0))</f>
        <v>70.847294372294371</v>
      </c>
      <c r="H51" s="665">
        <f>INDEX(Weekly!G:G,MATCH($F51,Weekly!$E:$E,0))</f>
        <v>22</v>
      </c>
      <c r="I51" s="667">
        <f>INDEX(Weekly!H:H,MATCH($F51,Weekly!$E:$E,0))</f>
        <v>5.1999999999999993</v>
      </c>
      <c r="J51" s="394">
        <f>INDEX(Weekly!I:I,MATCH($F51,Weekly!$E:$E,0))</f>
        <v>2</v>
      </c>
      <c r="K51" s="669">
        <f>INDEX(Weekly!J:J,MATCH($F51,Weekly!$E:$E,0))</f>
        <v>-3.75</v>
      </c>
      <c r="L51" s="670">
        <f>INDEX(Prizes!F:F,MATCH($B51,Prizes!A:A,0))</f>
        <v>18.75</v>
      </c>
      <c r="M51" s="671">
        <f>INDEX(Weekly!K:K,MATCH($F51,Weekly!$E:$E,0))</f>
        <v>15</v>
      </c>
      <c r="N51" s="670">
        <f>INDEX(Weekly!L:L,MATCH($F51,Weekly!$E:$E,0))</f>
        <v>0</v>
      </c>
      <c r="O51" s="670">
        <f>INDEX(Weekly!N:N,MATCH($F51,Weekly!$E:$E,0))</f>
        <v>33.75</v>
      </c>
      <c r="P51" s="603">
        <f t="shared" si="2"/>
        <v>30</v>
      </c>
      <c r="Q51" s="86"/>
      <c r="R51" s="86"/>
      <c r="S51" s="86"/>
      <c r="T51" s="86"/>
      <c r="U51" s="86"/>
      <c r="V51" s="86"/>
      <c r="W51" s="86"/>
      <c r="X51" s="86"/>
      <c r="Y51" s="86"/>
      <c r="Z51" s="86"/>
    </row>
    <row r="52" spans="1:26" x14ac:dyDescent="0.25">
      <c r="A52" s="708"/>
      <c r="B52" s="1" t="str">
        <f t="shared" si="1"/>
        <v>D3</v>
      </c>
      <c r="C52" s="356" t="s">
        <v>308</v>
      </c>
      <c r="D52" s="1">
        <v>3</v>
      </c>
      <c r="E52" s="400" t="s">
        <v>275</v>
      </c>
      <c r="F52" s="4" t="s">
        <v>453</v>
      </c>
      <c r="G52" s="361">
        <f>INDEX(Weekly!F:F,MATCH($F52,Weekly!$E:$E,0))</f>
        <v>53.518704545454547</v>
      </c>
      <c r="H52" s="389">
        <f>INDEX(Weekly!G:G,MATCH($F52,Weekly!$E:$E,0))</f>
        <v>39</v>
      </c>
      <c r="I52" s="153">
        <f>INDEX(Weekly!H:H,MATCH($F52,Weekly!$E:$E,0))</f>
        <v>0.66249999999999964</v>
      </c>
      <c r="J52" s="394">
        <f>INDEX(Weekly!I:I,MATCH($F52,Weekly!$E:$E,0))</f>
        <v>2</v>
      </c>
      <c r="K52" s="596">
        <f>INDEX(Weekly!J:J,MATCH($F52,Weekly!$E:$E,0))</f>
        <v>-40</v>
      </c>
      <c r="L52" s="367">
        <f>INDEX(Prizes!F:F,MATCH($B52,Prizes!A:A,0))</f>
        <v>13.5</v>
      </c>
      <c r="M52" s="370">
        <f>INDEX(Weekly!K:K,MATCH($F52,Weekly!$E:$E,0))</f>
        <v>20</v>
      </c>
      <c r="N52" s="367">
        <f>INDEX(Weekly!L:L,MATCH($F52,Weekly!$E:$E,0))</f>
        <v>0</v>
      </c>
      <c r="O52" s="367">
        <f>INDEX(Weekly!N:N,MATCH($F52,Weekly!$E:$E,0))</f>
        <v>33.5</v>
      </c>
      <c r="P52" s="603">
        <f t="shared" si="2"/>
        <v>-6.5</v>
      </c>
      <c r="Q52" s="86"/>
      <c r="R52" s="86"/>
      <c r="S52" s="86"/>
      <c r="T52" s="86"/>
      <c r="U52" s="86"/>
      <c r="V52" s="86"/>
      <c r="W52" s="86"/>
      <c r="X52" s="86"/>
      <c r="Y52" s="86"/>
      <c r="Z52" s="86"/>
    </row>
    <row r="53" spans="1:26" x14ac:dyDescent="0.25">
      <c r="A53" s="708"/>
      <c r="B53" s="1" t="str">
        <f t="shared" si="1"/>
        <v>D4</v>
      </c>
      <c r="C53" s="356" t="s">
        <v>308</v>
      </c>
      <c r="D53" s="1">
        <v>4</v>
      </c>
      <c r="E53" s="400" t="s">
        <v>275</v>
      </c>
      <c r="F53" s="4" t="s">
        <v>349</v>
      </c>
      <c r="G53" s="361">
        <f>INDEX(Weekly!F:F,MATCH($F53,Weekly!$E:$E,0))</f>
        <v>38.544367706367709</v>
      </c>
      <c r="H53" s="389">
        <f>INDEX(Weekly!G:G,MATCH($F53,Weekly!$E:$E,0))</f>
        <v>37</v>
      </c>
      <c r="I53" s="153">
        <f>INDEX(Weekly!H:H,MATCH($F53,Weekly!$E:$E,0))</f>
        <v>-7</v>
      </c>
      <c r="J53" s="394">
        <f>INDEX(Weekly!I:I,MATCH($F53,Weekly!$E:$E,0))</f>
        <v>0</v>
      </c>
      <c r="K53" s="596">
        <f>INDEX(Weekly!J:J,MATCH($F53,Weekly!$E:$E,0))</f>
        <v>-0.625</v>
      </c>
      <c r="L53" s="367">
        <f>INDEX(Prizes!F:F,MATCH($B53,Prizes!A:A,0))</f>
        <v>9</v>
      </c>
      <c r="M53" s="370">
        <f>INDEX(Weekly!K:K,MATCH($F53,Weekly!$E:$E,0))</f>
        <v>5</v>
      </c>
      <c r="N53" s="367">
        <f>INDEX(Weekly!L:L,MATCH($F53,Weekly!$E:$E,0))</f>
        <v>0</v>
      </c>
      <c r="O53" s="367">
        <f>INDEX(Weekly!N:N,MATCH($F53,Weekly!$E:$E,0))</f>
        <v>14</v>
      </c>
      <c r="P53" s="603">
        <f t="shared" si="2"/>
        <v>13.375</v>
      </c>
      <c r="Q53" s="86"/>
      <c r="R53" s="86"/>
      <c r="S53" s="86"/>
      <c r="T53" s="86"/>
      <c r="U53" s="86"/>
      <c r="V53" s="86"/>
      <c r="W53" s="86"/>
      <c r="X53" s="86"/>
      <c r="Y53" s="86"/>
      <c r="Z53" s="86"/>
    </row>
    <row r="54" spans="1:26" x14ac:dyDescent="0.25">
      <c r="A54" s="708"/>
      <c r="B54" s="1" t="str">
        <f t="shared" si="1"/>
        <v>D5</v>
      </c>
      <c r="C54" s="356" t="s">
        <v>308</v>
      </c>
      <c r="D54" s="1">
        <v>5</v>
      </c>
      <c r="E54" s="662" t="s">
        <v>275</v>
      </c>
      <c r="F54" s="663" t="s">
        <v>460</v>
      </c>
      <c r="G54" s="361">
        <f>INDEX(Weekly!F:F,MATCH($F54,Weekly!$E:$E,0))</f>
        <v>28.619232323232325</v>
      </c>
      <c r="H54" s="665">
        <f>INDEX(Weekly!G:G,MATCH($F54,Weekly!$E:$E,0))</f>
        <v>29</v>
      </c>
      <c r="I54" s="667">
        <f>INDEX(Weekly!H:H,MATCH($F54,Weekly!$E:$E,0))</f>
        <v>2.2300000000000004</v>
      </c>
      <c r="J54" s="394">
        <f>INDEX(Weekly!I:I,MATCH($F54,Weekly!$E:$E,0))</f>
        <v>2</v>
      </c>
      <c r="K54" s="669">
        <f>INDEX(Weekly!J:J,MATCH($F54,Weekly!$E:$E,0))</f>
        <v>-35</v>
      </c>
      <c r="L54" s="670">
        <f>INDEX(Prizes!F:F,MATCH($B54,Prizes!A:A,0))</f>
        <v>5.25</v>
      </c>
      <c r="M54" s="671">
        <f>INDEX(Weekly!K:K,MATCH($F54,Weekly!$E:$E,0))</f>
        <v>10</v>
      </c>
      <c r="N54" s="670">
        <f>INDEX(Weekly!L:L,MATCH($F54,Weekly!$E:$E,0))</f>
        <v>0</v>
      </c>
      <c r="O54" s="670">
        <f>INDEX(Weekly!N:N,MATCH($F54,Weekly!$E:$E,0))</f>
        <v>15.25</v>
      </c>
      <c r="P54" s="603">
        <f t="shared" si="2"/>
        <v>-19.75</v>
      </c>
      <c r="Q54" s="86"/>
      <c r="R54" s="86"/>
      <c r="S54" s="86"/>
      <c r="T54" s="86"/>
      <c r="U54" s="86"/>
      <c r="V54" s="86"/>
      <c r="W54" s="86"/>
      <c r="X54" s="86"/>
      <c r="Y54" s="86"/>
      <c r="Z54" s="86"/>
    </row>
    <row r="55" spans="1:26" x14ac:dyDescent="0.25">
      <c r="A55" s="708"/>
      <c r="B55" s="11" t="str">
        <f t="shared" si="1"/>
        <v>D6</v>
      </c>
      <c r="C55" s="460" t="s">
        <v>308</v>
      </c>
      <c r="D55" s="480">
        <v>6</v>
      </c>
      <c r="E55" s="461" t="s">
        <v>275</v>
      </c>
      <c r="F55" s="462" t="s">
        <v>365</v>
      </c>
      <c r="G55" s="463">
        <f>INDEX(Weekly!F:F,MATCH($F55,Weekly!$E:$E,0))</f>
        <v>28.296438122063115</v>
      </c>
      <c r="H55" s="464">
        <f>INDEX(Weekly!G:G,MATCH($F55,Weekly!$E:$E,0))</f>
        <v>41</v>
      </c>
      <c r="I55" s="465">
        <f>INDEX(Weekly!H:H,MATCH($F55,Weekly!$E:$E,0))</f>
        <v>-1.6444444444444439</v>
      </c>
      <c r="J55" s="466">
        <f>INDEX(Weekly!I:I,MATCH($F55,Weekly!$E:$E,0))</f>
        <v>2</v>
      </c>
      <c r="K55" s="599">
        <f>INDEX(Weekly!J:J,MATCH($F55,Weekly!$E:$E,0))</f>
        <v>-40</v>
      </c>
      <c r="L55" s="467">
        <f>INDEX(Prizes!F:F,MATCH($B55,Prizes!A:A,0))</f>
        <v>2.25</v>
      </c>
      <c r="M55" s="468">
        <f>INDEX(Weekly!K:K,MATCH($F55,Weekly!$E:$E,0))</f>
        <v>5</v>
      </c>
      <c r="N55" s="467">
        <f>INDEX(Weekly!L:L,MATCH($F55,Weekly!$E:$E,0))</f>
        <v>0</v>
      </c>
      <c r="O55" s="467">
        <f>INDEX(Weekly!N:N,MATCH($F55,Weekly!$E:$E,0))</f>
        <v>7.25</v>
      </c>
      <c r="P55" s="606">
        <f t="shared" si="2"/>
        <v>-32.75</v>
      </c>
      <c r="Q55" s="86"/>
      <c r="R55" s="86"/>
      <c r="S55" s="86"/>
      <c r="T55" s="86"/>
      <c r="U55" s="86"/>
      <c r="V55" s="86"/>
      <c r="W55" s="86"/>
      <c r="X55" s="86"/>
      <c r="Y55" s="86"/>
      <c r="Z55" s="86"/>
    </row>
    <row r="56" spans="1:26" x14ac:dyDescent="0.25">
      <c r="A56" s="708"/>
      <c r="B56" s="1" t="str">
        <f t="shared" si="1"/>
        <v>D7</v>
      </c>
      <c r="C56" s="357" t="s">
        <v>306</v>
      </c>
      <c r="D56" s="1">
        <v>7</v>
      </c>
      <c r="E56" s="662" t="s">
        <v>275</v>
      </c>
      <c r="F56" s="663" t="s">
        <v>540</v>
      </c>
      <c r="G56" s="361">
        <f>INDEX(Weekly!F:F,MATCH($F56,Weekly!$E:$E,0))</f>
        <v>27.408375000000003</v>
      </c>
      <c r="H56" s="665">
        <f>INDEX(Weekly!G:G,MATCH($F56,Weekly!$E:$E,0))</f>
        <v>27</v>
      </c>
      <c r="I56" s="667">
        <f>INDEX(Weekly!H:H,MATCH($F56,Weekly!$E:$E,0))</f>
        <v>-4.8</v>
      </c>
      <c r="J56" s="394">
        <f>INDEX(Weekly!I:I,MATCH($F56,Weekly!$E:$E,0))</f>
        <v>1</v>
      </c>
      <c r="K56" s="669">
        <f>INDEX(Weekly!J:J,MATCH($F56,Weekly!$E:$E,0))</f>
        <v>0</v>
      </c>
      <c r="L56" s="670">
        <f>INDEX(Prizes!F:F,MATCH($B56,Prizes!A:A,0))</f>
        <v>0</v>
      </c>
      <c r="M56" s="671">
        <f>INDEX(Weekly!K:K,MATCH($F56,Weekly!$E:$E,0))</f>
        <v>15</v>
      </c>
      <c r="N56" s="670">
        <f>INDEX(Weekly!L:L,MATCH($F56,Weekly!$E:$E,0))</f>
        <v>0</v>
      </c>
      <c r="O56" s="670">
        <f>INDEX(Weekly!N:N,MATCH($F56,Weekly!$E:$E,0))</f>
        <v>15</v>
      </c>
      <c r="P56" s="603">
        <f t="shared" si="2"/>
        <v>15</v>
      </c>
      <c r="Q56" s="86"/>
      <c r="R56" s="86"/>
      <c r="S56" s="86"/>
      <c r="T56" s="86"/>
      <c r="U56" s="86"/>
      <c r="V56" s="86"/>
      <c r="W56" s="86"/>
      <c r="X56" s="86"/>
      <c r="Y56" s="86"/>
      <c r="Z56" s="86"/>
    </row>
    <row r="57" spans="1:26" x14ac:dyDescent="0.25">
      <c r="A57" s="708"/>
      <c r="B57" s="1" t="str">
        <f t="shared" si="1"/>
        <v>D8</v>
      </c>
      <c r="C57" s="357" t="s">
        <v>306</v>
      </c>
      <c r="D57" s="1">
        <v>8</v>
      </c>
      <c r="E57" s="400" t="s">
        <v>275</v>
      </c>
      <c r="F57" s="4" t="s">
        <v>451</v>
      </c>
      <c r="G57" s="361">
        <f>INDEX(Weekly!F:F,MATCH($F57,Weekly!$E:$E,0))</f>
        <v>26.22911976911977</v>
      </c>
      <c r="H57" s="389">
        <f>INDEX(Weekly!G:G,MATCH($F57,Weekly!$E:$E,0))</f>
        <v>27</v>
      </c>
      <c r="I57" s="153">
        <f>INDEX(Weekly!H:H,MATCH($F57,Weekly!$E:$E,0))</f>
        <v>-7</v>
      </c>
      <c r="J57" s="394">
        <f>INDEX(Weekly!I:I,MATCH($F57,Weekly!$E:$E,0))</f>
        <v>0</v>
      </c>
      <c r="K57" s="596">
        <f>INDEX(Weekly!J:J,MATCH($F57,Weekly!$E:$E,0))</f>
        <v>-35</v>
      </c>
      <c r="L57" s="367">
        <f>INDEX(Prizes!F:F,MATCH($B57,Prizes!A:A,0))</f>
        <v>0</v>
      </c>
      <c r="M57" s="370">
        <f>INDEX(Weekly!K:K,MATCH($F57,Weekly!$E:$E,0))</f>
        <v>15</v>
      </c>
      <c r="N57" s="367">
        <f>INDEX(Weekly!L:L,MATCH($F57,Weekly!$E:$E,0))</f>
        <v>0</v>
      </c>
      <c r="O57" s="367">
        <f>INDEX(Weekly!N:N,MATCH($F57,Weekly!$E:$E,0))</f>
        <v>15</v>
      </c>
      <c r="P57" s="603">
        <f t="shared" si="2"/>
        <v>-20</v>
      </c>
      <c r="Q57" s="86"/>
      <c r="R57" s="86"/>
      <c r="S57" s="86"/>
      <c r="T57" s="86"/>
      <c r="U57" s="86"/>
      <c r="V57" s="86"/>
      <c r="W57" s="86"/>
      <c r="X57" s="86"/>
      <c r="Y57" s="86"/>
      <c r="Z57" s="86"/>
    </row>
    <row r="58" spans="1:26" x14ac:dyDescent="0.25">
      <c r="A58" s="708"/>
      <c r="B58" s="1" t="str">
        <f t="shared" si="1"/>
        <v>D9</v>
      </c>
      <c r="C58" s="374"/>
      <c r="D58" s="1">
        <v>9</v>
      </c>
      <c r="E58" s="400" t="s">
        <v>275</v>
      </c>
      <c r="F58" s="4" t="s">
        <v>464</v>
      </c>
      <c r="G58" s="361">
        <f>INDEX(Weekly!F:F,MATCH($F58,Weekly!$E:$E,0))</f>
        <v>24.725984532828271</v>
      </c>
      <c r="H58" s="389">
        <f>INDEX(Weekly!G:G,MATCH($F58,Weekly!$E:$E,0))</f>
        <v>27</v>
      </c>
      <c r="I58" s="153">
        <f>INDEX(Weekly!H:H,MATCH($F58,Weekly!$E:$E,0))</f>
        <v>-7</v>
      </c>
      <c r="J58" s="394">
        <f>INDEX(Weekly!I:I,MATCH($F58,Weekly!$E:$E,0))</f>
        <v>0</v>
      </c>
      <c r="K58" s="596">
        <f>INDEX(Weekly!J:J,MATCH($F58,Weekly!$E:$E,0))</f>
        <v>-40</v>
      </c>
      <c r="L58" s="367">
        <f>INDEX(Prizes!F:F,MATCH($B58,Prizes!A:A,0))</f>
        <v>0</v>
      </c>
      <c r="M58" s="370">
        <f>INDEX(Weekly!K:K,MATCH($F58,Weekly!$E:$E,0))</f>
        <v>10</v>
      </c>
      <c r="N58" s="367">
        <f>INDEX(Weekly!L:L,MATCH($F58,Weekly!$E:$E,0))</f>
        <v>0</v>
      </c>
      <c r="O58" s="367">
        <f>INDEX(Weekly!N:N,MATCH($F58,Weekly!$E:$E,0))</f>
        <v>10</v>
      </c>
      <c r="P58" s="603">
        <f t="shared" si="2"/>
        <v>-30</v>
      </c>
      <c r="Q58" s="86"/>
      <c r="R58" s="86"/>
      <c r="S58" s="86"/>
      <c r="T58" s="86"/>
      <c r="U58" s="86"/>
      <c r="V58" s="86"/>
      <c r="W58" s="86"/>
      <c r="X58" s="86"/>
      <c r="Y58" s="86"/>
      <c r="Z58" s="86"/>
    </row>
    <row r="59" spans="1:26" x14ac:dyDescent="0.25">
      <c r="A59" s="708"/>
      <c r="B59" s="1" t="str">
        <f t="shared" si="1"/>
        <v>D10</v>
      </c>
      <c r="C59" s="374"/>
      <c r="D59" s="1">
        <v>10</v>
      </c>
      <c r="E59" s="662" t="s">
        <v>275</v>
      </c>
      <c r="F59" s="663" t="s">
        <v>335</v>
      </c>
      <c r="G59" s="361">
        <f>INDEX(Weekly!F:F,MATCH($F59,Weekly!$E:$E,0))</f>
        <v>20.147486402486422</v>
      </c>
      <c r="H59" s="665">
        <f>INDEX(Weekly!G:G,MATCH($F59,Weekly!$E:$E,0))</f>
        <v>29</v>
      </c>
      <c r="I59" s="667">
        <f>INDEX(Weekly!H:H,MATCH($F59,Weekly!$E:$E,0))</f>
        <v>-2.5999999999999996</v>
      </c>
      <c r="J59" s="394">
        <f>INDEX(Weekly!I:I,MATCH($F59,Weekly!$E:$E,0))</f>
        <v>1</v>
      </c>
      <c r="K59" s="669">
        <f>INDEX(Weekly!J:J,MATCH($F59,Weekly!$E:$E,0))</f>
        <v>-35</v>
      </c>
      <c r="L59" s="670">
        <f>INDEX(Prizes!F:F,MATCH($B59,Prizes!A:A,0))</f>
        <v>0</v>
      </c>
      <c r="M59" s="671">
        <f>INDEX(Weekly!K:K,MATCH($F59,Weekly!$E:$E,0))</f>
        <v>15</v>
      </c>
      <c r="N59" s="670">
        <f>INDEX(Weekly!L:L,MATCH($F59,Weekly!$E:$E,0))</f>
        <v>0</v>
      </c>
      <c r="O59" s="670">
        <f>INDEX(Weekly!N:N,MATCH($F59,Weekly!$E:$E,0))</f>
        <v>15</v>
      </c>
      <c r="P59" s="603">
        <f t="shared" si="2"/>
        <v>-20</v>
      </c>
      <c r="Q59" s="86"/>
      <c r="R59" s="86"/>
      <c r="S59" s="86"/>
      <c r="T59" s="86"/>
      <c r="U59" s="86"/>
      <c r="V59" s="86"/>
      <c r="W59" s="86"/>
      <c r="X59" s="86"/>
      <c r="Y59" s="86"/>
      <c r="Z59" s="86"/>
    </row>
    <row r="60" spans="1:26" x14ac:dyDescent="0.25">
      <c r="A60" s="708"/>
      <c r="B60" s="1" t="str">
        <f t="shared" si="1"/>
        <v>D11</v>
      </c>
      <c r="C60" s="374"/>
      <c r="D60" s="1">
        <v>11</v>
      </c>
      <c r="E60" s="400" t="s">
        <v>275</v>
      </c>
      <c r="F60" s="4" t="s">
        <v>457</v>
      </c>
      <c r="G60" s="361">
        <f>INDEX(Weekly!F:F,MATCH($F60,Weekly!$E:$E,0))</f>
        <v>11.6381691919192</v>
      </c>
      <c r="H60" s="389">
        <f>INDEX(Weekly!G:G,MATCH($F60,Weekly!$E:$E,0))</f>
        <v>30</v>
      </c>
      <c r="I60" s="153">
        <f>INDEX(Weekly!H:H,MATCH($F60,Weekly!$E:$E,0))</f>
        <v>-1.2777777777777777</v>
      </c>
      <c r="J60" s="394">
        <f>INDEX(Weekly!I:I,MATCH($F60,Weekly!$E:$E,0))</f>
        <v>2</v>
      </c>
      <c r="K60" s="596">
        <f>INDEX(Weekly!J:J,MATCH($F60,Weekly!$E:$E,0))</f>
        <v>-40</v>
      </c>
      <c r="L60" s="367">
        <f>INDEX(Prizes!F:F,MATCH($B60,Prizes!A:A,0))</f>
        <v>0</v>
      </c>
      <c r="M60" s="370">
        <f>INDEX(Weekly!K:K,MATCH($F60,Weekly!$E:$E,0))</f>
        <v>10</v>
      </c>
      <c r="N60" s="367">
        <f>INDEX(Weekly!L:L,MATCH($F60,Weekly!$E:$E,0))</f>
        <v>25</v>
      </c>
      <c r="O60" s="367">
        <f>INDEX(Weekly!N:N,MATCH($F60,Weekly!$E:$E,0))</f>
        <v>35</v>
      </c>
      <c r="P60" s="603">
        <f t="shared" si="2"/>
        <v>-5</v>
      </c>
      <c r="Q60" s="86"/>
      <c r="R60" s="86"/>
      <c r="S60" s="86"/>
      <c r="T60" s="86"/>
      <c r="U60" s="86"/>
      <c r="V60" s="86"/>
      <c r="W60" s="86"/>
      <c r="X60" s="86"/>
      <c r="Y60" s="86"/>
      <c r="Z60" s="86"/>
    </row>
    <row r="61" spans="1:26" x14ac:dyDescent="0.25">
      <c r="A61" s="708"/>
      <c r="B61" s="11" t="str">
        <f t="shared" si="1"/>
        <v>D12</v>
      </c>
      <c r="C61" s="375"/>
      <c r="D61" s="1">
        <v>12</v>
      </c>
      <c r="E61" s="400" t="s">
        <v>275</v>
      </c>
      <c r="F61" s="4" t="s">
        <v>450</v>
      </c>
      <c r="G61" s="361">
        <f>INDEX(Weekly!F:F,MATCH($F61,Weekly!$E:$E,0))</f>
        <v>-12.468846153846155</v>
      </c>
      <c r="H61" s="389">
        <f>INDEX(Weekly!G:G,MATCH($F61,Weekly!$E:$E,0))</f>
        <v>20</v>
      </c>
      <c r="I61" s="153">
        <f>INDEX(Weekly!H:H,MATCH($F61,Weekly!$E:$E,0))</f>
        <v>15.760000000000002</v>
      </c>
      <c r="J61" s="394">
        <f>INDEX(Weekly!I:I,MATCH($F61,Weekly!$E:$E,0))</f>
        <v>2</v>
      </c>
      <c r="K61" s="596">
        <f>INDEX(Weekly!J:J,MATCH($F61,Weekly!$E:$E,0))</f>
        <v>-35</v>
      </c>
      <c r="L61" s="367">
        <f>INDEX(Prizes!F:F,MATCH($B61,Prizes!A:A,0))</f>
        <v>0</v>
      </c>
      <c r="M61" s="370">
        <f>INDEX(Weekly!K:K,MATCH($F61,Weekly!$E:$E,0))</f>
        <v>15</v>
      </c>
      <c r="N61" s="367">
        <f>INDEX(Weekly!L:L,MATCH($F61,Weekly!$E:$E,0))</f>
        <v>0</v>
      </c>
      <c r="O61" s="367">
        <f>INDEX(Weekly!N:N,MATCH($F61,Weekly!$E:$E,0))</f>
        <v>15</v>
      </c>
      <c r="P61" s="603">
        <f t="shared" si="2"/>
        <v>-20</v>
      </c>
      <c r="Q61" s="86"/>
      <c r="R61" s="86"/>
      <c r="S61" s="86"/>
      <c r="T61" s="86"/>
      <c r="U61" s="86"/>
      <c r="V61" s="86"/>
      <c r="W61" s="86"/>
      <c r="X61" s="86"/>
      <c r="Y61" s="86"/>
      <c r="Z61" s="86"/>
    </row>
    <row r="62" spans="1:26" x14ac:dyDescent="0.25">
      <c r="A62" s="708"/>
      <c r="B62" s="1" t="str">
        <f t="shared" si="1"/>
        <v>D13</v>
      </c>
      <c r="C62" s="374"/>
      <c r="D62" s="1">
        <v>13</v>
      </c>
      <c r="E62" s="400" t="s">
        <v>275</v>
      </c>
      <c r="F62" s="15" t="s">
        <v>461</v>
      </c>
      <c r="G62" s="362">
        <f>INDEX(Weekly!F:F,MATCH($F62,Weekly!$E:$E,0))</f>
        <v>-19.990846930846928</v>
      </c>
      <c r="H62" s="390">
        <f>INDEX(Weekly!G:G,MATCH($F62,Weekly!$E:$E,0))</f>
        <v>25</v>
      </c>
      <c r="I62" s="154">
        <f>INDEX(Weekly!H:H,MATCH($F62,Weekly!$E:$E,0))</f>
        <v>-4</v>
      </c>
      <c r="J62" s="395">
        <f>INDEX(Weekly!I:I,MATCH($F62,Weekly!$E:$E,0))</f>
        <v>1</v>
      </c>
      <c r="K62" s="596">
        <f>INDEX(Weekly!J:J,MATCH($F62,Weekly!$E:$E,0))</f>
        <v>-40</v>
      </c>
      <c r="L62" s="370">
        <f>INDEX(Prizes!F:F,MATCH($B62,Prizes!A:A,0))</f>
        <v>0</v>
      </c>
      <c r="M62" s="370">
        <f>INDEX(Weekly!K:K,MATCH($F62,Weekly!$E:$E,0))</f>
        <v>5</v>
      </c>
      <c r="N62" s="370">
        <f>INDEX(Weekly!L:L,MATCH($F62,Weekly!$E:$E,0))</f>
        <v>0</v>
      </c>
      <c r="O62" s="370">
        <f>INDEX(Weekly!N:N,MATCH($F62,Weekly!$E:$E,0))</f>
        <v>5</v>
      </c>
      <c r="P62" s="603">
        <f t="shared" si="2"/>
        <v>-35</v>
      </c>
      <c r="Q62" s="86"/>
      <c r="R62" s="86"/>
      <c r="S62" s="86"/>
      <c r="T62" s="86"/>
      <c r="U62" s="86"/>
      <c r="V62" s="86"/>
      <c r="W62" s="86"/>
      <c r="X62" s="86"/>
      <c r="Y62" s="86"/>
      <c r="Z62" s="86"/>
    </row>
    <row r="63" spans="1:26" x14ac:dyDescent="0.25">
      <c r="A63" s="708"/>
      <c r="B63" s="560" t="str">
        <f t="shared" si="1"/>
        <v>D14</v>
      </c>
      <c r="C63" s="374"/>
      <c r="D63" s="1">
        <v>14</v>
      </c>
      <c r="E63" s="400" t="s">
        <v>275</v>
      </c>
      <c r="F63" s="4" t="s">
        <v>361</v>
      </c>
      <c r="G63" s="361">
        <f>INDEX(Weekly!F:F,MATCH($F63,Weekly!$E:$E,0))</f>
        <v>-34.732847222222219</v>
      </c>
      <c r="H63" s="389">
        <f>INDEX(Weekly!G:G,MATCH($F63,Weekly!$E:$E,0))</f>
        <v>22</v>
      </c>
      <c r="I63" s="153">
        <f>INDEX(Weekly!H:H,MATCH($F63,Weekly!$E:$E,0))</f>
        <v>25.969374999999999</v>
      </c>
      <c r="J63" s="394">
        <f>INDEX(Weekly!I:I,MATCH($F63,Weekly!$E:$E,0))</f>
        <v>3</v>
      </c>
      <c r="K63" s="596">
        <f>INDEX(Weekly!J:J,MATCH($F63,Weekly!$E:$E,0))</f>
        <v>-12.939999999999998</v>
      </c>
      <c r="L63" s="367">
        <f>INDEX(Prizes!F:F,MATCH($B63,Prizes!A:A,0))</f>
        <v>0</v>
      </c>
      <c r="M63" s="370">
        <f>INDEX(Weekly!K:K,MATCH($F63,Weekly!$E:$E,0))</f>
        <v>2.5</v>
      </c>
      <c r="N63" s="367">
        <f>INDEX(Weekly!L:L,MATCH($F63,Weekly!$E:$E,0))</f>
        <v>0</v>
      </c>
      <c r="O63" s="367">
        <f>INDEX(Weekly!N:N,MATCH($F63,Weekly!$E:$E,0))</f>
        <v>2.5</v>
      </c>
      <c r="P63" s="603">
        <f t="shared" si="2"/>
        <v>-10.439999999999998</v>
      </c>
      <c r="Q63" s="86"/>
      <c r="R63" s="86"/>
      <c r="S63" s="86"/>
      <c r="T63" s="86"/>
      <c r="U63" s="86"/>
      <c r="V63" s="86"/>
      <c r="W63" s="86"/>
      <c r="X63" s="86"/>
      <c r="Y63" s="86"/>
      <c r="Z63" s="86"/>
    </row>
    <row r="64" spans="1:26" x14ac:dyDescent="0.25">
      <c r="A64" s="708"/>
      <c r="B64" s="560" t="str">
        <f t="shared" si="1"/>
        <v>D15</v>
      </c>
      <c r="C64" s="374"/>
      <c r="D64" s="1">
        <v>15</v>
      </c>
      <c r="E64" s="400" t="s">
        <v>275</v>
      </c>
      <c r="F64" s="4" t="s">
        <v>392</v>
      </c>
      <c r="G64" s="361">
        <f>INDEX(Weekly!F:F,MATCH($F64,Weekly!$E:$E,0))</f>
        <v>-49.935681818181813</v>
      </c>
      <c r="H64" s="389">
        <f>INDEX(Weekly!G:G,MATCH($F64,Weekly!$E:$E,0))</f>
        <v>15</v>
      </c>
      <c r="I64" s="153">
        <f>INDEX(Weekly!H:H,MATCH($F64,Weekly!$E:$E,0))</f>
        <v>-7</v>
      </c>
      <c r="J64" s="394">
        <f>INDEX(Weekly!I:I,MATCH($F64,Weekly!$E:$E,0))</f>
        <v>0</v>
      </c>
      <c r="K64" s="596">
        <f>INDEX(Weekly!J:J,MATCH($F64,Weekly!$E:$E,0))</f>
        <v>-30</v>
      </c>
      <c r="L64" s="367">
        <f>INDEX(Prizes!F:F,MATCH($B64,Prizes!A:A,0))</f>
        <v>0</v>
      </c>
      <c r="M64" s="370">
        <f>INDEX(Weekly!K:K,MATCH($F64,Weekly!$E:$E,0))</f>
        <v>5</v>
      </c>
      <c r="N64" s="367">
        <f>INDEX(Weekly!L:L,MATCH($F64,Weekly!$E:$E,0))</f>
        <v>0</v>
      </c>
      <c r="O64" s="367">
        <f>INDEX(Weekly!N:N,MATCH($F64,Weekly!$E:$E,0))</f>
        <v>5</v>
      </c>
      <c r="P64" s="603">
        <f t="shared" si="2"/>
        <v>-25</v>
      </c>
      <c r="Q64" s="86"/>
      <c r="R64" s="86"/>
      <c r="S64" s="86"/>
      <c r="T64" s="86"/>
      <c r="U64" s="86"/>
      <c r="V64" s="86"/>
      <c r="W64" s="86"/>
      <c r="X64" s="86"/>
      <c r="Y64" s="86"/>
      <c r="Z64" s="86"/>
    </row>
    <row r="65" spans="1:26" x14ac:dyDescent="0.25">
      <c r="A65" s="708"/>
      <c r="B65" s="560" t="str">
        <f t="shared" si="1"/>
        <v>D16</v>
      </c>
      <c r="C65" s="374"/>
      <c r="D65" s="1">
        <v>16</v>
      </c>
      <c r="E65" s="400" t="s">
        <v>275</v>
      </c>
      <c r="F65" s="4" t="s">
        <v>459</v>
      </c>
      <c r="G65" s="361">
        <f>INDEX(Weekly!F:F,MATCH($F65,Weekly!$E:$E,0))</f>
        <v>-72.214999999999989</v>
      </c>
      <c r="H65" s="389">
        <f>INDEX(Weekly!G:G,MATCH($F65,Weekly!$E:$E,0))</f>
        <v>18</v>
      </c>
      <c r="I65" s="153">
        <f>INDEX(Weekly!H:H,MATCH($F65,Weekly!$E:$E,0))</f>
        <v>-3</v>
      </c>
      <c r="J65" s="394">
        <f>INDEX(Weekly!I:I,MATCH($F65,Weekly!$E:$E,0))</f>
        <v>1</v>
      </c>
      <c r="K65" s="596">
        <f>INDEX(Weekly!J:J,MATCH($F65,Weekly!$E:$E,0))</f>
        <v>-35</v>
      </c>
      <c r="L65" s="367">
        <f>INDEX(Prizes!F:F,MATCH($B65,Prizes!A:A,0))</f>
        <v>0</v>
      </c>
      <c r="M65" s="370">
        <f>INDEX(Weekly!K:K,MATCH($F65,Weekly!$E:$E,0))</f>
        <v>0</v>
      </c>
      <c r="N65" s="367">
        <f>INDEX(Weekly!L:L,MATCH($F65,Weekly!$E:$E,0))</f>
        <v>0</v>
      </c>
      <c r="O65" s="367">
        <f>INDEX(Weekly!N:N,MATCH($F65,Weekly!$E:$E,0))</f>
        <v>0</v>
      </c>
      <c r="P65" s="603">
        <f t="shared" si="2"/>
        <v>-35</v>
      </c>
      <c r="Q65" s="86"/>
      <c r="R65" s="86"/>
      <c r="S65" s="86"/>
      <c r="T65" s="86"/>
      <c r="U65" s="86"/>
      <c r="V65" s="86"/>
      <c r="W65" s="86"/>
      <c r="X65" s="86"/>
      <c r="Y65" s="86"/>
      <c r="Z65" s="86"/>
    </row>
    <row r="66" spans="1:26" x14ac:dyDescent="0.25">
      <c r="A66" s="708"/>
      <c r="B66" s="1" t="str">
        <f t="shared" si="1"/>
        <v>D17</v>
      </c>
      <c r="C66" s="374"/>
      <c r="D66" s="1">
        <v>17</v>
      </c>
      <c r="E66" s="400" t="s">
        <v>275</v>
      </c>
      <c r="F66" s="4" t="s">
        <v>465</v>
      </c>
      <c r="G66" s="361">
        <f>INDEX(Weekly!F:F,MATCH($F66,Weekly!$E:$E,0))</f>
        <v>-78.55</v>
      </c>
      <c r="H66" s="389">
        <f>INDEX(Weekly!G:G,MATCH($F66,Weekly!$E:$E,0))</f>
        <v>8</v>
      </c>
      <c r="I66" s="153">
        <f>INDEX(Weekly!H:H,MATCH($F66,Weekly!$E:$E,0))</f>
        <v>-7</v>
      </c>
      <c r="J66" s="394">
        <f>INDEX(Weekly!I:I,MATCH($F66,Weekly!$E:$E,0))</f>
        <v>0</v>
      </c>
      <c r="K66" s="596">
        <f>INDEX(Weekly!J:J,MATCH($F66,Weekly!$E:$E,0))</f>
        <v>-35</v>
      </c>
      <c r="L66" s="367">
        <f>INDEX(Prizes!F:F,MATCH($B66,Prizes!A:A,0))</f>
        <v>0</v>
      </c>
      <c r="M66" s="370">
        <f>INDEX(Weekly!K:K,MATCH($F66,Weekly!$E:$E,0))</f>
        <v>0</v>
      </c>
      <c r="N66" s="367">
        <f>INDEX(Weekly!L:L,MATCH($F66,Weekly!$E:$E,0))</f>
        <v>0</v>
      </c>
      <c r="O66" s="367">
        <f>INDEX(Weekly!N:N,MATCH($F66,Weekly!$E:$E,0))</f>
        <v>0</v>
      </c>
      <c r="P66" s="603">
        <f t="shared" ref="P66:P97" si="3">O66+K66</f>
        <v>-35</v>
      </c>
    </row>
    <row r="67" spans="1:26" ht="13.8" thickBot="1" x14ac:dyDescent="0.3">
      <c r="A67" s="708"/>
      <c r="B67" s="559"/>
      <c r="C67" s="376"/>
      <c r="D67" s="354"/>
      <c r="E67" s="354"/>
      <c r="F67" s="355"/>
      <c r="G67" s="363"/>
      <c r="H67" s="391"/>
      <c r="I67" s="181"/>
      <c r="J67" s="396"/>
      <c r="K67" s="600"/>
      <c r="L67" s="371"/>
      <c r="M67" s="372"/>
      <c r="N67" s="371"/>
      <c r="O67" s="371"/>
      <c r="P67" s="373"/>
    </row>
    <row r="68" spans="1:26" x14ac:dyDescent="0.25">
      <c r="C68" s="1"/>
      <c r="D68" s="1"/>
      <c r="E68" s="1"/>
      <c r="G68" s="153"/>
      <c r="H68" s="389"/>
      <c r="I68" s="153"/>
      <c r="J68" s="389"/>
      <c r="K68" s="3"/>
      <c r="L68" s="63"/>
      <c r="M68" s="20"/>
      <c r="N68" s="63"/>
      <c r="O68" s="63"/>
      <c r="P68" s="154"/>
    </row>
    <row r="69" spans="1:26" x14ac:dyDescent="0.25">
      <c r="C69" s="9"/>
      <c r="D69" s="9"/>
      <c r="E69" s="9"/>
      <c r="F69" s="15"/>
      <c r="K69" s="536"/>
      <c r="L69" s="367">
        <f>SUM(L2:L67)</f>
        <v>750</v>
      </c>
      <c r="M69" s="368">
        <f>SUM(M2:M67)</f>
        <v>500</v>
      </c>
      <c r="N69" s="368">
        <f>SUM(N2:N67)</f>
        <v>50</v>
      </c>
      <c r="O69" s="368">
        <f>SUM(O2:O67)</f>
        <v>1300</v>
      </c>
      <c r="P69" s="368">
        <f>SUM(P2:P67)</f>
        <v>1704.47</v>
      </c>
    </row>
  </sheetData>
  <sheetCalcPr fullCalcOnLoad="1"/>
  <mergeCells count="4">
    <mergeCell ref="A2:A17"/>
    <mergeCell ref="A18:A33"/>
    <mergeCell ref="A34:A49"/>
    <mergeCell ref="A50:A67"/>
  </mergeCells>
  <conditionalFormatting sqref="K67:P67 K2:P62">
    <cfRule type="cellIs" dxfId="3" priority="2" stopIfTrue="1" operator="equal">
      <formula>0</formula>
    </cfRule>
  </conditionalFormatting>
  <conditionalFormatting sqref="K63:P66">
    <cfRule type="cellIs" dxfId="2"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4" orientation="landscape"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B76"/>
  <sheetViews>
    <sheetView zoomScaleNormal="100" workbookViewId="0"/>
  </sheetViews>
  <sheetFormatPr defaultColWidth="9.109375" defaultRowHeight="15" x14ac:dyDescent="0.25"/>
  <cols>
    <col min="1" max="1" width="9.109375" style="311"/>
    <col min="2" max="2" width="118.6640625" style="311" customWidth="1"/>
    <col min="3" max="3" width="20.33203125" style="311" customWidth="1"/>
    <col min="4" max="16384" width="9.109375" style="311"/>
  </cols>
  <sheetData>
    <row r="1" spans="1:2" x14ac:dyDescent="0.25">
      <c r="A1" s="495" t="s">
        <v>423</v>
      </c>
    </row>
    <row r="2" spans="1:2" ht="45.6" x14ac:dyDescent="0.25">
      <c r="B2" s="310" t="s">
        <v>224</v>
      </c>
    </row>
    <row r="3" spans="1:2" x14ac:dyDescent="0.25">
      <c r="B3" s="312"/>
    </row>
    <row r="4" spans="1:2" ht="60.6" x14ac:dyDescent="0.25">
      <c r="B4" s="313" t="s">
        <v>225</v>
      </c>
    </row>
    <row r="5" spans="1:2" x14ac:dyDescent="0.25">
      <c r="B5" s="312"/>
    </row>
    <row r="6" spans="1:2" ht="45.6" x14ac:dyDescent="0.25">
      <c r="B6" s="310" t="s">
        <v>226</v>
      </c>
    </row>
    <row r="7" spans="1:2" x14ac:dyDescent="0.25">
      <c r="B7" s="312"/>
    </row>
    <row r="8" spans="1:2" ht="60.6" x14ac:dyDescent="0.25">
      <c r="B8" s="310" t="s">
        <v>227</v>
      </c>
    </row>
    <row r="9" spans="1:2" x14ac:dyDescent="0.25">
      <c r="B9" s="312"/>
    </row>
    <row r="10" spans="1:2" ht="30" x14ac:dyDescent="0.25">
      <c r="B10" s="314" t="s">
        <v>221</v>
      </c>
    </row>
    <row r="11" spans="1:2" ht="15.6" x14ac:dyDescent="0.25">
      <c r="B11" s="315"/>
    </row>
    <row r="12" spans="1:2" ht="15.6" x14ac:dyDescent="0.25">
      <c r="B12" s="315"/>
    </row>
    <row r="13" spans="1:2" x14ac:dyDescent="0.25">
      <c r="B13" s="312"/>
    </row>
    <row r="14" spans="1:2" x14ac:dyDescent="0.25">
      <c r="B14" s="312"/>
    </row>
    <row r="15" spans="1:2" x14ac:dyDescent="0.25">
      <c r="B15" s="312"/>
    </row>
    <row r="16" spans="1:2" x14ac:dyDescent="0.25">
      <c r="B16" s="312"/>
    </row>
    <row r="17" spans="2:2" x14ac:dyDescent="0.25">
      <c r="B17" s="312"/>
    </row>
    <row r="18" spans="2:2" x14ac:dyDescent="0.25">
      <c r="B18" s="312"/>
    </row>
    <row r="19" spans="2:2" x14ac:dyDescent="0.25">
      <c r="B19" s="314" t="s">
        <v>222</v>
      </c>
    </row>
    <row r="20" spans="2:2" ht="15.6" x14ac:dyDescent="0.25">
      <c r="B20" s="315"/>
    </row>
    <row r="21" spans="2:2" ht="15.6" x14ac:dyDescent="0.25">
      <c r="B21" s="315"/>
    </row>
    <row r="22" spans="2:2" x14ac:dyDescent="0.25">
      <c r="B22" s="312"/>
    </row>
    <row r="23" spans="2:2" x14ac:dyDescent="0.25">
      <c r="B23" s="312"/>
    </row>
    <row r="24" spans="2:2" x14ac:dyDescent="0.25">
      <c r="B24" s="312"/>
    </row>
    <row r="25" spans="2:2" x14ac:dyDescent="0.25">
      <c r="B25" s="312"/>
    </row>
    <row r="26" spans="2:2" x14ac:dyDescent="0.25">
      <c r="B26" s="312"/>
    </row>
    <row r="27" spans="2:2" x14ac:dyDescent="0.25">
      <c r="B27" s="312"/>
    </row>
    <row r="28" spans="2:2" x14ac:dyDescent="0.25">
      <c r="B28" s="314" t="s">
        <v>223</v>
      </c>
    </row>
    <row r="29" spans="2:2" ht="15.6" x14ac:dyDescent="0.25">
      <c r="B29" s="315"/>
    </row>
    <row r="30" spans="2:2" ht="15.6" x14ac:dyDescent="0.25">
      <c r="B30" s="315"/>
    </row>
    <row r="31" spans="2:2" x14ac:dyDescent="0.25">
      <c r="B31" s="312"/>
    </row>
    <row r="32" spans="2:2" x14ac:dyDescent="0.25">
      <c r="B32" s="312"/>
    </row>
    <row r="33" spans="2:2" x14ac:dyDescent="0.25">
      <c r="B33" s="312"/>
    </row>
    <row r="34" spans="2:2" x14ac:dyDescent="0.25">
      <c r="B34" s="312"/>
    </row>
    <row r="35" spans="2:2" x14ac:dyDescent="0.25">
      <c r="B35" s="312"/>
    </row>
    <row r="36" spans="2:2" x14ac:dyDescent="0.25">
      <c r="B36" s="312"/>
    </row>
    <row r="37" spans="2:2" ht="15.6" x14ac:dyDescent="0.25">
      <c r="B37" s="314" t="s">
        <v>228</v>
      </c>
    </row>
    <row r="38" spans="2:2" ht="15.6" x14ac:dyDescent="0.25">
      <c r="B38" s="316"/>
    </row>
    <row r="39" spans="2:2" ht="15.6" x14ac:dyDescent="0.25">
      <c r="B39" s="316"/>
    </row>
    <row r="40" spans="2:2" x14ac:dyDescent="0.25">
      <c r="B40" s="312"/>
    </row>
    <row r="41" spans="2:2" x14ac:dyDescent="0.25">
      <c r="B41" s="312"/>
    </row>
    <row r="42" spans="2:2" x14ac:dyDescent="0.25">
      <c r="B42" s="312"/>
    </row>
    <row r="43" spans="2:2" x14ac:dyDescent="0.25">
      <c r="B43" s="312"/>
    </row>
    <row r="44" spans="2:2" x14ac:dyDescent="0.25">
      <c r="B44" s="312"/>
    </row>
    <row r="45" spans="2:2" x14ac:dyDescent="0.25">
      <c r="B45" s="312"/>
    </row>
    <row r="46" spans="2:2" ht="46.8" x14ac:dyDescent="0.25">
      <c r="B46" s="317" t="s">
        <v>229</v>
      </c>
    </row>
    <row r="47" spans="2:2" x14ac:dyDescent="0.25">
      <c r="B47" s="312"/>
    </row>
    <row r="48" spans="2:2" ht="45.6" x14ac:dyDescent="0.25">
      <c r="B48" s="310" t="s">
        <v>230</v>
      </c>
    </row>
    <row r="49" spans="2:2" x14ac:dyDescent="0.25">
      <c r="B49" s="312"/>
    </row>
    <row r="50" spans="2:2" ht="61.2" x14ac:dyDescent="0.25">
      <c r="B50" s="310" t="s">
        <v>231</v>
      </c>
    </row>
    <row r="51" spans="2:2" x14ac:dyDescent="0.25">
      <c r="B51" s="312"/>
    </row>
    <row r="52" spans="2:2" ht="90.6" x14ac:dyDescent="0.25">
      <c r="B52" s="310" t="s">
        <v>232</v>
      </c>
    </row>
    <row r="53" spans="2:2" x14ac:dyDescent="0.25">
      <c r="B53" s="312"/>
    </row>
    <row r="54" spans="2:2" ht="45.6" x14ac:dyDescent="0.25">
      <c r="B54" s="318" t="s">
        <v>241</v>
      </c>
    </row>
    <row r="55" spans="2:2" x14ac:dyDescent="0.25">
      <c r="B55" s="312"/>
    </row>
    <row r="56" spans="2:2" ht="45.6" x14ac:dyDescent="0.25">
      <c r="B56" s="310" t="s">
        <v>233</v>
      </c>
    </row>
    <row r="57" spans="2:2" x14ac:dyDescent="0.25">
      <c r="B57" s="312"/>
    </row>
    <row r="58" spans="2:2" ht="30.6" x14ac:dyDescent="0.25">
      <c r="B58" s="310" t="s">
        <v>234</v>
      </c>
    </row>
    <row r="59" spans="2:2" x14ac:dyDescent="0.25">
      <c r="B59" s="312"/>
    </row>
    <row r="60" spans="2:2" ht="60.6" x14ac:dyDescent="0.25">
      <c r="B60" s="310" t="s">
        <v>235</v>
      </c>
    </row>
    <row r="61" spans="2:2" x14ac:dyDescent="0.25">
      <c r="B61" s="312"/>
    </row>
    <row r="62" spans="2:2" ht="75.599999999999994" x14ac:dyDescent="0.25">
      <c r="B62" s="310" t="s">
        <v>236</v>
      </c>
    </row>
    <row r="63" spans="2:2" x14ac:dyDescent="0.25">
      <c r="B63" s="312"/>
    </row>
    <row r="64" spans="2:2" ht="45.6" x14ac:dyDescent="0.25">
      <c r="B64" s="310" t="s">
        <v>237</v>
      </c>
    </row>
    <row r="65" spans="2:2" x14ac:dyDescent="0.25">
      <c r="B65" s="312"/>
    </row>
    <row r="66" spans="2:2" ht="30.6" x14ac:dyDescent="0.25">
      <c r="B66" s="310" t="s">
        <v>238</v>
      </c>
    </row>
    <row r="67" spans="2:2" x14ac:dyDescent="0.25">
      <c r="B67" s="312"/>
    </row>
    <row r="68" spans="2:2" ht="30.6" x14ac:dyDescent="0.25">
      <c r="B68" s="310" t="s">
        <v>239</v>
      </c>
    </row>
    <row r="69" spans="2:2" x14ac:dyDescent="0.25">
      <c r="B69" s="312"/>
    </row>
    <row r="70" spans="2:2" ht="60.6" x14ac:dyDescent="0.25">
      <c r="B70" s="318" t="s">
        <v>242</v>
      </c>
    </row>
    <row r="71" spans="2:2" x14ac:dyDescent="0.25">
      <c r="B71" s="312"/>
    </row>
    <row r="72" spans="2:2" ht="45.6" x14ac:dyDescent="0.25">
      <c r="B72" s="310" t="s">
        <v>240</v>
      </c>
    </row>
    <row r="73" spans="2:2" x14ac:dyDescent="0.25">
      <c r="B73" s="312"/>
    </row>
    <row r="74" spans="2:2" ht="45.6" x14ac:dyDescent="0.25">
      <c r="B74" s="318" t="s">
        <v>243</v>
      </c>
    </row>
    <row r="75" spans="2:2" x14ac:dyDescent="0.25">
      <c r="B75" s="312"/>
    </row>
    <row r="76" spans="2:2" ht="30.6" x14ac:dyDescent="0.25">
      <c r="B76" s="318" t="s">
        <v>244</v>
      </c>
    </row>
  </sheetData>
  <hyperlinks>
    <hyperlink ref="B4" r:id="rId1" display="http://www.online-betting.me.uk/articles/patent-bet.html"/>
    <hyperlink ref="B46" r:id="rId2" display="http://www.chrisgriffinsays.co.uk/prediction-league/prediction-league-home/"/>
    <hyperlink ref="B54" r:id="rId3" display="http://www.chrisgriffinsays.co.uk/prediction-league/next-odds/"/>
    <hyperlink ref="B70" r:id="rId4" display="http://www.chrisgriffinsays.co.uk/prediction-league/prediction-league-diary/"/>
    <hyperlink ref="B74" r:id="rId5" display="http://www.chrisgriffinsays.co.uk/prediction-league/prediction-league-news/"/>
    <hyperlink ref="B76" r:id="rId6" display="http://eepurl.com/riHbD"/>
    <hyperlink ref="A1" location="Menu!A1" display="Menu!A1"/>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W50"/>
  <sheetViews>
    <sheetView workbookViewId="0">
      <selection activeCell="B6" sqref="B6:B8"/>
    </sheetView>
  </sheetViews>
  <sheetFormatPr defaultRowHeight="13.2" x14ac:dyDescent="0.25"/>
  <cols>
    <col min="1" max="1" width="2.6640625" customWidth="1"/>
    <col min="2" max="2" width="22.77734375" bestFit="1" customWidth="1"/>
    <col min="3" max="3" width="9.109375" customWidth="1"/>
    <col min="5" max="5" width="9.109375" customWidth="1"/>
    <col min="7" max="7" width="10.88671875" customWidth="1"/>
    <col min="8" max="8" width="3.109375" customWidth="1"/>
    <col min="9" max="11" width="0" hidden="1" customWidth="1"/>
    <col min="13" max="13" width="9.88671875" bestFit="1" customWidth="1"/>
    <col min="14" max="14" width="4" customWidth="1"/>
  </cols>
  <sheetData>
    <row r="1" spans="1:23" x14ac:dyDescent="0.25">
      <c r="A1" s="86"/>
      <c r="B1" s="86"/>
      <c r="C1" s="86"/>
      <c r="D1" s="86"/>
      <c r="E1" s="86"/>
      <c r="F1" s="86"/>
      <c r="G1" s="86"/>
      <c r="H1" s="86"/>
      <c r="I1" s="86"/>
      <c r="J1" s="86"/>
      <c r="K1" s="86"/>
      <c r="L1" s="86"/>
      <c r="M1" s="86"/>
      <c r="N1" s="86"/>
      <c r="O1" s="86"/>
    </row>
    <row r="2" spans="1:23" ht="13.8" thickBot="1" x14ac:dyDescent="0.3">
      <c r="A2" s="86"/>
      <c r="B2" s="86"/>
      <c r="C2" s="86"/>
      <c r="D2" s="86"/>
      <c r="E2" s="86"/>
      <c r="F2" s="86"/>
      <c r="G2" s="86"/>
      <c r="H2" s="86"/>
      <c r="I2" s="86"/>
      <c r="J2" s="86"/>
      <c r="K2" s="86"/>
      <c r="L2" s="100"/>
      <c r="M2" s="100"/>
      <c r="N2" s="100"/>
      <c r="O2" s="513" t="s">
        <v>446</v>
      </c>
    </row>
    <row r="3" spans="1:23" ht="18" thickBot="1" x14ac:dyDescent="0.3">
      <c r="A3" s="86"/>
      <c r="B3" s="514" t="s">
        <v>325</v>
      </c>
      <c r="C3" s="172"/>
      <c r="D3" s="172"/>
      <c r="E3" s="172"/>
      <c r="F3" s="172"/>
      <c r="G3" s="172"/>
      <c r="H3" s="172"/>
      <c r="I3" s="172"/>
      <c r="J3" s="172"/>
      <c r="K3" s="172"/>
      <c r="L3" s="515" t="s">
        <v>447</v>
      </c>
      <c r="M3" s="533">
        <f>INDEX(Table!G:G,MATCH(B3,Table!F:F,0))</f>
        <v>-24.641997890997892</v>
      </c>
      <c r="N3" s="516"/>
      <c r="O3" s="534">
        <f>M3-7</f>
        <v>-31.641997890997892</v>
      </c>
    </row>
    <row r="4" spans="1:23" x14ac:dyDescent="0.25">
      <c r="A4" s="86"/>
      <c r="B4" s="86"/>
      <c r="C4" s="190" t="s">
        <v>27</v>
      </c>
      <c r="D4" s="532" t="s">
        <v>448</v>
      </c>
      <c r="E4" s="190" t="s">
        <v>206</v>
      </c>
      <c r="F4" s="190" t="s">
        <v>206</v>
      </c>
      <c r="G4" s="190" t="s">
        <v>27</v>
      </c>
      <c r="H4" s="195"/>
      <c r="I4" s="91"/>
      <c r="J4" s="91"/>
      <c r="K4" s="91"/>
      <c r="L4" s="517" t="s">
        <v>199</v>
      </c>
      <c r="M4" s="517" t="s">
        <v>200</v>
      </c>
      <c r="N4" s="518"/>
      <c r="O4" s="519">
        <f>IF(K4=0,0,1)+K4</f>
        <v>0</v>
      </c>
      <c r="V4" t="s">
        <v>338</v>
      </c>
      <c r="W4" t="s">
        <v>524</v>
      </c>
    </row>
    <row r="5" spans="1:23" x14ac:dyDescent="0.25">
      <c r="A5" s="86"/>
      <c r="B5" s="86"/>
      <c r="C5" s="191" t="s">
        <v>207</v>
      </c>
      <c r="D5" s="520" t="s">
        <v>176</v>
      </c>
      <c r="E5" s="192" t="s">
        <v>29</v>
      </c>
      <c r="F5" s="192" t="s">
        <v>29</v>
      </c>
      <c r="G5" s="192" t="s">
        <v>13</v>
      </c>
      <c r="H5" s="195"/>
      <c r="I5" s="187">
        <f>F6</f>
        <v>0.75</v>
      </c>
      <c r="J5" s="187">
        <f>F7</f>
        <v>1.2000000000000002</v>
      </c>
      <c r="K5" s="187">
        <f>F8</f>
        <v>1.0499999999999998</v>
      </c>
      <c r="L5" s="519">
        <f>IF(I5=0,0,1)+I5</f>
        <v>1.75</v>
      </c>
      <c r="M5" s="519">
        <f>IF(J5=0,0,1)+J5</f>
        <v>2.2000000000000002</v>
      </c>
      <c r="N5" s="519"/>
      <c r="O5" s="519">
        <f>IF(K5=0,0,1)+K5</f>
        <v>2.0499999999999998</v>
      </c>
      <c r="P5" s="519">
        <f>IF(J5=0,0,(L5*J5)+L5)</f>
        <v>3.8500000000000005</v>
      </c>
      <c r="Q5" s="519">
        <f>IF(K5=0,0,(M5*K5)+M5)</f>
        <v>4.51</v>
      </c>
      <c r="R5" s="519">
        <f>IF(I5=0,0,(O5*I5)+O5)</f>
        <v>3.5874999999999995</v>
      </c>
      <c r="S5" s="519">
        <f>IF(K5=0,0,(P5*K5)+P5)</f>
        <v>7.8925000000000001</v>
      </c>
      <c r="V5" t="s">
        <v>338</v>
      </c>
      <c r="W5" t="s">
        <v>521</v>
      </c>
    </row>
    <row r="6" spans="1:23" ht="16.2" thickBot="1" x14ac:dyDescent="0.35">
      <c r="A6" s="86"/>
      <c r="B6" s="102" t="s">
        <v>623</v>
      </c>
      <c r="C6" s="193" t="s">
        <v>209</v>
      </c>
      <c r="D6" s="521" t="str">
        <f>INDEX(Picks!C:C,MATCH(B6,Picks!B:B,0))</f>
        <v>3/4</v>
      </c>
      <c r="E6" s="521">
        <f>INDEX(Picks!D:D,MATCH(B6,Picks!B:B,0))</f>
        <v>1.75</v>
      </c>
      <c r="F6" s="521">
        <f>+((E6-1)*G6)</f>
        <v>0.75</v>
      </c>
      <c r="G6" s="186">
        <v>1</v>
      </c>
      <c r="H6" s="195"/>
      <c r="I6" s="91"/>
      <c r="J6" s="91"/>
      <c r="K6" s="91"/>
      <c r="L6" s="522"/>
      <c r="M6" s="522"/>
      <c r="N6" s="517"/>
      <c r="O6" s="522"/>
      <c r="P6" s="522"/>
      <c r="Q6" s="522"/>
      <c r="R6" s="522"/>
      <c r="S6" s="522"/>
      <c r="V6" t="s">
        <v>338</v>
      </c>
      <c r="W6" t="s">
        <v>430</v>
      </c>
    </row>
    <row r="7" spans="1:23" ht="15.6" x14ac:dyDescent="0.3">
      <c r="A7" s="86"/>
      <c r="B7" s="102" t="s">
        <v>194</v>
      </c>
      <c r="C7" s="193" t="s">
        <v>209</v>
      </c>
      <c r="D7" s="521" t="str">
        <f>INDEX(Picks!C:C,MATCH(B7,Picks!B:B,0))</f>
        <v>6/5</v>
      </c>
      <c r="E7" s="521">
        <f>INDEX(Picks!D:D,MATCH(B7,Picks!B:B,0))</f>
        <v>2.2000000000000002</v>
      </c>
      <c r="F7" s="521">
        <f>+((E7-1)*G7)</f>
        <v>1.2000000000000002</v>
      </c>
      <c r="G7" s="186">
        <v>1</v>
      </c>
      <c r="H7" s="195"/>
      <c r="I7" s="91"/>
      <c r="J7" s="91"/>
      <c r="K7" s="91"/>
      <c r="L7" s="5" t="s">
        <v>13</v>
      </c>
      <c r="M7" s="5" t="s">
        <v>30</v>
      </c>
      <c r="N7" s="523"/>
      <c r="O7" s="524" t="s">
        <v>18</v>
      </c>
      <c r="P7" s="527"/>
      <c r="Q7" s="522"/>
      <c r="R7" s="522"/>
      <c r="S7" s="522"/>
      <c r="V7" t="s">
        <v>354</v>
      </c>
      <c r="W7" t="s">
        <v>430</v>
      </c>
    </row>
    <row r="8" spans="1:23" ht="16.2" thickBot="1" x14ac:dyDescent="0.35">
      <c r="A8" s="86"/>
      <c r="B8" s="102" t="s">
        <v>605</v>
      </c>
      <c r="C8" s="193" t="s">
        <v>209</v>
      </c>
      <c r="D8" s="521" t="str">
        <f>INDEX(Picks!C:C,MATCH(B8,Picks!B:B,0))</f>
        <v>21/20</v>
      </c>
      <c r="E8" s="521">
        <f>INDEX(Picks!D:D,MATCH(B8,Picks!B:B,0))</f>
        <v>2.0499999999999998</v>
      </c>
      <c r="F8" s="521">
        <f>+((E8-1)*G8)</f>
        <v>1.0499999999999998</v>
      </c>
      <c r="G8" s="186">
        <v>1</v>
      </c>
      <c r="H8" s="195"/>
      <c r="I8" s="91"/>
      <c r="J8" s="91"/>
      <c r="K8" s="91"/>
      <c r="L8" s="6">
        <f>SUM(G6:G8)</f>
        <v>3</v>
      </c>
      <c r="M8" s="7">
        <f>SUM(L5:S5)-7</f>
        <v>18.840000000000003</v>
      </c>
      <c r="N8" s="525"/>
      <c r="O8" s="526">
        <f>$M$3+M8</f>
        <v>-5.8019978909978889</v>
      </c>
      <c r="P8" s="527"/>
      <c r="Q8" s="522"/>
      <c r="R8" s="522"/>
      <c r="S8" s="522"/>
      <c r="V8" t="s">
        <v>354</v>
      </c>
      <c r="W8" t="s">
        <v>194</v>
      </c>
    </row>
    <row r="9" spans="1:23" x14ac:dyDescent="0.25">
      <c r="A9" s="86"/>
      <c r="B9" s="86"/>
      <c r="C9" s="86"/>
      <c r="D9" s="91"/>
      <c r="E9" s="91"/>
      <c r="F9" s="91"/>
      <c r="G9" s="91"/>
      <c r="H9" s="91"/>
      <c r="I9" s="86"/>
      <c r="J9" s="86"/>
      <c r="K9" s="91"/>
      <c r="L9" s="91"/>
      <c r="M9" s="91"/>
      <c r="N9" s="195"/>
      <c r="O9" s="522"/>
      <c r="P9" s="522"/>
      <c r="Q9" s="522"/>
      <c r="R9" s="522"/>
      <c r="S9" s="522"/>
      <c r="V9" t="s">
        <v>354</v>
      </c>
      <c r="W9" t="s">
        <v>627</v>
      </c>
    </row>
    <row r="10" spans="1:23" x14ac:dyDescent="0.25">
      <c r="A10" s="86"/>
      <c r="B10" s="86"/>
      <c r="C10" s="86"/>
      <c r="D10" s="91"/>
      <c r="E10" s="91"/>
      <c r="F10" s="91"/>
      <c r="G10" s="91"/>
      <c r="H10" s="91"/>
      <c r="I10" s="86"/>
      <c r="J10" s="86"/>
      <c r="K10" s="91"/>
      <c r="L10" s="517"/>
      <c r="M10" s="517"/>
      <c r="N10" s="517"/>
      <c r="O10" s="517"/>
      <c r="P10" s="517"/>
      <c r="Q10" s="517"/>
      <c r="R10" s="517"/>
      <c r="S10" s="517"/>
      <c r="V10" t="s">
        <v>339</v>
      </c>
      <c r="W10" t="s">
        <v>622</v>
      </c>
    </row>
    <row r="11" spans="1:23" x14ac:dyDescent="0.25">
      <c r="A11" s="86"/>
      <c r="B11" s="86"/>
      <c r="C11" s="190" t="s">
        <v>27</v>
      </c>
      <c r="D11" s="532" t="s">
        <v>448</v>
      </c>
      <c r="E11" s="190" t="s">
        <v>206</v>
      </c>
      <c r="F11" s="190" t="s">
        <v>206</v>
      </c>
      <c r="G11" s="190" t="s">
        <v>27</v>
      </c>
      <c r="H11" s="195"/>
      <c r="I11" s="91"/>
      <c r="J11" s="91"/>
      <c r="K11" s="91"/>
      <c r="L11" s="517" t="s">
        <v>199</v>
      </c>
      <c r="M11" s="517" t="s">
        <v>200</v>
      </c>
      <c r="N11" s="517"/>
      <c r="O11" s="517" t="s">
        <v>201</v>
      </c>
      <c r="P11" s="517" t="s">
        <v>202</v>
      </c>
      <c r="Q11" s="517" t="s">
        <v>203</v>
      </c>
      <c r="R11" s="517" t="s">
        <v>204</v>
      </c>
      <c r="S11" s="517" t="s">
        <v>205</v>
      </c>
      <c r="V11" t="s">
        <v>339</v>
      </c>
      <c r="W11" t="s">
        <v>614</v>
      </c>
    </row>
    <row r="12" spans="1:23" x14ac:dyDescent="0.25">
      <c r="A12" s="86"/>
      <c r="B12" s="86"/>
      <c r="C12" s="191" t="s">
        <v>207</v>
      </c>
      <c r="D12" s="520" t="s">
        <v>176</v>
      </c>
      <c r="E12" s="192" t="s">
        <v>29</v>
      </c>
      <c r="F12" s="192" t="s">
        <v>29</v>
      </c>
      <c r="G12" s="192" t="s">
        <v>13</v>
      </c>
      <c r="H12" s="195"/>
      <c r="I12" s="187">
        <f>F13</f>
        <v>0.75</v>
      </c>
      <c r="J12" s="187">
        <f>F14</f>
        <v>1.2000000000000002</v>
      </c>
      <c r="K12" s="187">
        <f>F15</f>
        <v>0</v>
      </c>
      <c r="L12" s="519">
        <f>IF(I12=0,0,1)+I12</f>
        <v>1.75</v>
      </c>
      <c r="M12" s="519">
        <f>IF(J12=0,0,1)+J12</f>
        <v>2.2000000000000002</v>
      </c>
      <c r="N12" s="519"/>
      <c r="O12" s="519">
        <f>IF(K12=0,0,1)+K12</f>
        <v>0</v>
      </c>
      <c r="P12" s="519">
        <f>IF(J12=0,0,(L12*J12)+L12)</f>
        <v>3.8500000000000005</v>
      </c>
      <c r="Q12" s="519">
        <f>IF(K12=0,0,(M12*K12)+M12)</f>
        <v>0</v>
      </c>
      <c r="R12" s="519">
        <f>IF(I12=0,0,(O12*I12)+O12)</f>
        <v>0</v>
      </c>
      <c r="S12" s="519">
        <f>IF(K12=0,0,(P12*K12)+P12)</f>
        <v>0</v>
      </c>
      <c r="V12" t="s">
        <v>339</v>
      </c>
      <c r="W12" t="s">
        <v>430</v>
      </c>
    </row>
    <row r="13" spans="1:23" ht="16.2" thickBot="1" x14ac:dyDescent="0.35">
      <c r="A13" s="86"/>
      <c r="B13" s="102" t="str">
        <f>game1</f>
        <v>Spurs</v>
      </c>
      <c r="C13" s="193" t="s">
        <v>209</v>
      </c>
      <c r="D13" s="521" t="str">
        <f>INDEX(Picks!C:C,MATCH(B13,Picks!B:B,0))</f>
        <v>3/4</v>
      </c>
      <c r="E13" s="521">
        <f>INDEX(Picks!D:D,MATCH(B13,Picks!B:B,0))</f>
        <v>1.75</v>
      </c>
      <c r="F13" s="521">
        <f>+((E13-1)*G13)</f>
        <v>0.75</v>
      </c>
      <c r="G13" s="186">
        <v>1</v>
      </c>
      <c r="H13" s="195"/>
      <c r="I13" s="91"/>
      <c r="J13" s="91"/>
      <c r="K13" s="91"/>
      <c r="L13" s="91"/>
      <c r="M13" s="91"/>
      <c r="N13" s="195"/>
      <c r="O13" s="522"/>
      <c r="P13" s="522"/>
      <c r="Q13" s="522"/>
      <c r="R13" s="522"/>
      <c r="S13" s="522"/>
      <c r="V13" t="s">
        <v>357</v>
      </c>
      <c r="W13" t="s">
        <v>609</v>
      </c>
    </row>
    <row r="14" spans="1:23" ht="15.6" x14ac:dyDescent="0.3">
      <c r="A14" s="86"/>
      <c r="B14" s="102" t="str">
        <f>game2</f>
        <v>Sunderland</v>
      </c>
      <c r="C14" s="193" t="s">
        <v>209</v>
      </c>
      <c r="D14" s="521" t="str">
        <f>INDEX(Picks!C:C,MATCH(B14,Picks!B:B,0))</f>
        <v>6/5</v>
      </c>
      <c r="E14" s="521">
        <f>INDEX(Picks!D:D,MATCH(B14,Picks!B:B,0))</f>
        <v>2.2000000000000002</v>
      </c>
      <c r="F14" s="521">
        <f>+((E14-1)*G14)</f>
        <v>1.2000000000000002</v>
      </c>
      <c r="G14" s="186">
        <v>1</v>
      </c>
      <c r="H14" s="195"/>
      <c r="I14" s="91"/>
      <c r="J14" s="91"/>
      <c r="K14" s="91"/>
      <c r="L14" s="5" t="s">
        <v>13</v>
      </c>
      <c r="M14" s="5" t="s">
        <v>30</v>
      </c>
      <c r="N14" s="523"/>
      <c r="O14" s="524" t="s">
        <v>18</v>
      </c>
      <c r="P14" s="527"/>
      <c r="Q14" s="522"/>
      <c r="R14" s="522"/>
      <c r="S14" s="522"/>
      <c r="V14" t="s">
        <v>357</v>
      </c>
      <c r="W14" t="s">
        <v>430</v>
      </c>
    </row>
    <row r="15" spans="1:23" ht="16.2" thickBot="1" x14ac:dyDescent="0.35">
      <c r="A15" s="86"/>
      <c r="B15" s="102" t="str">
        <f>game3</f>
        <v>Sheff U</v>
      </c>
      <c r="C15" s="198" t="s">
        <v>208</v>
      </c>
      <c r="D15" s="521" t="str">
        <f>INDEX(Picks!C:C,MATCH(B15,Picks!B:B,0))</f>
        <v>21/20</v>
      </c>
      <c r="E15" s="521">
        <f>INDEX(Picks!D:D,MATCH(B15,Picks!B:B,0))</f>
        <v>2.0499999999999998</v>
      </c>
      <c r="F15" s="521">
        <f>+((E15-1)*G15)</f>
        <v>0</v>
      </c>
      <c r="G15" s="186">
        <v>0</v>
      </c>
      <c r="H15" s="195"/>
      <c r="I15" s="91"/>
      <c r="J15" s="91"/>
      <c r="K15" s="91"/>
      <c r="L15" s="6">
        <f>SUM(G13:G15)</f>
        <v>2</v>
      </c>
      <c r="M15" s="7">
        <f>SUM(L12:S12)-7</f>
        <v>0.80000000000000071</v>
      </c>
      <c r="N15" s="525"/>
      <c r="O15" s="526">
        <f>$M$3+M15</f>
        <v>-23.841997890997892</v>
      </c>
      <c r="P15" s="527"/>
      <c r="Q15" s="522"/>
      <c r="R15" s="522"/>
      <c r="S15" s="522"/>
      <c r="V15" t="s">
        <v>357</v>
      </c>
      <c r="W15" t="s">
        <v>605</v>
      </c>
    </row>
    <row r="16" spans="1:23" x14ac:dyDescent="0.25">
      <c r="A16" s="86"/>
      <c r="B16" s="86"/>
      <c r="C16" s="86"/>
      <c r="D16" s="91"/>
      <c r="E16" s="91"/>
      <c r="F16" s="91"/>
      <c r="G16" s="91"/>
      <c r="H16" s="91"/>
      <c r="I16" s="86"/>
      <c r="J16" s="86"/>
      <c r="K16" s="91"/>
      <c r="L16" s="91"/>
      <c r="M16" s="91"/>
      <c r="N16" s="195"/>
      <c r="O16" s="522"/>
      <c r="P16" s="522"/>
      <c r="Q16" s="522"/>
      <c r="R16" s="522"/>
      <c r="S16" s="522"/>
      <c r="V16" t="s">
        <v>325</v>
      </c>
      <c r="W16" t="s">
        <v>623</v>
      </c>
    </row>
    <row r="17" spans="1:23" x14ac:dyDescent="0.25">
      <c r="A17" s="86"/>
      <c r="B17" s="86"/>
      <c r="C17" s="86"/>
      <c r="D17" s="91" t="s">
        <v>210</v>
      </c>
      <c r="E17" s="91"/>
      <c r="F17" s="91"/>
      <c r="G17" s="91"/>
      <c r="H17" s="91"/>
      <c r="I17" s="86"/>
      <c r="J17" s="86"/>
      <c r="K17" s="91"/>
      <c r="L17" s="517"/>
      <c r="M17" s="517"/>
      <c r="N17" s="517"/>
      <c r="O17" s="517"/>
      <c r="P17" s="517"/>
      <c r="Q17" s="517"/>
      <c r="R17" s="517"/>
      <c r="S17" s="517"/>
      <c r="V17" t="s">
        <v>325</v>
      </c>
      <c r="W17" t="s">
        <v>194</v>
      </c>
    </row>
    <row r="18" spans="1:23" x14ac:dyDescent="0.25">
      <c r="A18" s="86"/>
      <c r="B18" s="86"/>
      <c r="C18" s="190" t="s">
        <v>27</v>
      </c>
      <c r="D18" s="532" t="s">
        <v>448</v>
      </c>
      <c r="E18" s="190" t="s">
        <v>206</v>
      </c>
      <c r="F18" s="190" t="s">
        <v>206</v>
      </c>
      <c r="G18" s="190" t="s">
        <v>27</v>
      </c>
      <c r="H18" s="195"/>
      <c r="I18" s="91"/>
      <c r="J18" s="91"/>
      <c r="K18" s="91"/>
      <c r="L18" s="517" t="s">
        <v>199</v>
      </c>
      <c r="M18" s="517" t="s">
        <v>200</v>
      </c>
      <c r="N18" s="517"/>
      <c r="O18" s="517" t="s">
        <v>201</v>
      </c>
      <c r="P18" s="517" t="s">
        <v>202</v>
      </c>
      <c r="Q18" s="517" t="s">
        <v>203</v>
      </c>
      <c r="R18" s="517" t="s">
        <v>204</v>
      </c>
      <c r="S18" s="517" t="s">
        <v>205</v>
      </c>
      <c r="V18" t="s">
        <v>325</v>
      </c>
      <c r="W18" t="s">
        <v>605</v>
      </c>
    </row>
    <row r="19" spans="1:23" x14ac:dyDescent="0.25">
      <c r="A19" s="86"/>
      <c r="B19" s="86"/>
      <c r="C19" s="191" t="s">
        <v>207</v>
      </c>
      <c r="D19" s="520" t="s">
        <v>176</v>
      </c>
      <c r="E19" s="192" t="s">
        <v>29</v>
      </c>
      <c r="F19" s="192" t="s">
        <v>29</v>
      </c>
      <c r="G19" s="192" t="s">
        <v>13</v>
      </c>
      <c r="H19" s="195"/>
      <c r="I19" s="187">
        <f>F20</f>
        <v>0</v>
      </c>
      <c r="J19" s="187">
        <f>F21</f>
        <v>1.2000000000000002</v>
      </c>
      <c r="K19" s="187">
        <f>F22</f>
        <v>1.0499999999999998</v>
      </c>
      <c r="L19" s="519">
        <f>IF(I19=0,0,1)+I19</f>
        <v>0</v>
      </c>
      <c r="M19" s="519">
        <f>IF(J19=0,0,1)+J19</f>
        <v>2.2000000000000002</v>
      </c>
      <c r="N19" s="519"/>
      <c r="O19" s="519">
        <f>IF(K19=0,0,1)+K19</f>
        <v>2.0499999999999998</v>
      </c>
      <c r="P19" s="519">
        <f>IF(J19=0,0,(L19*J19)+L19)</f>
        <v>0</v>
      </c>
      <c r="Q19" s="519">
        <f>IF(K19=0,0,(M19*K19)+M19)</f>
        <v>4.51</v>
      </c>
      <c r="R19" s="519">
        <f>IF(I19=0,0,(O19*I19)+O19)</f>
        <v>0</v>
      </c>
      <c r="S19" s="519">
        <f>IF(K19=0,0,(P19*K19)+P19)</f>
        <v>0</v>
      </c>
    </row>
    <row r="20" spans="1:23" ht="16.2" thickBot="1" x14ac:dyDescent="0.35">
      <c r="A20" s="86"/>
      <c r="B20" s="102" t="str">
        <f>game1</f>
        <v>Spurs</v>
      </c>
      <c r="C20" s="198" t="s">
        <v>208</v>
      </c>
      <c r="D20" s="521" t="str">
        <f>INDEX(Picks!C:C,MATCH(B20,Picks!B:B,0))</f>
        <v>3/4</v>
      </c>
      <c r="E20" s="521">
        <f>INDEX(Picks!D:D,MATCH(B20,Picks!B:B,0))</f>
        <v>1.75</v>
      </c>
      <c r="F20" s="521">
        <f>+((E20-1)*G20)</f>
        <v>0</v>
      </c>
      <c r="G20" s="186">
        <v>0</v>
      </c>
      <c r="H20" s="195"/>
      <c r="I20" s="91"/>
      <c r="J20" s="91"/>
      <c r="K20" s="91"/>
      <c r="L20" s="91"/>
      <c r="M20" s="91"/>
      <c r="N20" s="195"/>
      <c r="O20" s="522"/>
      <c r="P20" s="522"/>
      <c r="Q20" s="522"/>
      <c r="R20" s="522"/>
      <c r="S20" s="522"/>
    </row>
    <row r="21" spans="1:23" ht="15.6" x14ac:dyDescent="0.3">
      <c r="A21" s="86"/>
      <c r="B21" s="102" t="str">
        <f>game2</f>
        <v>Sunderland</v>
      </c>
      <c r="C21" s="193" t="s">
        <v>209</v>
      </c>
      <c r="D21" s="521" t="str">
        <f>INDEX(Picks!C:C,MATCH(B21,Picks!B:B,0))</f>
        <v>6/5</v>
      </c>
      <c r="E21" s="521">
        <f>INDEX(Picks!D:D,MATCH(B21,Picks!B:B,0))</f>
        <v>2.2000000000000002</v>
      </c>
      <c r="F21" s="521">
        <f>+((E21-1)*G21)</f>
        <v>1.2000000000000002</v>
      </c>
      <c r="G21" s="186">
        <v>1</v>
      </c>
      <c r="H21" s="195"/>
      <c r="I21" s="91"/>
      <c r="J21" s="91"/>
      <c r="K21" s="91"/>
      <c r="L21" s="5" t="s">
        <v>13</v>
      </c>
      <c r="M21" s="5" t="s">
        <v>30</v>
      </c>
      <c r="N21" s="523"/>
      <c r="O21" s="524" t="s">
        <v>18</v>
      </c>
      <c r="P21" s="527"/>
      <c r="Q21" s="522"/>
      <c r="R21" s="522"/>
      <c r="S21" s="522"/>
    </row>
    <row r="22" spans="1:23" ht="16.2" thickBot="1" x14ac:dyDescent="0.35">
      <c r="A22" s="86"/>
      <c r="B22" s="102" t="str">
        <f>game3</f>
        <v>Sheff U</v>
      </c>
      <c r="C22" s="193" t="s">
        <v>209</v>
      </c>
      <c r="D22" s="521" t="str">
        <f>INDEX(Picks!C:C,MATCH(B22,Picks!B:B,0))</f>
        <v>21/20</v>
      </c>
      <c r="E22" s="521">
        <f>INDEX(Picks!D:D,MATCH(B22,Picks!B:B,0))</f>
        <v>2.0499999999999998</v>
      </c>
      <c r="F22" s="521">
        <f>+((E22-1)*G22)</f>
        <v>1.0499999999999998</v>
      </c>
      <c r="G22" s="186">
        <v>1</v>
      </c>
      <c r="H22" s="195"/>
      <c r="I22" s="91"/>
      <c r="J22" s="91"/>
      <c r="K22" s="91"/>
      <c r="L22" s="6">
        <f>SUM(G20:G22)</f>
        <v>2</v>
      </c>
      <c r="M22" s="7">
        <f>SUM(L19:S19)-7</f>
        <v>1.7599999999999998</v>
      </c>
      <c r="N22" s="525"/>
      <c r="O22" s="526">
        <f>$M$3+M22</f>
        <v>-22.881997890997894</v>
      </c>
      <c r="P22" s="527"/>
      <c r="Q22" s="522"/>
      <c r="R22" s="522"/>
      <c r="S22" s="522"/>
    </row>
    <row r="23" spans="1:23" x14ac:dyDescent="0.25">
      <c r="A23" s="86"/>
      <c r="B23" s="86"/>
      <c r="C23" s="86"/>
      <c r="D23" s="91"/>
      <c r="E23" s="91"/>
      <c r="F23" s="91"/>
      <c r="G23" s="91"/>
      <c r="H23" s="91"/>
      <c r="I23" s="86"/>
      <c r="J23" s="86"/>
      <c r="K23" s="91"/>
      <c r="L23" s="196"/>
      <c r="M23" s="197"/>
      <c r="N23" s="197"/>
      <c r="O23" s="527"/>
      <c r="P23" s="527"/>
      <c r="Q23" s="522"/>
      <c r="R23" s="522"/>
      <c r="S23" s="522"/>
    </row>
    <row r="24" spans="1:23" x14ac:dyDescent="0.25">
      <c r="A24" s="86"/>
      <c r="B24" s="86"/>
      <c r="C24" s="86"/>
      <c r="D24" s="91"/>
      <c r="E24" s="91"/>
      <c r="F24" s="91"/>
      <c r="G24" s="91"/>
      <c r="H24" s="91"/>
      <c r="I24" s="86"/>
      <c r="J24" s="86"/>
      <c r="K24" s="91"/>
      <c r="L24" s="528"/>
      <c r="M24" s="529"/>
      <c r="N24" s="529"/>
      <c r="O24" s="530"/>
      <c r="P24" s="530"/>
      <c r="Q24" s="517"/>
      <c r="R24" s="517"/>
      <c r="S24" s="517"/>
    </row>
    <row r="25" spans="1:23" x14ac:dyDescent="0.25">
      <c r="A25" s="86"/>
      <c r="B25" s="86"/>
      <c r="C25" s="190" t="s">
        <v>27</v>
      </c>
      <c r="D25" s="532" t="s">
        <v>448</v>
      </c>
      <c r="E25" s="190" t="s">
        <v>206</v>
      </c>
      <c r="F25" s="190" t="s">
        <v>206</v>
      </c>
      <c r="G25" s="190" t="s">
        <v>27</v>
      </c>
      <c r="H25" s="195"/>
      <c r="I25" s="91"/>
      <c r="J25" s="91"/>
      <c r="K25" s="91"/>
      <c r="L25" s="517" t="s">
        <v>199</v>
      </c>
      <c r="M25" s="517" t="s">
        <v>200</v>
      </c>
      <c r="N25" s="517"/>
      <c r="O25" s="517" t="s">
        <v>201</v>
      </c>
      <c r="P25" s="517" t="s">
        <v>202</v>
      </c>
      <c r="Q25" s="517" t="s">
        <v>203</v>
      </c>
      <c r="R25" s="517" t="s">
        <v>204</v>
      </c>
      <c r="S25" s="517" t="s">
        <v>205</v>
      </c>
    </row>
    <row r="26" spans="1:23" x14ac:dyDescent="0.25">
      <c r="A26" s="86"/>
      <c r="B26" s="86"/>
      <c r="C26" s="191" t="s">
        <v>207</v>
      </c>
      <c r="D26" s="520" t="s">
        <v>176</v>
      </c>
      <c r="E26" s="192" t="s">
        <v>29</v>
      </c>
      <c r="F26" s="192" t="s">
        <v>29</v>
      </c>
      <c r="G26" s="192" t="s">
        <v>13</v>
      </c>
      <c r="H26" s="195"/>
      <c r="I26" s="187">
        <f>F27</f>
        <v>0.75</v>
      </c>
      <c r="J26" s="187">
        <f>F28</f>
        <v>0</v>
      </c>
      <c r="K26" s="187">
        <f>F29</f>
        <v>1.0499999999999998</v>
      </c>
      <c r="L26" s="519">
        <f>IF(I26=0,0,1)+I26</f>
        <v>1.75</v>
      </c>
      <c r="M26" s="519">
        <f>IF(J26=0,0,1)+J26</f>
        <v>0</v>
      </c>
      <c r="N26" s="519"/>
      <c r="O26" s="519">
        <f>IF(K26=0,0,1)+K26</f>
        <v>2.0499999999999998</v>
      </c>
      <c r="P26" s="519">
        <f>IF(J26=0,0,(L26*J26)+L26)</f>
        <v>0</v>
      </c>
      <c r="Q26" s="519">
        <f>IF(K26=0,0,(M26*K26)+M26)</f>
        <v>0</v>
      </c>
      <c r="R26" s="519">
        <f>IF(I26=0,0,(O26*I26)+O26)</f>
        <v>3.5874999999999995</v>
      </c>
      <c r="S26" s="519">
        <f>IF(K26=0,0,(P26*K26)+P26)</f>
        <v>0</v>
      </c>
    </row>
    <row r="27" spans="1:23" ht="16.2" thickBot="1" x14ac:dyDescent="0.35">
      <c r="A27" s="86"/>
      <c r="B27" s="102" t="str">
        <f>game1</f>
        <v>Spurs</v>
      </c>
      <c r="C27" s="193" t="s">
        <v>209</v>
      </c>
      <c r="D27" s="521" t="str">
        <f>INDEX(Picks!C:C,MATCH(B27,Picks!B:B,0))</f>
        <v>3/4</v>
      </c>
      <c r="E27" s="521">
        <f>INDEX(Picks!D:D,MATCH(B27,Picks!B:B,0))</f>
        <v>1.75</v>
      </c>
      <c r="F27" s="521">
        <f>+((E27-1)*G27)</f>
        <v>0.75</v>
      </c>
      <c r="G27" s="186">
        <v>1</v>
      </c>
      <c r="H27" s="195"/>
      <c r="I27" s="91"/>
      <c r="J27" s="91"/>
      <c r="K27" s="91"/>
      <c r="L27" s="522"/>
      <c r="M27" s="522"/>
      <c r="N27" s="517"/>
      <c r="O27" s="522"/>
      <c r="P27" s="522"/>
      <c r="Q27" s="522"/>
      <c r="R27" s="522"/>
      <c r="S27" s="522"/>
    </row>
    <row r="28" spans="1:23" ht="15.6" x14ac:dyDescent="0.3">
      <c r="A28" s="86"/>
      <c r="B28" s="102" t="str">
        <f>game2</f>
        <v>Sunderland</v>
      </c>
      <c r="C28" s="198" t="s">
        <v>208</v>
      </c>
      <c r="D28" s="521" t="str">
        <f>INDEX(Picks!C:C,MATCH(B28,Picks!B:B,0))</f>
        <v>6/5</v>
      </c>
      <c r="E28" s="521">
        <f>INDEX(Picks!D:D,MATCH(B28,Picks!B:B,0))</f>
        <v>2.2000000000000002</v>
      </c>
      <c r="F28" s="521">
        <f>+((E28-1)*G28)</f>
        <v>0</v>
      </c>
      <c r="G28" s="186">
        <v>0</v>
      </c>
      <c r="H28" s="195"/>
      <c r="I28" s="91"/>
      <c r="J28" s="91"/>
      <c r="K28" s="91"/>
      <c r="L28" s="5" t="s">
        <v>13</v>
      </c>
      <c r="M28" s="5" t="s">
        <v>30</v>
      </c>
      <c r="N28" s="523"/>
      <c r="O28" s="524" t="s">
        <v>18</v>
      </c>
      <c r="P28" s="527"/>
      <c r="Q28" s="522"/>
      <c r="R28" s="522"/>
      <c r="S28" s="522"/>
    </row>
    <row r="29" spans="1:23" ht="16.2" thickBot="1" x14ac:dyDescent="0.35">
      <c r="A29" s="86"/>
      <c r="B29" s="102" t="str">
        <f>game3</f>
        <v>Sheff U</v>
      </c>
      <c r="C29" s="193" t="s">
        <v>209</v>
      </c>
      <c r="D29" s="521" t="str">
        <f>INDEX(Picks!C:C,MATCH(B29,Picks!B:B,0))</f>
        <v>21/20</v>
      </c>
      <c r="E29" s="521">
        <f>INDEX(Picks!D:D,MATCH(B29,Picks!B:B,0))</f>
        <v>2.0499999999999998</v>
      </c>
      <c r="F29" s="521">
        <f>+((E29-1)*G29)</f>
        <v>1.0499999999999998</v>
      </c>
      <c r="G29" s="186">
        <v>1</v>
      </c>
      <c r="H29" s="195"/>
      <c r="I29" s="91"/>
      <c r="J29" s="91"/>
      <c r="K29" s="91"/>
      <c r="L29" s="6">
        <f>SUM(G27:G29)</f>
        <v>2</v>
      </c>
      <c r="M29" s="7">
        <f>SUM(L26:S26)-7</f>
        <v>0.38749999999999929</v>
      </c>
      <c r="N29" s="525"/>
      <c r="O29" s="526">
        <f>$M$3+M29</f>
        <v>-24.254497890997893</v>
      </c>
      <c r="P29" s="527"/>
      <c r="Q29" s="522"/>
      <c r="R29" s="522"/>
      <c r="S29" s="522"/>
    </row>
    <row r="30" spans="1:23" x14ac:dyDescent="0.25">
      <c r="A30" s="86"/>
      <c r="B30" s="86"/>
      <c r="C30" s="86"/>
      <c r="D30" s="91"/>
      <c r="E30" s="91"/>
      <c r="F30" s="91"/>
      <c r="G30" s="91"/>
      <c r="H30" s="91"/>
      <c r="I30" s="86"/>
      <c r="J30" s="86"/>
      <c r="K30" s="91"/>
      <c r="L30" s="196"/>
      <c r="M30" s="197"/>
      <c r="N30" s="197"/>
      <c r="O30" s="527"/>
      <c r="P30" s="527"/>
      <c r="Q30" s="522"/>
      <c r="R30" s="522"/>
      <c r="S30" s="522"/>
    </row>
    <row r="31" spans="1:23" x14ac:dyDescent="0.25">
      <c r="A31" s="86"/>
      <c r="B31" s="86"/>
      <c r="C31" s="86"/>
      <c r="D31" s="91"/>
      <c r="E31" s="91"/>
      <c r="F31" s="91"/>
      <c r="G31" s="91"/>
      <c r="H31" s="91"/>
      <c r="I31" s="86"/>
      <c r="J31" s="86"/>
      <c r="K31" s="86"/>
      <c r="L31" s="530"/>
      <c r="M31" s="530"/>
      <c r="N31" s="530"/>
      <c r="O31" s="530"/>
      <c r="P31" s="530"/>
      <c r="Q31" s="530"/>
      <c r="R31" s="530"/>
      <c r="S31" s="530"/>
    </row>
    <row r="32" spans="1:23" x14ac:dyDescent="0.25">
      <c r="A32" s="86"/>
      <c r="B32" s="86"/>
      <c r="C32" s="190" t="s">
        <v>27</v>
      </c>
      <c r="D32" s="532" t="s">
        <v>448</v>
      </c>
      <c r="E32" s="190" t="s">
        <v>206</v>
      </c>
      <c r="F32" s="190" t="s">
        <v>206</v>
      </c>
      <c r="G32" s="190" t="s">
        <v>27</v>
      </c>
      <c r="H32" s="195"/>
      <c r="I32" s="91"/>
      <c r="J32" s="91"/>
      <c r="K32" s="91"/>
      <c r="L32" s="517" t="s">
        <v>199</v>
      </c>
      <c r="M32" s="517" t="s">
        <v>200</v>
      </c>
      <c r="N32" s="517"/>
      <c r="O32" s="517" t="s">
        <v>201</v>
      </c>
      <c r="P32" s="517" t="s">
        <v>202</v>
      </c>
      <c r="Q32" s="517" t="s">
        <v>203</v>
      </c>
      <c r="R32" s="517" t="s">
        <v>204</v>
      </c>
      <c r="S32" s="517" t="s">
        <v>205</v>
      </c>
    </row>
    <row r="33" spans="1:19" x14ac:dyDescent="0.25">
      <c r="A33" s="86"/>
      <c r="B33" s="86"/>
      <c r="C33" s="191" t="s">
        <v>207</v>
      </c>
      <c r="D33" s="520" t="s">
        <v>176</v>
      </c>
      <c r="E33" s="192" t="s">
        <v>29</v>
      </c>
      <c r="F33" s="192" t="s">
        <v>29</v>
      </c>
      <c r="G33" s="192" t="s">
        <v>13</v>
      </c>
      <c r="H33" s="195"/>
      <c r="I33" s="187">
        <f>F34</f>
        <v>0.75</v>
      </c>
      <c r="J33" s="187">
        <f>F35</f>
        <v>0</v>
      </c>
      <c r="K33" s="187">
        <f>F36</f>
        <v>0</v>
      </c>
      <c r="L33" s="519">
        <f>IF(I33=0,0,1)+I33</f>
        <v>1.75</v>
      </c>
      <c r="M33" s="519">
        <f>IF(J33=0,0,1)+J33</f>
        <v>0</v>
      </c>
      <c r="N33" s="519"/>
      <c r="O33" s="519">
        <f>IF(K33=0,0,1)+K33</f>
        <v>0</v>
      </c>
      <c r="P33" s="519">
        <f>IF(J33=0,0,(L33*J33)+L33)</f>
        <v>0</v>
      </c>
      <c r="Q33" s="519">
        <f>IF(K33=0,0,(M33*K33)+M33)</f>
        <v>0</v>
      </c>
      <c r="R33" s="519">
        <f>IF(I33=0,0,(O33*I33)+O33)</f>
        <v>0</v>
      </c>
      <c r="S33" s="519">
        <f>IF(K33=0,0,(P33*K33)+P33)</f>
        <v>0</v>
      </c>
    </row>
    <row r="34" spans="1:19" ht="16.2" thickBot="1" x14ac:dyDescent="0.35">
      <c r="A34" s="86"/>
      <c r="B34" s="102" t="str">
        <f>game1</f>
        <v>Spurs</v>
      </c>
      <c r="C34" s="193" t="s">
        <v>209</v>
      </c>
      <c r="D34" s="521" t="str">
        <f>INDEX(Picks!C:C,MATCH(B34,Picks!B:B,0))</f>
        <v>3/4</v>
      </c>
      <c r="E34" s="521">
        <f>INDEX(Picks!D:D,MATCH(B34,Picks!B:B,0))</f>
        <v>1.75</v>
      </c>
      <c r="F34" s="521">
        <f>+((E34-1)*G34)</f>
        <v>0.75</v>
      </c>
      <c r="G34" s="186">
        <v>1</v>
      </c>
      <c r="H34" s="195"/>
      <c r="I34" s="91"/>
      <c r="J34" s="91"/>
      <c r="K34" s="91"/>
      <c r="L34" s="91"/>
      <c r="M34" s="91"/>
      <c r="N34" s="195"/>
      <c r="O34" s="522"/>
      <c r="P34" s="522"/>
      <c r="Q34" s="522"/>
      <c r="R34" s="522"/>
      <c r="S34" s="522"/>
    </row>
    <row r="35" spans="1:19" ht="15.6" x14ac:dyDescent="0.3">
      <c r="A35" s="86"/>
      <c r="B35" s="102" t="str">
        <f>game2</f>
        <v>Sunderland</v>
      </c>
      <c r="C35" s="198" t="s">
        <v>208</v>
      </c>
      <c r="D35" s="521" t="str">
        <f>INDEX(Picks!C:C,MATCH(B35,Picks!B:B,0))</f>
        <v>6/5</v>
      </c>
      <c r="E35" s="521">
        <f>INDEX(Picks!D:D,MATCH(B35,Picks!B:B,0))</f>
        <v>2.2000000000000002</v>
      </c>
      <c r="F35" s="521">
        <f>+((E35-1)*G35)</f>
        <v>0</v>
      </c>
      <c r="G35" s="186">
        <v>0</v>
      </c>
      <c r="H35" s="195"/>
      <c r="I35" s="91"/>
      <c r="J35" s="91"/>
      <c r="K35" s="91"/>
      <c r="L35" s="5" t="s">
        <v>13</v>
      </c>
      <c r="M35" s="5" t="s">
        <v>30</v>
      </c>
      <c r="N35" s="523"/>
      <c r="O35" s="524" t="s">
        <v>18</v>
      </c>
      <c r="P35" s="527"/>
      <c r="Q35" s="522"/>
      <c r="R35" s="522"/>
      <c r="S35" s="522"/>
    </row>
    <row r="36" spans="1:19" ht="16.2" thickBot="1" x14ac:dyDescent="0.35">
      <c r="A36" s="86"/>
      <c r="B36" s="102" t="str">
        <f>game3</f>
        <v>Sheff U</v>
      </c>
      <c r="C36" s="198" t="s">
        <v>208</v>
      </c>
      <c r="D36" s="521" t="str">
        <f>INDEX(Picks!C:C,MATCH(B36,Picks!B:B,0))</f>
        <v>21/20</v>
      </c>
      <c r="E36" s="521">
        <f>INDEX(Picks!D:D,MATCH(B36,Picks!B:B,0))</f>
        <v>2.0499999999999998</v>
      </c>
      <c r="F36" s="521">
        <f>+((E36-1)*G36)</f>
        <v>0</v>
      </c>
      <c r="G36" s="186">
        <v>0</v>
      </c>
      <c r="H36" s="195"/>
      <c r="I36" s="91"/>
      <c r="J36" s="91"/>
      <c r="K36" s="91"/>
      <c r="L36" s="6">
        <f>SUM(G34:G36)</f>
        <v>1</v>
      </c>
      <c r="M36" s="7">
        <f>SUM(L33:S33)-7</f>
        <v>-5.25</v>
      </c>
      <c r="N36" s="525"/>
      <c r="O36" s="526">
        <f>$M$3+M36</f>
        <v>-29.891997890997892</v>
      </c>
      <c r="P36" s="527"/>
      <c r="Q36" s="522"/>
      <c r="R36" s="522"/>
      <c r="S36" s="522"/>
    </row>
    <row r="37" spans="1:19" x14ac:dyDescent="0.25">
      <c r="A37" s="86"/>
      <c r="D37" s="1"/>
      <c r="E37" s="1"/>
      <c r="F37" s="1"/>
      <c r="G37" s="1"/>
      <c r="H37" s="91"/>
      <c r="I37" s="86"/>
      <c r="J37" s="86"/>
      <c r="K37" s="86"/>
      <c r="N37" s="176"/>
      <c r="O37" s="531"/>
      <c r="P37" s="531"/>
      <c r="Q37" s="531"/>
      <c r="R37" s="531"/>
      <c r="S37" s="531"/>
    </row>
    <row r="38" spans="1:19" x14ac:dyDescent="0.25">
      <c r="A38" s="86"/>
      <c r="D38" s="1"/>
      <c r="E38" s="1"/>
      <c r="F38" s="1"/>
      <c r="G38" s="1"/>
      <c r="H38" s="1"/>
      <c r="I38" s="86"/>
      <c r="J38" s="86"/>
      <c r="K38" s="86"/>
      <c r="L38" s="530"/>
      <c r="M38" s="530"/>
      <c r="N38" s="530"/>
      <c r="O38" s="530"/>
      <c r="P38" s="530"/>
      <c r="Q38" s="530"/>
      <c r="R38" s="530"/>
      <c r="S38" s="530"/>
    </row>
    <row r="39" spans="1:19" x14ac:dyDescent="0.25">
      <c r="A39" s="86"/>
      <c r="B39" s="86"/>
      <c r="C39" s="190" t="s">
        <v>27</v>
      </c>
      <c r="D39" s="532" t="s">
        <v>448</v>
      </c>
      <c r="E39" s="190" t="s">
        <v>206</v>
      </c>
      <c r="F39" s="190" t="s">
        <v>206</v>
      </c>
      <c r="G39" s="190" t="s">
        <v>27</v>
      </c>
      <c r="H39" s="195"/>
      <c r="I39" s="91"/>
      <c r="J39" s="91"/>
      <c r="K39" s="91"/>
      <c r="L39" s="517" t="s">
        <v>199</v>
      </c>
      <c r="M39" s="517" t="s">
        <v>200</v>
      </c>
      <c r="N39" s="517"/>
      <c r="O39" s="517" t="s">
        <v>201</v>
      </c>
      <c r="P39" s="517" t="s">
        <v>202</v>
      </c>
      <c r="Q39" s="517" t="s">
        <v>203</v>
      </c>
      <c r="R39" s="517" t="s">
        <v>204</v>
      </c>
      <c r="S39" s="517" t="s">
        <v>205</v>
      </c>
    </row>
    <row r="40" spans="1:19" x14ac:dyDescent="0.25">
      <c r="A40" s="86"/>
      <c r="B40" s="86"/>
      <c r="C40" s="191" t="s">
        <v>207</v>
      </c>
      <c r="D40" s="520" t="s">
        <v>176</v>
      </c>
      <c r="E40" s="192" t="s">
        <v>29</v>
      </c>
      <c r="F40" s="192" t="s">
        <v>29</v>
      </c>
      <c r="G40" s="192" t="s">
        <v>13</v>
      </c>
      <c r="H40" s="195"/>
      <c r="I40" s="187">
        <f>F41</f>
        <v>0</v>
      </c>
      <c r="J40" s="187">
        <f>F42</f>
        <v>1.2000000000000002</v>
      </c>
      <c r="K40" s="187">
        <f>F43</f>
        <v>0</v>
      </c>
      <c r="L40" s="519">
        <f>IF(I40=0,0,1)+I40</f>
        <v>0</v>
      </c>
      <c r="M40" s="519">
        <f>IF(J40=0,0,1)+J40</f>
        <v>2.2000000000000002</v>
      </c>
      <c r="N40" s="519"/>
      <c r="O40" s="519">
        <f>IF(K40=0,0,1)+K40</f>
        <v>0</v>
      </c>
      <c r="P40" s="519">
        <f>IF(J40=0,0,(L40*J40)+L40)</f>
        <v>0</v>
      </c>
      <c r="Q40" s="519">
        <f>IF(K40=0,0,(M40*K40)+M40)</f>
        <v>0</v>
      </c>
      <c r="R40" s="519">
        <f>IF(I40=0,0,(O40*I40)+O40)</f>
        <v>0</v>
      </c>
      <c r="S40" s="519">
        <f>IF(K40=0,0,(P40*K40)+P40)</f>
        <v>0</v>
      </c>
    </row>
    <row r="41" spans="1:19" ht="16.2" thickBot="1" x14ac:dyDescent="0.35">
      <c r="A41" s="86"/>
      <c r="B41" s="102" t="str">
        <f>game1</f>
        <v>Spurs</v>
      </c>
      <c r="C41" s="198" t="s">
        <v>208</v>
      </c>
      <c r="D41" s="521" t="str">
        <f>INDEX(Picks!C:C,MATCH(B41,Picks!B:B,0))</f>
        <v>3/4</v>
      </c>
      <c r="E41" s="521">
        <f>INDEX(Picks!D:D,MATCH(B41,Picks!B:B,0))</f>
        <v>1.75</v>
      </c>
      <c r="F41" s="521">
        <f>+((E41-1)*G41)</f>
        <v>0</v>
      </c>
      <c r="G41" s="186">
        <v>0</v>
      </c>
      <c r="H41" s="195"/>
      <c r="I41" s="91"/>
      <c r="J41" s="91"/>
      <c r="K41" s="91"/>
      <c r="L41" s="91"/>
      <c r="M41" s="91"/>
      <c r="N41" s="195"/>
      <c r="O41" s="522"/>
      <c r="P41" s="522"/>
      <c r="Q41" s="522"/>
      <c r="R41" s="522"/>
      <c r="S41" s="522"/>
    </row>
    <row r="42" spans="1:19" ht="15.6" x14ac:dyDescent="0.3">
      <c r="A42" s="86"/>
      <c r="B42" s="102" t="str">
        <f>game2</f>
        <v>Sunderland</v>
      </c>
      <c r="C42" s="193" t="s">
        <v>209</v>
      </c>
      <c r="D42" s="521" t="str">
        <f>INDEX(Picks!C:C,MATCH(B42,Picks!B:B,0))</f>
        <v>6/5</v>
      </c>
      <c r="E42" s="521">
        <f>INDEX(Picks!D:D,MATCH(B42,Picks!B:B,0))</f>
        <v>2.2000000000000002</v>
      </c>
      <c r="F42" s="521">
        <f>+((E42-1)*G42)</f>
        <v>1.2000000000000002</v>
      </c>
      <c r="G42" s="186">
        <v>1</v>
      </c>
      <c r="H42" s="195"/>
      <c r="I42" s="91"/>
      <c r="J42" s="91"/>
      <c r="K42" s="91"/>
      <c r="L42" s="5" t="s">
        <v>13</v>
      </c>
      <c r="M42" s="5" t="s">
        <v>30</v>
      </c>
      <c r="N42" s="523"/>
      <c r="O42" s="524" t="s">
        <v>18</v>
      </c>
      <c r="P42" s="527"/>
      <c r="Q42" s="522"/>
      <c r="R42" s="522"/>
      <c r="S42" s="522"/>
    </row>
    <row r="43" spans="1:19" ht="16.2" thickBot="1" x14ac:dyDescent="0.35">
      <c r="A43" s="86"/>
      <c r="B43" s="102" t="str">
        <f>game3</f>
        <v>Sheff U</v>
      </c>
      <c r="C43" s="198" t="s">
        <v>208</v>
      </c>
      <c r="D43" s="521" t="str">
        <f>INDEX(Picks!C:C,MATCH(B43,Picks!B:B,0))</f>
        <v>21/20</v>
      </c>
      <c r="E43" s="521">
        <f>INDEX(Picks!D:D,MATCH(B43,Picks!B:B,0))</f>
        <v>2.0499999999999998</v>
      </c>
      <c r="F43" s="521">
        <f>+((E43-1)*G43)</f>
        <v>0</v>
      </c>
      <c r="G43" s="186">
        <v>0</v>
      </c>
      <c r="H43" s="195"/>
      <c r="I43" s="91"/>
      <c r="J43" s="91"/>
      <c r="K43" s="91"/>
      <c r="L43" s="6">
        <f>SUM(G41:G43)</f>
        <v>1</v>
      </c>
      <c r="M43" s="7">
        <f>SUM(L40:S40)-7</f>
        <v>-4.8</v>
      </c>
      <c r="N43" s="525"/>
      <c r="O43" s="526">
        <f>$M$3+M43</f>
        <v>-29.441997890997893</v>
      </c>
      <c r="P43" s="527"/>
      <c r="Q43" s="522"/>
      <c r="R43" s="522"/>
      <c r="S43" s="522"/>
    </row>
    <row r="44" spans="1:19" x14ac:dyDescent="0.25">
      <c r="A44" s="86"/>
      <c r="B44" s="86"/>
      <c r="C44" s="86"/>
      <c r="D44" s="91"/>
      <c r="E44" s="91"/>
      <c r="F44" s="91"/>
      <c r="G44" s="91"/>
      <c r="H44" s="91"/>
      <c r="I44" s="86"/>
      <c r="J44" s="86"/>
      <c r="K44" s="86"/>
      <c r="L44" s="86"/>
      <c r="M44" s="86"/>
      <c r="N44" s="176"/>
      <c r="O44" s="527"/>
      <c r="P44" s="527"/>
      <c r="Q44" s="527"/>
      <c r="R44" s="527"/>
      <c r="S44" s="527"/>
    </row>
    <row r="45" spans="1:19" x14ac:dyDescent="0.25">
      <c r="A45" s="86"/>
      <c r="B45" s="86"/>
      <c r="C45" s="86"/>
      <c r="D45" s="91"/>
      <c r="E45" s="91"/>
      <c r="F45" s="91"/>
      <c r="G45" s="91"/>
      <c r="H45" s="91"/>
      <c r="I45" s="86"/>
      <c r="J45" s="86"/>
      <c r="K45" s="86"/>
      <c r="L45" s="86"/>
      <c r="M45" s="86"/>
      <c r="N45" s="176"/>
      <c r="O45" s="527"/>
      <c r="P45" s="527"/>
      <c r="Q45" s="527"/>
      <c r="R45" s="527"/>
      <c r="S45" s="527"/>
    </row>
    <row r="46" spans="1:19" x14ac:dyDescent="0.25">
      <c r="A46" s="86"/>
      <c r="B46" s="86"/>
      <c r="C46" s="190" t="s">
        <v>27</v>
      </c>
      <c r="D46" s="532" t="s">
        <v>448</v>
      </c>
      <c r="E46" s="190" t="s">
        <v>206</v>
      </c>
      <c r="F46" s="190" t="s">
        <v>206</v>
      </c>
      <c r="G46" s="190" t="s">
        <v>27</v>
      </c>
      <c r="H46" s="195"/>
      <c r="I46" s="91"/>
      <c r="J46" s="91"/>
      <c r="K46" s="91"/>
      <c r="L46" s="517" t="s">
        <v>199</v>
      </c>
      <c r="M46" s="517" t="s">
        <v>200</v>
      </c>
      <c r="N46" s="517"/>
      <c r="O46" s="517" t="s">
        <v>201</v>
      </c>
      <c r="P46" s="517" t="s">
        <v>202</v>
      </c>
      <c r="Q46" s="517" t="s">
        <v>203</v>
      </c>
      <c r="R46" s="517" t="s">
        <v>204</v>
      </c>
      <c r="S46" s="517" t="s">
        <v>205</v>
      </c>
    </row>
    <row r="47" spans="1:19" x14ac:dyDescent="0.25">
      <c r="A47" s="86"/>
      <c r="B47" s="86"/>
      <c r="C47" s="191" t="s">
        <v>207</v>
      </c>
      <c r="D47" s="520" t="s">
        <v>176</v>
      </c>
      <c r="E47" s="192" t="s">
        <v>29</v>
      </c>
      <c r="F47" s="192" t="s">
        <v>29</v>
      </c>
      <c r="G47" s="192" t="s">
        <v>13</v>
      </c>
      <c r="H47" s="195"/>
      <c r="I47" s="187">
        <f>F48</f>
        <v>0</v>
      </c>
      <c r="J47" s="187">
        <f>F49</f>
        <v>0</v>
      </c>
      <c r="K47" s="187">
        <f>F50</f>
        <v>1.0499999999999998</v>
      </c>
      <c r="L47" s="519">
        <f>IF(I47=0,0,1)+I47</f>
        <v>0</v>
      </c>
      <c r="M47" s="519">
        <f>IF(J47=0,0,1)+J47</f>
        <v>0</v>
      </c>
      <c r="N47" s="519"/>
      <c r="O47" s="519">
        <f>IF(K47=0,0,1)+K47</f>
        <v>2.0499999999999998</v>
      </c>
      <c r="P47" s="519">
        <f>IF(J47=0,0,(L47*J47)+L47)</f>
        <v>0</v>
      </c>
      <c r="Q47" s="519">
        <f>IF(K47=0,0,(M47*K47)+M47)</f>
        <v>0</v>
      </c>
      <c r="R47" s="519">
        <f>IF(I47=0,0,(O47*I47)+O47)</f>
        <v>0</v>
      </c>
      <c r="S47" s="519">
        <f>IF(K47=0,0,(P47*K47)+P47)</f>
        <v>0</v>
      </c>
    </row>
    <row r="48" spans="1:19" ht="16.2" thickBot="1" x14ac:dyDescent="0.35">
      <c r="A48" s="86"/>
      <c r="B48" s="102" t="str">
        <f>game1</f>
        <v>Spurs</v>
      </c>
      <c r="C48" s="198" t="s">
        <v>208</v>
      </c>
      <c r="D48" s="521" t="str">
        <f>INDEX(Picks!C:C,MATCH(B48,Picks!B:B,0))</f>
        <v>3/4</v>
      </c>
      <c r="E48" s="521">
        <f>INDEX(Picks!D:D,MATCH(B48,Picks!B:B,0))</f>
        <v>1.75</v>
      </c>
      <c r="F48" s="521">
        <f>+((E48-1)*G48)</f>
        <v>0</v>
      </c>
      <c r="G48" s="186">
        <v>0</v>
      </c>
      <c r="H48" s="195"/>
      <c r="I48" s="91"/>
      <c r="J48" s="91"/>
      <c r="K48" s="91"/>
      <c r="L48" s="91"/>
      <c r="M48" s="91"/>
      <c r="N48" s="195"/>
      <c r="O48" s="527"/>
      <c r="P48" s="527"/>
      <c r="Q48" s="527"/>
      <c r="R48" s="527"/>
      <c r="S48" s="527"/>
    </row>
    <row r="49" spans="1:19" ht="15.6" x14ac:dyDescent="0.3">
      <c r="A49" s="86"/>
      <c r="B49" s="102" t="str">
        <f>game2</f>
        <v>Sunderland</v>
      </c>
      <c r="C49" s="198" t="s">
        <v>208</v>
      </c>
      <c r="D49" s="521" t="str">
        <f>INDEX(Picks!C:C,MATCH(B49,Picks!B:B,0))</f>
        <v>6/5</v>
      </c>
      <c r="E49" s="521">
        <f>INDEX(Picks!D:D,MATCH(B49,Picks!B:B,0))</f>
        <v>2.2000000000000002</v>
      </c>
      <c r="F49" s="521">
        <f>+((E49-1)*G49)</f>
        <v>0</v>
      </c>
      <c r="G49" s="186">
        <v>0</v>
      </c>
      <c r="H49" s="195"/>
      <c r="I49" s="91"/>
      <c r="J49" s="91"/>
      <c r="K49" s="91"/>
      <c r="L49" s="5" t="s">
        <v>13</v>
      </c>
      <c r="M49" s="5" t="s">
        <v>30</v>
      </c>
      <c r="N49" s="523"/>
      <c r="O49" s="524" t="s">
        <v>18</v>
      </c>
      <c r="P49" s="527"/>
      <c r="Q49" s="527"/>
      <c r="R49" s="527"/>
      <c r="S49" s="527"/>
    </row>
    <row r="50" spans="1:19" ht="16.2" thickBot="1" x14ac:dyDescent="0.35">
      <c r="A50" s="86"/>
      <c r="B50" s="102" t="str">
        <f>game3</f>
        <v>Sheff U</v>
      </c>
      <c r="C50" s="193" t="s">
        <v>209</v>
      </c>
      <c r="D50" s="521" t="str">
        <f>INDEX(Picks!C:C,MATCH(B50,Picks!B:B,0))</f>
        <v>21/20</v>
      </c>
      <c r="E50" s="521">
        <f>INDEX(Picks!D:D,MATCH(B50,Picks!B:B,0))</f>
        <v>2.0499999999999998</v>
      </c>
      <c r="F50" s="521">
        <f>+((E50-1)*G50)</f>
        <v>1.0499999999999998</v>
      </c>
      <c r="G50" s="186">
        <v>1</v>
      </c>
      <c r="H50" s="195"/>
      <c r="I50" s="91"/>
      <c r="J50" s="91"/>
      <c r="K50" s="91"/>
      <c r="L50" s="6">
        <f>SUM(G48:G50)</f>
        <v>1</v>
      </c>
      <c r="M50" s="7">
        <f>SUM(L47:S47)-7</f>
        <v>-4.95</v>
      </c>
      <c r="N50" s="525"/>
      <c r="O50" s="526">
        <f>$M$3+M50</f>
        <v>-29.591997890997892</v>
      </c>
      <c r="P50" s="527"/>
      <c r="Q50" s="527"/>
      <c r="R50" s="527"/>
      <c r="S50" s="527"/>
    </row>
  </sheetData>
  <sheetCalcPr fullCalcOnLoad="1"/>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157"/>
  <sheetViews>
    <sheetView workbookViewId="0">
      <selection activeCell="B2" sqref="B2"/>
    </sheetView>
  </sheetViews>
  <sheetFormatPr defaultRowHeight="13.2" x14ac:dyDescent="0.25"/>
  <cols>
    <col min="1" max="1" width="2.6640625" customWidth="1"/>
    <col min="2" max="2" width="20" customWidth="1"/>
    <col min="3" max="3" width="9.109375" customWidth="1"/>
    <col min="5" max="5" width="0" hidden="1" customWidth="1"/>
    <col min="7" max="7" width="10.88671875" hidden="1" customWidth="1"/>
    <col min="8" max="8" width="3.109375" customWidth="1"/>
    <col min="9" max="9" width="8.88671875" hidden="1" customWidth="1"/>
    <col min="10" max="11" width="9.109375" hidden="1" customWidth="1"/>
  </cols>
  <sheetData>
    <row r="1" spans="1:19" ht="28.95" customHeight="1" x14ac:dyDescent="0.25">
      <c r="A1" s="493" t="s">
        <v>423</v>
      </c>
      <c r="B1" s="172" t="s">
        <v>339</v>
      </c>
      <c r="C1" s="86"/>
      <c r="D1" s="86"/>
      <c r="E1" s="86"/>
      <c r="F1" s="86"/>
      <c r="G1" s="86"/>
      <c r="H1" s="86"/>
      <c r="I1" s="86"/>
      <c r="J1" s="86"/>
      <c r="K1" s="86"/>
      <c r="L1" s="86"/>
      <c r="M1" s="86"/>
      <c r="N1" s="86"/>
      <c r="O1" s="86"/>
      <c r="P1" s="86"/>
      <c r="Q1" s="86"/>
      <c r="R1" s="86"/>
      <c r="S1" s="86"/>
    </row>
    <row r="2" spans="1:19" x14ac:dyDescent="0.25">
      <c r="A2" s="86"/>
      <c r="B2" s="86"/>
      <c r="C2" s="190" t="s">
        <v>27</v>
      </c>
      <c r="D2" s="190" t="s">
        <v>206</v>
      </c>
      <c r="E2" s="190" t="s">
        <v>206</v>
      </c>
      <c r="F2" s="190" t="s">
        <v>206</v>
      </c>
      <c r="G2" s="190" t="s">
        <v>27</v>
      </c>
      <c r="H2" s="195"/>
      <c r="I2" s="91"/>
      <c r="J2" s="91"/>
      <c r="K2" s="91"/>
      <c r="L2" s="194" t="s">
        <v>199</v>
      </c>
      <c r="M2" s="194" t="s">
        <v>200</v>
      </c>
      <c r="N2" s="194" t="s">
        <v>201</v>
      </c>
      <c r="O2" s="194" t="s">
        <v>202</v>
      </c>
      <c r="P2" s="194" t="s">
        <v>203</v>
      </c>
      <c r="Q2" s="194" t="s">
        <v>204</v>
      </c>
      <c r="R2" s="194" t="s">
        <v>205</v>
      </c>
      <c r="S2" s="86"/>
    </row>
    <row r="3" spans="1:19" x14ac:dyDescent="0.25">
      <c r="A3" s="86"/>
      <c r="B3" s="86"/>
      <c r="C3" s="191" t="s">
        <v>207</v>
      </c>
      <c r="D3" s="192" t="s">
        <v>28</v>
      </c>
      <c r="E3" s="192" t="s">
        <v>29</v>
      </c>
      <c r="F3" s="192" t="s">
        <v>29</v>
      </c>
      <c r="G3" s="192" t="s">
        <v>13</v>
      </c>
      <c r="H3" s="195"/>
      <c r="I3" s="187">
        <f>F4</f>
        <v>2.25</v>
      </c>
      <c r="J3" s="187">
        <f>F5</f>
        <v>1.5</v>
      </c>
      <c r="K3" s="187">
        <f>F6</f>
        <v>2.1</v>
      </c>
      <c r="L3" s="188">
        <f>IF(I3=0,0,1)+I3</f>
        <v>3.25</v>
      </c>
      <c r="M3" s="188">
        <f>IF(J3=0,0,1)+J3</f>
        <v>2.5</v>
      </c>
      <c r="N3" s="188">
        <f>IF(K3=0,0,1)+K3</f>
        <v>3.1</v>
      </c>
      <c r="O3" s="188">
        <f>IF(J3=0,0,(L3*J3)+L3)</f>
        <v>8.125</v>
      </c>
      <c r="P3" s="188">
        <f>IF(K3=0,0,(M3*K3)+M3)</f>
        <v>7.75</v>
      </c>
      <c r="Q3" s="188">
        <f>IF(I3=0,0,(N3*I3)+N3)</f>
        <v>10.075000000000001</v>
      </c>
      <c r="R3" s="188">
        <f>IF(K3=0,0,(O3*K3)+O3)</f>
        <v>25.1875</v>
      </c>
      <c r="S3" s="86"/>
    </row>
    <row r="4" spans="1:19" ht="16.2" thickBot="1" x14ac:dyDescent="0.35">
      <c r="A4" s="86"/>
      <c r="B4" s="102" t="s">
        <v>430</v>
      </c>
      <c r="C4" s="193" t="s">
        <v>209</v>
      </c>
      <c r="D4" s="189" t="s">
        <v>385</v>
      </c>
      <c r="E4" s="188">
        <v>3.25</v>
      </c>
      <c r="F4" s="188">
        <v>2.25</v>
      </c>
      <c r="G4" s="186">
        <v>1</v>
      </c>
      <c r="H4" s="195"/>
      <c r="I4" s="91"/>
      <c r="J4" s="91"/>
      <c r="K4" s="91"/>
      <c r="L4" s="91"/>
      <c r="M4" s="91"/>
      <c r="N4" s="91"/>
      <c r="O4" s="91"/>
      <c r="P4" s="91"/>
      <c r="Q4" s="91"/>
      <c r="R4" s="91"/>
      <c r="S4" s="86"/>
    </row>
    <row r="5" spans="1:19" ht="15.6" x14ac:dyDescent="0.3">
      <c r="A5" s="86"/>
      <c r="B5" s="102" t="s">
        <v>22</v>
      </c>
      <c r="C5" s="193" t="s">
        <v>209</v>
      </c>
      <c r="D5" s="189" t="s">
        <v>197</v>
      </c>
      <c r="E5" s="188">
        <v>2.5</v>
      </c>
      <c r="F5" s="188">
        <v>1.5</v>
      </c>
      <c r="G5" s="186">
        <v>1</v>
      </c>
      <c r="H5" s="195"/>
      <c r="I5" s="91"/>
      <c r="J5" s="91"/>
      <c r="K5" s="91"/>
      <c r="L5" s="5" t="s">
        <v>13</v>
      </c>
      <c r="M5" s="5" t="s">
        <v>30</v>
      </c>
      <c r="N5" s="86"/>
      <c r="O5" s="86" t="s">
        <v>445</v>
      </c>
      <c r="P5" s="91" t="s">
        <v>18</v>
      </c>
      <c r="Q5" s="91"/>
      <c r="R5" s="91"/>
      <c r="S5" s="86"/>
    </row>
    <row r="6" spans="1:19" ht="16.2" thickBot="1" x14ac:dyDescent="0.35">
      <c r="A6" s="86"/>
      <c r="B6" s="102" t="s">
        <v>441</v>
      </c>
      <c r="C6" s="193" t="s">
        <v>209</v>
      </c>
      <c r="D6" s="189" t="s">
        <v>198</v>
      </c>
      <c r="E6" s="188">
        <v>3.1</v>
      </c>
      <c r="F6" s="188">
        <v>2.1</v>
      </c>
      <c r="G6" s="186">
        <v>1</v>
      </c>
      <c r="H6" s="195"/>
      <c r="I6" s="91"/>
      <c r="J6" s="91"/>
      <c r="K6" s="91"/>
      <c r="L6" s="6">
        <f>SUM(G4:G6)</f>
        <v>3</v>
      </c>
      <c r="M6" s="7">
        <f>SUM(L3:R3)-7</f>
        <v>52.987500000000004</v>
      </c>
      <c r="N6" s="86"/>
      <c r="O6" s="86"/>
      <c r="P6" s="91"/>
      <c r="Q6" s="91"/>
      <c r="R6" s="91"/>
      <c r="S6" s="86"/>
    </row>
    <row r="7" spans="1:19" x14ac:dyDescent="0.25">
      <c r="A7" s="86"/>
      <c r="B7" s="86"/>
      <c r="C7" s="86"/>
      <c r="D7" s="91"/>
      <c r="E7" s="91"/>
      <c r="F7" s="91"/>
      <c r="G7" s="91"/>
      <c r="H7" s="91"/>
      <c r="I7" s="86"/>
      <c r="J7" s="86"/>
      <c r="K7" s="91"/>
      <c r="L7" s="91"/>
      <c r="M7" s="91"/>
      <c r="N7" s="91"/>
      <c r="O7" s="91"/>
      <c r="P7" s="91"/>
      <c r="Q7" s="91"/>
      <c r="R7" s="91"/>
      <c r="S7" s="91"/>
    </row>
    <row r="8" spans="1:19" x14ac:dyDescent="0.25">
      <c r="A8" s="86"/>
      <c r="B8" s="86"/>
      <c r="C8" s="86"/>
      <c r="D8" s="91"/>
      <c r="E8" s="91"/>
      <c r="F8" s="91"/>
      <c r="G8" s="91"/>
      <c r="H8" s="91"/>
      <c r="I8" s="86"/>
      <c r="J8" s="86"/>
      <c r="K8" s="91"/>
      <c r="L8" s="91"/>
      <c r="M8" s="91"/>
      <c r="N8" s="91"/>
      <c r="O8" s="91"/>
      <c r="P8" s="91"/>
      <c r="Q8" s="91"/>
      <c r="R8" s="91"/>
      <c r="S8" s="91"/>
    </row>
    <row r="9" spans="1:19" x14ac:dyDescent="0.25">
      <c r="A9" s="86"/>
      <c r="B9" s="86"/>
      <c r="C9" s="190" t="s">
        <v>27</v>
      </c>
      <c r="D9" s="190" t="s">
        <v>206</v>
      </c>
      <c r="E9" s="190" t="s">
        <v>206</v>
      </c>
      <c r="F9" s="190" t="s">
        <v>206</v>
      </c>
      <c r="G9" s="190" t="s">
        <v>27</v>
      </c>
      <c r="H9" s="195"/>
      <c r="I9" s="91"/>
      <c r="J9" s="91"/>
      <c r="K9" s="91"/>
      <c r="L9" s="194" t="s">
        <v>199</v>
      </c>
      <c r="M9" s="194" t="s">
        <v>200</v>
      </c>
      <c r="N9" s="194" t="s">
        <v>201</v>
      </c>
      <c r="O9" s="194" t="s">
        <v>202</v>
      </c>
      <c r="P9" s="194" t="s">
        <v>203</v>
      </c>
      <c r="Q9" s="194" t="s">
        <v>204</v>
      </c>
      <c r="R9" s="194" t="s">
        <v>205</v>
      </c>
      <c r="S9" s="91"/>
    </row>
    <row r="10" spans="1:19" x14ac:dyDescent="0.25">
      <c r="A10" s="86"/>
      <c r="B10" s="86"/>
      <c r="C10" s="191" t="s">
        <v>207</v>
      </c>
      <c r="D10" s="192" t="s">
        <v>28</v>
      </c>
      <c r="E10" s="192" t="s">
        <v>29</v>
      </c>
      <c r="F10" s="192" t="s">
        <v>29</v>
      </c>
      <c r="G10" s="192" t="s">
        <v>13</v>
      </c>
      <c r="H10" s="195"/>
      <c r="I10" s="187">
        <f>F11</f>
        <v>0</v>
      </c>
      <c r="J10" s="187">
        <f>F12</f>
        <v>1.5</v>
      </c>
      <c r="K10" s="187">
        <f>F13</f>
        <v>2.1</v>
      </c>
      <c r="L10" s="188">
        <f>IF(I10=0,0,1)+I10</f>
        <v>0</v>
      </c>
      <c r="M10" s="188">
        <f>IF(J10=0,0,1)+J10</f>
        <v>2.5</v>
      </c>
      <c r="N10" s="188">
        <f>IF(K10=0,0,1)+K10</f>
        <v>3.1</v>
      </c>
      <c r="O10" s="188">
        <f>IF(J10=0,0,(L10*J10)+L10)</f>
        <v>0</v>
      </c>
      <c r="P10" s="188">
        <f>IF(K10=0,0,(M10*K10)+M10)</f>
        <v>7.75</v>
      </c>
      <c r="Q10" s="188">
        <f>IF(I10=0,0,(N10*I10)+N10)</f>
        <v>0</v>
      </c>
      <c r="R10" s="188">
        <f>IF(K10=0,0,(O10*K10)+O10)</f>
        <v>0</v>
      </c>
      <c r="S10" s="91"/>
    </row>
    <row r="11" spans="1:19" ht="16.2" thickBot="1" x14ac:dyDescent="0.35">
      <c r="A11" s="86"/>
      <c r="B11" s="102" t="s">
        <v>195</v>
      </c>
      <c r="C11" s="198" t="s">
        <v>208</v>
      </c>
      <c r="D11" s="189" t="s">
        <v>196</v>
      </c>
      <c r="E11" s="188">
        <f>(TRUNC(((VALUE(LEFT(D11,SEARCH("/",D11)-1)))/(VALUE(MID(D11,(SEARCH("/",D11)+1),3))))*100)/100)+1</f>
        <v>3.25</v>
      </c>
      <c r="F11" s="188">
        <f>+((E11-1)*G11)</f>
        <v>0</v>
      </c>
      <c r="G11" s="186">
        <v>0</v>
      </c>
      <c r="H11" s="195"/>
      <c r="I11" s="91"/>
      <c r="J11" s="91"/>
      <c r="K11" s="91"/>
      <c r="L11" s="91"/>
      <c r="M11" s="91"/>
      <c r="N11" s="91"/>
      <c r="O11" s="91"/>
      <c r="P11" s="91"/>
      <c r="Q11" s="91"/>
      <c r="R11" s="91"/>
      <c r="S11" s="91"/>
    </row>
    <row r="12" spans="1:19" ht="15.6" x14ac:dyDescent="0.3">
      <c r="A12" s="86"/>
      <c r="B12" s="102" t="s">
        <v>193</v>
      </c>
      <c r="C12" s="193" t="s">
        <v>209</v>
      </c>
      <c r="D12" s="189" t="s">
        <v>197</v>
      </c>
      <c r="E12" s="188">
        <f>(TRUNC(((VALUE(LEFT(D12,SEARCH("/",D12)-1)))/(VALUE(MID(D12,(SEARCH("/",D12)+1),3))))*100)/100)+1</f>
        <v>2.5</v>
      </c>
      <c r="F12" s="188">
        <f>+((E12-1)*G12)</f>
        <v>1.5</v>
      </c>
      <c r="G12" s="186">
        <v>1</v>
      </c>
      <c r="H12" s="195"/>
      <c r="I12" s="91"/>
      <c r="J12" s="91"/>
      <c r="K12" s="91"/>
      <c r="L12" s="5" t="s">
        <v>13</v>
      </c>
      <c r="M12" s="5" t="s">
        <v>30</v>
      </c>
      <c r="N12" s="86"/>
      <c r="O12" s="86"/>
      <c r="P12" s="91"/>
      <c r="Q12" s="91"/>
      <c r="R12" s="91"/>
      <c r="S12" s="91"/>
    </row>
    <row r="13" spans="1:19" ht="16.2" thickBot="1" x14ac:dyDescent="0.35">
      <c r="A13" s="86"/>
      <c r="B13" s="102" t="s">
        <v>194</v>
      </c>
      <c r="C13" s="193" t="s">
        <v>209</v>
      </c>
      <c r="D13" s="189" t="s">
        <v>198</v>
      </c>
      <c r="E13" s="188">
        <f>(TRUNC(((VALUE(LEFT(D13,SEARCH("/",D13)-1)))/(VALUE(MID(D13,(SEARCH("/",D13)+1),3))))*100)/100)+1</f>
        <v>3.1</v>
      </c>
      <c r="F13" s="188">
        <f>+((E13-1)*G13)</f>
        <v>2.1</v>
      </c>
      <c r="G13" s="186">
        <v>1</v>
      </c>
      <c r="H13" s="195"/>
      <c r="I13" s="91"/>
      <c r="J13" s="91"/>
      <c r="K13" s="91"/>
      <c r="L13" s="6">
        <f>SUM(G11:G13)</f>
        <v>2</v>
      </c>
      <c r="M13" s="7">
        <f>SUM(L10:R10)-7</f>
        <v>6.35</v>
      </c>
      <c r="N13" s="86"/>
      <c r="O13" s="86"/>
      <c r="P13" s="91"/>
      <c r="Q13" s="91"/>
      <c r="R13" s="91"/>
      <c r="S13" s="91"/>
    </row>
    <row r="14" spans="1:19" x14ac:dyDescent="0.25">
      <c r="A14" s="86"/>
      <c r="B14" s="86"/>
      <c r="C14" s="86"/>
      <c r="D14" s="91"/>
      <c r="E14" s="91"/>
      <c r="F14" s="91"/>
      <c r="G14" s="91"/>
      <c r="H14" s="91"/>
      <c r="I14" s="86"/>
      <c r="J14" s="86"/>
      <c r="K14" s="91"/>
      <c r="L14" s="91"/>
      <c r="M14" s="91"/>
      <c r="N14" s="91"/>
      <c r="O14" s="91"/>
      <c r="P14" s="91"/>
      <c r="Q14" s="91"/>
      <c r="R14" s="91"/>
      <c r="S14" s="91"/>
    </row>
    <row r="15" spans="1:19" x14ac:dyDescent="0.25">
      <c r="A15" s="86"/>
      <c r="B15" s="86"/>
      <c r="C15" s="86"/>
      <c r="D15" s="91"/>
      <c r="E15" s="91"/>
      <c r="F15" s="91"/>
      <c r="G15" s="91"/>
      <c r="H15" s="91"/>
      <c r="I15" s="86"/>
      <c r="J15" s="86"/>
      <c r="K15" s="91"/>
      <c r="L15" s="91"/>
      <c r="M15" s="91"/>
      <c r="N15" s="91"/>
      <c r="O15" s="91"/>
      <c r="P15" s="91"/>
      <c r="Q15" s="91"/>
      <c r="R15" s="91"/>
      <c r="S15" s="91"/>
    </row>
    <row r="16" spans="1:19" x14ac:dyDescent="0.25">
      <c r="A16" s="86"/>
      <c r="B16" s="86"/>
      <c r="C16" s="190" t="s">
        <v>27</v>
      </c>
      <c r="D16" s="190" t="s">
        <v>206</v>
      </c>
      <c r="E16" s="190" t="s">
        <v>206</v>
      </c>
      <c r="F16" s="190" t="s">
        <v>206</v>
      </c>
      <c r="G16" s="190" t="s">
        <v>27</v>
      </c>
      <c r="H16" s="195"/>
      <c r="I16" s="91"/>
      <c r="J16" s="91"/>
      <c r="K16" s="91"/>
      <c r="L16" s="194" t="s">
        <v>199</v>
      </c>
      <c r="M16" s="194" t="s">
        <v>200</v>
      </c>
      <c r="N16" s="194" t="s">
        <v>201</v>
      </c>
      <c r="O16" s="194" t="s">
        <v>202</v>
      </c>
      <c r="P16" s="194" t="s">
        <v>203</v>
      </c>
      <c r="Q16" s="194" t="s">
        <v>204</v>
      </c>
      <c r="R16" s="194" t="s">
        <v>205</v>
      </c>
      <c r="S16" s="91"/>
    </row>
    <row r="17" spans="1:20" x14ac:dyDescent="0.25">
      <c r="A17" s="86"/>
      <c r="B17" s="86"/>
      <c r="C17" s="191" t="s">
        <v>207</v>
      </c>
      <c r="D17" s="192" t="s">
        <v>28</v>
      </c>
      <c r="E17" s="192" t="s">
        <v>29</v>
      </c>
      <c r="F17" s="192" t="s">
        <v>29</v>
      </c>
      <c r="G17" s="192" t="s">
        <v>13</v>
      </c>
      <c r="H17" s="195"/>
      <c r="I17" s="187">
        <f>F18</f>
        <v>0</v>
      </c>
      <c r="J17" s="187">
        <f>F19</f>
        <v>0</v>
      </c>
      <c r="K17" s="187">
        <f>F20</f>
        <v>2.1</v>
      </c>
      <c r="L17" s="188">
        <f>IF(I17=0,0,1)+I17</f>
        <v>0</v>
      </c>
      <c r="M17" s="188">
        <f>IF(J17=0,0,1)+J17</f>
        <v>0</v>
      </c>
      <c r="N17" s="188">
        <f>IF(K17=0,0,1)+K17</f>
        <v>3.1</v>
      </c>
      <c r="O17" s="188">
        <f>IF(J17=0,0,(L17*J17)+L17)</f>
        <v>0</v>
      </c>
      <c r="P17" s="188">
        <f>IF(K17=0,0,(M17*K17)+M17)</f>
        <v>0</v>
      </c>
      <c r="Q17" s="188">
        <f>IF(I17=0,0,(N17*I17)+N17)</f>
        <v>0</v>
      </c>
      <c r="R17" s="188">
        <f>IF(K17=0,0,(O17*K17)+O17)</f>
        <v>0</v>
      </c>
      <c r="S17" s="91"/>
    </row>
    <row r="18" spans="1:20" ht="16.2" thickBot="1" x14ac:dyDescent="0.35">
      <c r="A18" s="86"/>
      <c r="B18" s="102" t="s">
        <v>195</v>
      </c>
      <c r="C18" s="198" t="s">
        <v>208</v>
      </c>
      <c r="D18" s="189" t="s">
        <v>196</v>
      </c>
      <c r="E18" s="188">
        <f>(TRUNC(((VALUE(LEFT(D18,SEARCH("/",D18)-1)))/(VALUE(MID(D18,(SEARCH("/",D18)+1),3))))*100)/100)+1</f>
        <v>3.25</v>
      </c>
      <c r="F18" s="188">
        <f>+((E18-1)*G18)</f>
        <v>0</v>
      </c>
      <c r="G18" s="186">
        <v>0</v>
      </c>
      <c r="H18" s="195"/>
      <c r="I18" s="91"/>
      <c r="J18" s="91"/>
      <c r="K18" s="91"/>
      <c r="L18" s="91"/>
      <c r="M18" s="91"/>
      <c r="N18" s="91"/>
      <c r="O18" s="91"/>
      <c r="P18" s="91"/>
      <c r="Q18" s="91"/>
      <c r="R18" s="91"/>
      <c r="S18" s="91"/>
    </row>
    <row r="19" spans="1:20" ht="15.6" x14ac:dyDescent="0.3">
      <c r="A19" s="86"/>
      <c r="B19" s="102" t="s">
        <v>193</v>
      </c>
      <c r="C19" s="198" t="s">
        <v>208</v>
      </c>
      <c r="D19" s="189" t="s">
        <v>197</v>
      </c>
      <c r="E19" s="188">
        <f>(TRUNC(((VALUE(LEFT(D19,SEARCH("/",D19)-1)))/(VALUE(MID(D19,(SEARCH("/",D19)+1),3))))*100)/100)+1</f>
        <v>2.5</v>
      </c>
      <c r="F19" s="188">
        <f>+((E19-1)*G19)</f>
        <v>0</v>
      </c>
      <c r="G19" s="186">
        <v>0</v>
      </c>
      <c r="H19" s="195"/>
      <c r="I19" s="91"/>
      <c r="J19" s="91"/>
      <c r="K19" s="91"/>
      <c r="L19" s="5" t="s">
        <v>13</v>
      </c>
      <c r="M19" s="5" t="s">
        <v>30</v>
      </c>
      <c r="N19" s="86"/>
      <c r="O19" s="86"/>
      <c r="P19" s="91"/>
      <c r="Q19" s="91"/>
      <c r="R19" s="91"/>
      <c r="S19" s="91"/>
    </row>
    <row r="20" spans="1:20" ht="16.2" thickBot="1" x14ac:dyDescent="0.35">
      <c r="A20" s="86"/>
      <c r="B20" s="102" t="s">
        <v>194</v>
      </c>
      <c r="C20" s="193" t="s">
        <v>209</v>
      </c>
      <c r="D20" s="189" t="s">
        <v>198</v>
      </c>
      <c r="E20" s="188">
        <f>(TRUNC(((VALUE(LEFT(D20,SEARCH("/",D20)-1)))/(VALUE(MID(D20,(SEARCH("/",D20)+1),3))))*100)/100)+1</f>
        <v>3.1</v>
      </c>
      <c r="F20" s="188">
        <f>+((E20-1)*G20)</f>
        <v>2.1</v>
      </c>
      <c r="G20" s="186">
        <v>1</v>
      </c>
      <c r="H20" s="195"/>
      <c r="I20" s="91"/>
      <c r="J20" s="91"/>
      <c r="K20" s="91"/>
      <c r="L20" s="6">
        <f>SUM(G18:G20)</f>
        <v>1</v>
      </c>
      <c r="M20" s="7">
        <f>SUM(L17:R17)-7</f>
        <v>-3.9</v>
      </c>
      <c r="N20" s="86"/>
      <c r="O20" s="86"/>
      <c r="P20" s="91"/>
      <c r="Q20" s="91"/>
      <c r="R20" s="91"/>
      <c r="S20" s="91"/>
    </row>
    <row r="21" spans="1:20" x14ac:dyDescent="0.25">
      <c r="A21" s="86"/>
      <c r="B21" s="86"/>
      <c r="C21" s="86"/>
      <c r="D21" s="91"/>
      <c r="E21" s="91"/>
      <c r="F21" s="91"/>
      <c r="G21" s="91"/>
      <c r="H21" s="91"/>
      <c r="I21" s="86"/>
      <c r="J21" s="86"/>
      <c r="K21" s="91"/>
      <c r="L21" s="196"/>
      <c r="M21" s="197"/>
      <c r="N21" s="86"/>
      <c r="O21" s="86"/>
      <c r="P21" s="91"/>
      <c r="Q21" s="91"/>
      <c r="R21" s="91"/>
      <c r="S21" s="91"/>
      <c r="T21" s="86"/>
    </row>
    <row r="22" spans="1:20" x14ac:dyDescent="0.25">
      <c r="A22" s="86"/>
      <c r="B22" s="86"/>
      <c r="C22" s="86"/>
      <c r="D22" s="91"/>
      <c r="E22" s="91"/>
      <c r="F22" s="91"/>
      <c r="G22" s="91"/>
      <c r="H22" s="91"/>
      <c r="I22" s="86"/>
      <c r="J22" s="86"/>
      <c r="K22" s="91"/>
      <c r="L22" s="196"/>
      <c r="M22" s="197"/>
      <c r="N22" s="86"/>
      <c r="O22" s="86"/>
      <c r="P22" s="91"/>
      <c r="Q22" s="91"/>
      <c r="R22" s="91"/>
      <c r="S22" s="91"/>
      <c r="T22" s="86"/>
    </row>
    <row r="23" spans="1:20" x14ac:dyDescent="0.25">
      <c r="A23" s="86"/>
      <c r="B23" s="86"/>
      <c r="C23" s="190" t="s">
        <v>27</v>
      </c>
      <c r="D23" s="190" t="s">
        <v>206</v>
      </c>
      <c r="E23" s="190" t="s">
        <v>206</v>
      </c>
      <c r="F23" s="190" t="s">
        <v>206</v>
      </c>
      <c r="G23" s="190" t="s">
        <v>27</v>
      </c>
      <c r="H23" s="195"/>
      <c r="I23" s="91"/>
      <c r="J23" s="91"/>
      <c r="K23" s="91"/>
      <c r="L23" s="194" t="s">
        <v>199</v>
      </c>
      <c r="M23" s="194" t="s">
        <v>200</v>
      </c>
      <c r="N23" s="194" t="s">
        <v>201</v>
      </c>
      <c r="O23" s="194" t="s">
        <v>202</v>
      </c>
      <c r="P23" s="194" t="s">
        <v>203</v>
      </c>
      <c r="Q23" s="194" t="s">
        <v>204</v>
      </c>
      <c r="R23" s="194" t="s">
        <v>205</v>
      </c>
      <c r="S23" s="91"/>
    </row>
    <row r="24" spans="1:20" x14ac:dyDescent="0.25">
      <c r="A24" s="86"/>
      <c r="B24" s="86"/>
      <c r="C24" s="191" t="s">
        <v>207</v>
      </c>
      <c r="D24" s="192" t="s">
        <v>28</v>
      </c>
      <c r="E24" s="192" t="s">
        <v>29</v>
      </c>
      <c r="F24" s="192" t="s">
        <v>29</v>
      </c>
      <c r="G24" s="192" t="s">
        <v>13</v>
      </c>
      <c r="H24" s="195"/>
      <c r="I24" s="187">
        <f>F25</f>
        <v>0</v>
      </c>
      <c r="J24" s="187">
        <f>F26</f>
        <v>0</v>
      </c>
      <c r="K24" s="187">
        <f>F27</f>
        <v>0</v>
      </c>
      <c r="L24" s="188">
        <f>IF(I24=0,0,1)+I24</f>
        <v>0</v>
      </c>
      <c r="M24" s="188">
        <f>IF(J24=0,0,1)+J24</f>
        <v>0</v>
      </c>
      <c r="N24" s="188">
        <f>IF(K24=0,0,1)+K24</f>
        <v>0</v>
      </c>
      <c r="O24" s="188">
        <f>IF(J24=0,0,(L24*J24)+L24)</f>
        <v>0</v>
      </c>
      <c r="P24" s="188">
        <f>IF(K24=0,0,(M24*K24)+M24)</f>
        <v>0</v>
      </c>
      <c r="Q24" s="188">
        <f>IF(I24=0,0,(N24*I24)+N24)</f>
        <v>0</v>
      </c>
      <c r="R24" s="188">
        <f>IF(K24=0,0,(O24*K24)+O24)</f>
        <v>0</v>
      </c>
      <c r="S24" s="91"/>
    </row>
    <row r="25" spans="1:20" ht="16.2" thickBot="1" x14ac:dyDescent="0.35">
      <c r="A25" s="86"/>
      <c r="B25" s="102" t="s">
        <v>195</v>
      </c>
      <c r="C25" s="198" t="s">
        <v>208</v>
      </c>
      <c r="D25" s="189" t="s">
        <v>196</v>
      </c>
      <c r="E25" s="188">
        <f>(TRUNC(((VALUE(LEFT(D25,SEARCH("/",D25)-1)))/(VALUE(MID(D25,(SEARCH("/",D25)+1),3))))*100)/100)+1</f>
        <v>3.25</v>
      </c>
      <c r="F25" s="188">
        <f>+((E25-1)*G25)</f>
        <v>0</v>
      </c>
      <c r="G25" s="186">
        <v>0</v>
      </c>
      <c r="H25" s="195"/>
      <c r="I25" s="91"/>
      <c r="J25" s="91"/>
      <c r="K25" s="91"/>
      <c r="L25" s="91"/>
      <c r="M25" s="91"/>
      <c r="N25" s="91"/>
      <c r="O25" s="91"/>
      <c r="P25" s="91"/>
      <c r="Q25" s="91"/>
      <c r="R25" s="91"/>
      <c r="S25" s="91"/>
    </row>
    <row r="26" spans="1:20" ht="15.6" x14ac:dyDescent="0.3">
      <c r="A26" s="86"/>
      <c r="B26" s="102" t="s">
        <v>193</v>
      </c>
      <c r="C26" s="198" t="s">
        <v>208</v>
      </c>
      <c r="D26" s="189" t="s">
        <v>197</v>
      </c>
      <c r="E26" s="188">
        <f>(TRUNC(((VALUE(LEFT(D26,SEARCH("/",D26)-1)))/(VALUE(MID(D26,(SEARCH("/",D26)+1),3))))*100)/100)+1</f>
        <v>2.5</v>
      </c>
      <c r="F26" s="188">
        <f>+((E26-1)*G26)</f>
        <v>0</v>
      </c>
      <c r="G26" s="186">
        <v>0</v>
      </c>
      <c r="H26" s="195"/>
      <c r="I26" s="91"/>
      <c r="J26" s="91"/>
      <c r="K26" s="91"/>
      <c r="L26" s="5" t="s">
        <v>13</v>
      </c>
      <c r="M26" s="5" t="s">
        <v>30</v>
      </c>
      <c r="N26" s="86"/>
      <c r="O26" s="86"/>
      <c r="P26" s="91"/>
      <c r="Q26" s="91"/>
      <c r="R26" s="91"/>
      <c r="S26" s="91"/>
    </row>
    <row r="27" spans="1:20" ht="16.2" thickBot="1" x14ac:dyDescent="0.35">
      <c r="A27" s="86"/>
      <c r="B27" s="102" t="s">
        <v>194</v>
      </c>
      <c r="C27" s="198" t="s">
        <v>208</v>
      </c>
      <c r="D27" s="189" t="s">
        <v>198</v>
      </c>
      <c r="E27" s="188">
        <f>(TRUNC(((VALUE(LEFT(D27,SEARCH("/",D27)-1)))/(VALUE(MID(D27,(SEARCH("/",D27)+1),3))))*100)/100)+1</f>
        <v>3.1</v>
      </c>
      <c r="F27" s="188">
        <f>+((E27-1)*G27)</f>
        <v>0</v>
      </c>
      <c r="G27" s="186">
        <v>0</v>
      </c>
      <c r="H27" s="195"/>
      <c r="I27" s="91"/>
      <c r="J27" s="91"/>
      <c r="K27" s="91"/>
      <c r="L27" s="6">
        <f>SUM(G25:G27)</f>
        <v>0</v>
      </c>
      <c r="M27" s="7">
        <f>SUM(L24:R24)-7</f>
        <v>-7</v>
      </c>
      <c r="N27" s="86"/>
      <c r="O27" s="86"/>
      <c r="P27" s="91"/>
      <c r="Q27" s="91"/>
      <c r="R27" s="91"/>
      <c r="S27" s="91"/>
    </row>
    <row r="28" spans="1:20" x14ac:dyDescent="0.25">
      <c r="A28" s="86"/>
      <c r="B28" s="86"/>
      <c r="C28" s="86"/>
      <c r="D28" s="91"/>
      <c r="E28" s="91"/>
      <c r="F28" s="91"/>
      <c r="G28" s="91"/>
      <c r="H28" s="91"/>
      <c r="I28" s="86"/>
      <c r="J28" s="86"/>
      <c r="K28" s="91"/>
      <c r="L28" s="196"/>
      <c r="M28" s="197"/>
      <c r="N28" s="86"/>
      <c r="O28" s="86"/>
      <c r="P28" s="91"/>
      <c r="Q28" s="91"/>
      <c r="R28" s="91"/>
      <c r="S28" s="91"/>
    </row>
    <row r="29" spans="1:20" x14ac:dyDescent="0.25">
      <c r="A29" s="86"/>
      <c r="B29" s="86"/>
      <c r="C29" s="86"/>
      <c r="D29" s="91"/>
      <c r="E29" s="91"/>
      <c r="F29" s="91"/>
      <c r="G29" s="91"/>
      <c r="H29" s="91"/>
      <c r="I29" s="86"/>
      <c r="J29" s="86"/>
      <c r="K29" s="86"/>
      <c r="L29" s="86"/>
      <c r="M29" s="86"/>
      <c r="N29" s="86"/>
      <c r="O29" s="86"/>
      <c r="P29" s="86"/>
      <c r="Q29" s="86"/>
      <c r="R29" s="86"/>
      <c r="S29" s="86"/>
    </row>
    <row r="30" spans="1:20" x14ac:dyDescent="0.25">
      <c r="A30" s="86"/>
      <c r="B30" s="86"/>
      <c r="C30" s="86"/>
      <c r="D30" s="91"/>
      <c r="E30" s="91"/>
      <c r="F30" s="91"/>
      <c r="G30" s="91"/>
      <c r="H30" s="91"/>
      <c r="I30" s="86"/>
      <c r="J30" s="86"/>
      <c r="K30" s="86"/>
      <c r="L30" s="86"/>
      <c r="M30" s="86"/>
      <c r="N30" s="86"/>
      <c r="O30" s="86"/>
      <c r="P30" s="86"/>
      <c r="Q30" s="86"/>
      <c r="R30" s="86"/>
    </row>
    <row r="31" spans="1:20" x14ac:dyDescent="0.25">
      <c r="A31" s="86"/>
      <c r="B31" s="86"/>
      <c r="C31" s="86"/>
      <c r="D31" s="91"/>
      <c r="E31" s="91"/>
      <c r="F31" s="91"/>
      <c r="G31" s="91"/>
      <c r="H31" s="91"/>
      <c r="I31" s="86"/>
      <c r="J31" s="86"/>
      <c r="K31" s="86"/>
      <c r="L31" s="86"/>
      <c r="M31" s="86"/>
      <c r="N31" s="86"/>
      <c r="O31" s="86"/>
      <c r="P31" s="86"/>
      <c r="Q31" s="86"/>
      <c r="R31" s="86"/>
    </row>
    <row r="32" spans="1:20" x14ac:dyDescent="0.25">
      <c r="D32" s="1"/>
      <c r="E32" s="1"/>
      <c r="F32" s="1"/>
      <c r="G32" s="1"/>
      <c r="H32" s="91"/>
    </row>
    <row r="33" spans="4:8" x14ac:dyDescent="0.25">
      <c r="D33" s="1"/>
      <c r="E33" s="1"/>
      <c r="F33" s="1"/>
      <c r="G33" s="1"/>
      <c r="H33" s="91"/>
    </row>
    <row r="34" spans="4:8" x14ac:dyDescent="0.25">
      <c r="D34" s="8"/>
      <c r="E34" s="1"/>
      <c r="F34" s="1"/>
      <c r="G34" s="1"/>
      <c r="H34" s="91"/>
    </row>
    <row r="35" spans="4:8" x14ac:dyDescent="0.25">
      <c r="D35" s="1"/>
      <c r="E35" s="1"/>
      <c r="F35" s="1"/>
      <c r="G35" s="1"/>
      <c r="H35" s="91"/>
    </row>
    <row r="36" spans="4:8" x14ac:dyDescent="0.25">
      <c r="D36" s="1"/>
      <c r="E36" s="1"/>
      <c r="F36" s="1"/>
      <c r="G36" s="1"/>
      <c r="H36" s="91"/>
    </row>
    <row r="37" spans="4:8" x14ac:dyDescent="0.25">
      <c r="D37" s="1"/>
      <c r="E37" s="1"/>
      <c r="F37" s="1"/>
      <c r="G37" s="1"/>
      <c r="H37" s="91"/>
    </row>
    <row r="38" spans="4:8" x14ac:dyDescent="0.25">
      <c r="D38" s="1"/>
      <c r="E38" s="1"/>
      <c r="F38" s="1"/>
      <c r="G38" s="1"/>
      <c r="H38" s="91"/>
    </row>
    <row r="39" spans="4:8" x14ac:dyDescent="0.25">
      <c r="D39" s="1"/>
      <c r="E39" s="1"/>
      <c r="F39" s="1"/>
      <c r="G39" s="1"/>
      <c r="H39" s="91"/>
    </row>
    <row r="40" spans="4:8" x14ac:dyDescent="0.25">
      <c r="D40" s="1"/>
      <c r="E40" s="1"/>
      <c r="F40" s="1"/>
      <c r="G40" s="1"/>
      <c r="H40" s="91"/>
    </row>
    <row r="41" spans="4:8" x14ac:dyDescent="0.25">
      <c r="D41" s="1"/>
      <c r="E41" s="1"/>
      <c r="F41" s="1"/>
      <c r="G41" s="1"/>
      <c r="H41" s="91"/>
    </row>
    <row r="42" spans="4:8" x14ac:dyDescent="0.25">
      <c r="D42" s="1"/>
      <c r="E42" s="1"/>
      <c r="F42" s="1"/>
      <c r="G42" s="1"/>
      <c r="H42" s="91"/>
    </row>
    <row r="43" spans="4:8" x14ac:dyDescent="0.25">
      <c r="D43" s="1"/>
      <c r="E43" s="1"/>
      <c r="F43" s="1"/>
      <c r="G43" s="1"/>
      <c r="H43" s="1"/>
    </row>
    <row r="44" spans="4:8" x14ac:dyDescent="0.25">
      <c r="D44" s="1"/>
      <c r="E44" s="1"/>
      <c r="F44" s="1"/>
      <c r="G44" s="1"/>
      <c r="H44" s="1"/>
    </row>
    <row r="45" spans="4:8" x14ac:dyDescent="0.25">
      <c r="D45" s="1"/>
      <c r="E45" s="1"/>
      <c r="F45" s="1"/>
      <c r="G45" s="1"/>
      <c r="H45" s="1"/>
    </row>
    <row r="46" spans="4:8" x14ac:dyDescent="0.25">
      <c r="D46" s="1"/>
      <c r="E46" s="1"/>
      <c r="F46" s="1"/>
      <c r="G46" s="1"/>
      <c r="H46" s="1"/>
    </row>
    <row r="47" spans="4:8" x14ac:dyDescent="0.25">
      <c r="D47" s="1"/>
      <c r="E47" s="1"/>
      <c r="F47" s="1"/>
      <c r="G47" s="1"/>
      <c r="H47" s="1"/>
    </row>
    <row r="48" spans="4:8" x14ac:dyDescent="0.25">
      <c r="D48" s="1"/>
      <c r="E48" s="1"/>
      <c r="F48" s="1"/>
      <c r="G48" s="1"/>
      <c r="H48" s="1"/>
    </row>
    <row r="49" spans="4:8" x14ac:dyDescent="0.25">
      <c r="D49" s="1"/>
      <c r="E49" s="1"/>
      <c r="F49" s="1"/>
      <c r="G49" s="1"/>
      <c r="H49" s="1"/>
    </row>
    <row r="50" spans="4:8" x14ac:dyDescent="0.25">
      <c r="D50" s="1"/>
      <c r="E50" s="1"/>
      <c r="F50" s="1"/>
      <c r="G50" s="1"/>
      <c r="H50" s="1"/>
    </row>
    <row r="51" spans="4:8" x14ac:dyDescent="0.25">
      <c r="D51" s="1"/>
      <c r="E51" s="1"/>
      <c r="F51" s="1"/>
      <c r="G51" s="1"/>
      <c r="H51" s="1"/>
    </row>
    <row r="52" spans="4:8" x14ac:dyDescent="0.25">
      <c r="D52" s="1"/>
      <c r="E52" s="1"/>
      <c r="F52" s="1"/>
      <c r="G52" s="1"/>
      <c r="H52" s="1"/>
    </row>
    <row r="53" spans="4:8" x14ac:dyDescent="0.25">
      <c r="D53" s="1"/>
      <c r="E53" s="1"/>
      <c r="F53" s="1"/>
      <c r="G53" s="1"/>
      <c r="H53" s="1"/>
    </row>
    <row r="54" spans="4:8" x14ac:dyDescent="0.25">
      <c r="D54" s="1"/>
      <c r="E54" s="1"/>
      <c r="F54" s="1"/>
      <c r="G54" s="1"/>
      <c r="H54" s="1"/>
    </row>
    <row r="55" spans="4:8" x14ac:dyDescent="0.25">
      <c r="D55" s="1"/>
      <c r="E55" s="1"/>
      <c r="F55" s="1"/>
      <c r="G55" s="1"/>
      <c r="H55" s="1"/>
    </row>
    <row r="56" spans="4:8" x14ac:dyDescent="0.25">
      <c r="D56" s="1"/>
      <c r="E56" s="1"/>
      <c r="F56" s="1"/>
      <c r="G56" s="1"/>
      <c r="H56" s="1"/>
    </row>
    <row r="57" spans="4:8" x14ac:dyDescent="0.25">
      <c r="D57" s="1"/>
      <c r="E57" s="1"/>
      <c r="F57" s="1"/>
      <c r="G57" s="1"/>
      <c r="H57" s="1"/>
    </row>
    <row r="58" spans="4:8" x14ac:dyDescent="0.25">
      <c r="D58" s="1"/>
      <c r="E58" s="1"/>
      <c r="F58" s="1"/>
      <c r="G58" s="1"/>
      <c r="H58" s="1"/>
    </row>
    <row r="59" spans="4:8" x14ac:dyDescent="0.25">
      <c r="D59" s="1"/>
      <c r="E59" s="1"/>
      <c r="F59" s="1"/>
      <c r="G59" s="1"/>
      <c r="H59" s="1"/>
    </row>
    <row r="60" spans="4:8" x14ac:dyDescent="0.25">
      <c r="D60" s="1"/>
      <c r="E60" s="1"/>
      <c r="F60" s="1"/>
      <c r="G60" s="1"/>
      <c r="H60" s="1"/>
    </row>
    <row r="61" spans="4:8" x14ac:dyDescent="0.25">
      <c r="D61" s="1"/>
      <c r="E61" s="1"/>
      <c r="F61" s="1"/>
      <c r="G61" s="1"/>
      <c r="H61" s="1"/>
    </row>
    <row r="62" spans="4:8" x14ac:dyDescent="0.25">
      <c r="D62" s="1"/>
      <c r="E62" s="1"/>
      <c r="F62" s="1"/>
      <c r="G62" s="1"/>
      <c r="H62" s="1"/>
    </row>
    <row r="63" spans="4:8" x14ac:dyDescent="0.25">
      <c r="D63" s="1"/>
      <c r="E63" s="1"/>
      <c r="F63" s="1"/>
      <c r="G63" s="1"/>
      <c r="H63" s="1"/>
    </row>
    <row r="64" spans="4:8" x14ac:dyDescent="0.25">
      <c r="D64" s="1"/>
      <c r="E64" s="1"/>
      <c r="F64" s="1"/>
      <c r="G64" s="1"/>
      <c r="H64" s="1"/>
    </row>
    <row r="65" spans="4:8" x14ac:dyDescent="0.25">
      <c r="D65" s="1"/>
      <c r="E65" s="1"/>
      <c r="F65" s="1"/>
      <c r="G65" s="1"/>
      <c r="H65" s="1"/>
    </row>
    <row r="66" spans="4:8" x14ac:dyDescent="0.25">
      <c r="D66" s="1"/>
      <c r="E66" s="1"/>
      <c r="F66" s="1"/>
      <c r="G66" s="1"/>
      <c r="H66" s="1"/>
    </row>
    <row r="67" spans="4:8" x14ac:dyDescent="0.25">
      <c r="D67" s="1"/>
      <c r="E67" s="1"/>
      <c r="F67" s="1"/>
      <c r="G67" s="1"/>
      <c r="H67" s="1"/>
    </row>
    <row r="68" spans="4:8" x14ac:dyDescent="0.25">
      <c r="D68" s="1"/>
      <c r="E68" s="1"/>
      <c r="F68" s="1"/>
      <c r="G68" s="1"/>
      <c r="H68" s="1"/>
    </row>
    <row r="69" spans="4:8" x14ac:dyDescent="0.25">
      <c r="D69" s="1"/>
      <c r="E69" s="1"/>
      <c r="F69" s="1"/>
      <c r="G69" s="1"/>
      <c r="H69" s="1"/>
    </row>
    <row r="70" spans="4:8" x14ac:dyDescent="0.25">
      <c r="D70" s="1"/>
      <c r="E70" s="1"/>
      <c r="F70" s="1"/>
      <c r="G70" s="1"/>
      <c r="H70" s="1"/>
    </row>
    <row r="71" spans="4:8" x14ac:dyDescent="0.25">
      <c r="D71" s="1"/>
      <c r="E71" s="1"/>
      <c r="F71" s="1"/>
      <c r="G71" s="1"/>
      <c r="H71" s="1"/>
    </row>
    <row r="72" spans="4:8" x14ac:dyDescent="0.25">
      <c r="D72" s="1"/>
      <c r="E72" s="1"/>
      <c r="F72" s="1"/>
      <c r="G72" s="1"/>
      <c r="H72" s="1"/>
    </row>
    <row r="73" spans="4:8" x14ac:dyDescent="0.25">
      <c r="D73" s="1"/>
      <c r="E73" s="1"/>
      <c r="F73" s="1"/>
      <c r="G73" s="1"/>
      <c r="H73" s="1"/>
    </row>
    <row r="74" spans="4:8" x14ac:dyDescent="0.25">
      <c r="D74" s="1"/>
      <c r="E74" s="1"/>
      <c r="F74" s="1"/>
      <c r="G74" s="1"/>
      <c r="H74" s="1"/>
    </row>
    <row r="75" spans="4:8" x14ac:dyDescent="0.25">
      <c r="D75" s="1"/>
      <c r="E75" s="1"/>
      <c r="F75" s="1"/>
      <c r="G75" s="1"/>
      <c r="H75" s="1"/>
    </row>
    <row r="76" spans="4:8" x14ac:dyDescent="0.25">
      <c r="D76" s="1"/>
      <c r="E76" s="1"/>
      <c r="F76" s="1"/>
      <c r="G76" s="1"/>
      <c r="H76" s="1"/>
    </row>
    <row r="77" spans="4:8" x14ac:dyDescent="0.25">
      <c r="D77" s="1"/>
      <c r="E77" s="1"/>
      <c r="F77" s="1"/>
      <c r="G77" s="1"/>
      <c r="H77" s="1"/>
    </row>
    <row r="78" spans="4:8" x14ac:dyDescent="0.25">
      <c r="D78" s="1"/>
      <c r="E78" s="1"/>
      <c r="F78" s="1"/>
      <c r="G78" s="1"/>
      <c r="H78" s="1"/>
    </row>
    <row r="79" spans="4:8" x14ac:dyDescent="0.25">
      <c r="D79" s="1"/>
      <c r="E79" s="1"/>
      <c r="F79" s="1"/>
      <c r="G79" s="1"/>
      <c r="H79" s="1"/>
    </row>
    <row r="80" spans="4:8" x14ac:dyDescent="0.25">
      <c r="D80" s="1"/>
      <c r="E80" s="1"/>
      <c r="F80" s="1"/>
      <c r="G80" s="1"/>
      <c r="H80" s="1"/>
    </row>
    <row r="81" spans="4:8" x14ac:dyDescent="0.25">
      <c r="D81" s="1"/>
      <c r="E81" s="1"/>
      <c r="F81" s="1"/>
      <c r="G81" s="1"/>
      <c r="H81" s="1"/>
    </row>
    <row r="82" spans="4:8" x14ac:dyDescent="0.25">
      <c r="D82" s="1"/>
      <c r="E82" s="1"/>
      <c r="F82" s="1"/>
      <c r="G82" s="1"/>
      <c r="H82" s="1"/>
    </row>
    <row r="83" spans="4:8" x14ac:dyDescent="0.25">
      <c r="D83" s="1"/>
      <c r="E83" s="1"/>
      <c r="F83" s="1"/>
      <c r="G83" s="1"/>
      <c r="H83" s="1"/>
    </row>
    <row r="84" spans="4:8" x14ac:dyDescent="0.25">
      <c r="D84" s="1"/>
      <c r="E84" s="1"/>
      <c r="F84" s="1"/>
      <c r="G84" s="1"/>
      <c r="H84" s="1"/>
    </row>
    <row r="85" spans="4:8" x14ac:dyDescent="0.25">
      <c r="D85" s="1"/>
      <c r="E85" s="1"/>
      <c r="F85" s="1"/>
      <c r="G85" s="1"/>
      <c r="H85" s="1"/>
    </row>
    <row r="86" spans="4:8" x14ac:dyDescent="0.25">
      <c r="D86" s="1"/>
      <c r="E86" s="1"/>
      <c r="F86" s="1"/>
      <c r="G86" s="1"/>
      <c r="H86" s="1"/>
    </row>
    <row r="87" spans="4:8" x14ac:dyDescent="0.25">
      <c r="D87" s="1"/>
      <c r="E87" s="1"/>
      <c r="F87" s="1"/>
      <c r="G87" s="1"/>
      <c r="H87" s="1"/>
    </row>
    <row r="88" spans="4:8" x14ac:dyDescent="0.25">
      <c r="D88" s="1"/>
      <c r="E88" s="1"/>
      <c r="F88" s="1"/>
      <c r="G88" s="1"/>
      <c r="H88" s="1"/>
    </row>
    <row r="89" spans="4:8" x14ac:dyDescent="0.25">
      <c r="D89" s="1"/>
      <c r="E89" s="1"/>
      <c r="F89" s="1"/>
      <c r="G89" s="1"/>
      <c r="H89" s="1"/>
    </row>
    <row r="90" spans="4:8" x14ac:dyDescent="0.25">
      <c r="D90" s="1"/>
      <c r="E90" s="1"/>
      <c r="F90" s="1"/>
      <c r="G90" s="1"/>
      <c r="H90" s="1"/>
    </row>
    <row r="91" spans="4:8" x14ac:dyDescent="0.25">
      <c r="D91" s="1"/>
      <c r="E91" s="1"/>
      <c r="F91" s="1"/>
      <c r="G91" s="1"/>
      <c r="H91" s="1"/>
    </row>
    <row r="92" spans="4:8" x14ac:dyDescent="0.25">
      <c r="D92" s="1"/>
      <c r="E92" s="1"/>
      <c r="F92" s="1"/>
      <c r="G92" s="1"/>
      <c r="H92" s="1"/>
    </row>
    <row r="93" spans="4:8" x14ac:dyDescent="0.25">
      <c r="D93" s="1"/>
      <c r="E93" s="1"/>
      <c r="F93" s="1"/>
      <c r="G93" s="1"/>
      <c r="H93" s="1"/>
    </row>
    <row r="94" spans="4:8" x14ac:dyDescent="0.25">
      <c r="D94" s="1"/>
      <c r="E94" s="1"/>
      <c r="F94" s="1"/>
      <c r="G94" s="1"/>
      <c r="H94" s="1"/>
    </row>
    <row r="95" spans="4:8" x14ac:dyDescent="0.25">
      <c r="D95" s="1"/>
      <c r="E95" s="1"/>
      <c r="F95" s="1"/>
      <c r="G95" s="1"/>
      <c r="H95" s="1"/>
    </row>
    <row r="96" spans="4:8" x14ac:dyDescent="0.25">
      <c r="D96" s="1"/>
      <c r="E96" s="1"/>
      <c r="F96" s="1"/>
      <c r="G96" s="1"/>
      <c r="H96" s="1"/>
    </row>
    <row r="97" spans="4:8" x14ac:dyDescent="0.25">
      <c r="D97" s="1"/>
      <c r="E97" s="1"/>
      <c r="F97" s="1"/>
      <c r="G97" s="1"/>
      <c r="H97" s="1"/>
    </row>
    <row r="98" spans="4:8" x14ac:dyDescent="0.25">
      <c r="D98" s="1"/>
      <c r="E98" s="1"/>
      <c r="F98" s="1"/>
      <c r="G98" s="1"/>
      <c r="H98" s="1"/>
    </row>
    <row r="99" spans="4:8" x14ac:dyDescent="0.25">
      <c r="D99" s="1"/>
      <c r="E99" s="1"/>
      <c r="F99" s="1"/>
      <c r="G99" s="1"/>
      <c r="H99" s="1"/>
    </row>
    <row r="100" spans="4:8" x14ac:dyDescent="0.25">
      <c r="D100" s="1"/>
      <c r="E100" s="1"/>
      <c r="F100" s="1"/>
      <c r="G100" s="1"/>
      <c r="H100" s="1"/>
    </row>
    <row r="101" spans="4:8" x14ac:dyDescent="0.25">
      <c r="D101" s="1"/>
      <c r="E101" s="1"/>
      <c r="F101" s="1"/>
      <c r="G101" s="1"/>
      <c r="H101" s="1"/>
    </row>
    <row r="102" spans="4:8" x14ac:dyDescent="0.25">
      <c r="D102" s="1"/>
      <c r="E102" s="1"/>
      <c r="F102" s="1"/>
      <c r="G102" s="1"/>
      <c r="H102" s="1"/>
    </row>
    <row r="103" spans="4:8" x14ac:dyDescent="0.25">
      <c r="D103" s="1"/>
      <c r="E103" s="1"/>
      <c r="F103" s="1"/>
      <c r="G103" s="1"/>
      <c r="H103" s="1"/>
    </row>
    <row r="104" spans="4:8" x14ac:dyDescent="0.25">
      <c r="D104" s="1"/>
      <c r="E104" s="1"/>
      <c r="F104" s="1"/>
      <c r="G104" s="1"/>
      <c r="H104" s="1"/>
    </row>
    <row r="105" spans="4:8" x14ac:dyDescent="0.25">
      <c r="D105" s="1"/>
      <c r="E105" s="1"/>
      <c r="F105" s="1"/>
      <c r="G105" s="1"/>
      <c r="H105" s="1"/>
    </row>
    <row r="106" spans="4:8" x14ac:dyDescent="0.25">
      <c r="D106" s="1"/>
      <c r="E106" s="1"/>
      <c r="F106" s="1"/>
      <c r="G106" s="1"/>
      <c r="H106" s="1"/>
    </row>
    <row r="107" spans="4:8" x14ac:dyDescent="0.25">
      <c r="D107" s="1"/>
      <c r="E107" s="1"/>
      <c r="F107" s="1"/>
      <c r="G107" s="1"/>
      <c r="H107" s="1"/>
    </row>
    <row r="108" spans="4:8" x14ac:dyDescent="0.25">
      <c r="D108" s="1"/>
      <c r="E108" s="1"/>
      <c r="F108" s="1"/>
      <c r="G108" s="1"/>
      <c r="H108" s="1"/>
    </row>
    <row r="109" spans="4:8" x14ac:dyDescent="0.25">
      <c r="D109" s="1"/>
      <c r="E109" s="1"/>
      <c r="F109" s="1"/>
      <c r="G109" s="1"/>
      <c r="H109" s="1"/>
    </row>
    <row r="110" spans="4:8" x14ac:dyDescent="0.25">
      <c r="D110" s="1"/>
      <c r="E110" s="1"/>
      <c r="F110" s="1"/>
      <c r="G110" s="1"/>
      <c r="H110" s="1"/>
    </row>
    <row r="111" spans="4:8" x14ac:dyDescent="0.25">
      <c r="D111" s="1"/>
      <c r="E111" s="1"/>
      <c r="F111" s="1"/>
      <c r="G111" s="1"/>
      <c r="H111" s="1"/>
    </row>
    <row r="112" spans="4:8" x14ac:dyDescent="0.25">
      <c r="D112" s="1"/>
      <c r="E112" s="1"/>
      <c r="F112" s="1"/>
      <c r="G112" s="1"/>
      <c r="H112" s="1"/>
    </row>
    <row r="113" spans="4:8" x14ac:dyDescent="0.25">
      <c r="D113" s="1"/>
      <c r="E113" s="1"/>
      <c r="F113" s="1"/>
      <c r="G113" s="1"/>
      <c r="H113" s="1"/>
    </row>
    <row r="114" spans="4:8" x14ac:dyDescent="0.25">
      <c r="D114" s="1"/>
      <c r="E114" s="1"/>
      <c r="F114" s="1"/>
      <c r="G114" s="1"/>
      <c r="H114" s="1"/>
    </row>
    <row r="115" spans="4:8" x14ac:dyDescent="0.25">
      <c r="D115" s="1"/>
      <c r="E115" s="1"/>
      <c r="F115" s="1"/>
      <c r="G115" s="1"/>
      <c r="H115" s="1"/>
    </row>
    <row r="116" spans="4:8" x14ac:dyDescent="0.25">
      <c r="D116" s="1"/>
      <c r="E116" s="1"/>
      <c r="F116" s="1"/>
      <c r="G116" s="1"/>
      <c r="H116" s="1"/>
    </row>
    <row r="117" spans="4:8" x14ac:dyDescent="0.25">
      <c r="D117" s="1"/>
      <c r="E117" s="1"/>
      <c r="F117" s="1"/>
      <c r="G117" s="1"/>
      <c r="H117" s="1"/>
    </row>
    <row r="118" spans="4:8" x14ac:dyDescent="0.25">
      <c r="D118" s="1"/>
      <c r="E118" s="1"/>
      <c r="F118" s="1"/>
      <c r="G118" s="1"/>
      <c r="H118" s="1"/>
    </row>
    <row r="119" spans="4:8" x14ac:dyDescent="0.25">
      <c r="D119" s="1"/>
      <c r="E119" s="1"/>
      <c r="F119" s="1"/>
      <c r="G119" s="1"/>
      <c r="H119" s="1"/>
    </row>
    <row r="120" spans="4:8" x14ac:dyDescent="0.25">
      <c r="D120" s="1"/>
      <c r="E120" s="1"/>
      <c r="F120" s="1"/>
      <c r="G120" s="1"/>
      <c r="H120" s="1"/>
    </row>
    <row r="121" spans="4:8" x14ac:dyDescent="0.25">
      <c r="D121" s="1"/>
      <c r="E121" s="1"/>
      <c r="F121" s="1"/>
      <c r="G121" s="1"/>
      <c r="H121" s="1"/>
    </row>
    <row r="122" spans="4:8" x14ac:dyDescent="0.25">
      <c r="D122" s="1"/>
      <c r="E122" s="1"/>
      <c r="F122" s="1"/>
      <c r="G122" s="1"/>
      <c r="H122" s="1"/>
    </row>
    <row r="123" spans="4:8" x14ac:dyDescent="0.25">
      <c r="D123" s="1"/>
      <c r="E123" s="1"/>
      <c r="F123" s="1"/>
      <c r="G123" s="1"/>
      <c r="H123" s="1"/>
    </row>
    <row r="124" spans="4:8" x14ac:dyDescent="0.25">
      <c r="D124" s="1"/>
      <c r="E124" s="1"/>
      <c r="F124" s="1"/>
      <c r="G124" s="1"/>
      <c r="H124" s="1"/>
    </row>
    <row r="125" spans="4:8" x14ac:dyDescent="0.25">
      <c r="D125" s="1"/>
      <c r="E125" s="1"/>
      <c r="F125" s="1"/>
      <c r="G125" s="1"/>
      <c r="H125" s="1"/>
    </row>
    <row r="126" spans="4:8" x14ac:dyDescent="0.25">
      <c r="D126" s="1"/>
      <c r="E126" s="1"/>
      <c r="F126" s="1"/>
      <c r="G126" s="1"/>
      <c r="H126" s="1"/>
    </row>
    <row r="127" spans="4:8" x14ac:dyDescent="0.25">
      <c r="D127" s="1"/>
      <c r="E127" s="1"/>
      <c r="F127" s="1"/>
      <c r="G127" s="1"/>
      <c r="H127" s="1"/>
    </row>
    <row r="128" spans="4:8" x14ac:dyDescent="0.25">
      <c r="D128" s="1"/>
      <c r="E128" s="1"/>
      <c r="F128" s="1"/>
      <c r="G128" s="1"/>
      <c r="H128" s="1"/>
    </row>
    <row r="129" spans="4:8" x14ac:dyDescent="0.25">
      <c r="D129" s="1"/>
      <c r="E129" s="1"/>
      <c r="F129" s="1"/>
      <c r="G129" s="1"/>
      <c r="H129" s="1"/>
    </row>
    <row r="130" spans="4:8" x14ac:dyDescent="0.25">
      <c r="D130" s="1"/>
      <c r="E130" s="1"/>
      <c r="F130" s="1"/>
      <c r="G130" s="1"/>
      <c r="H130" s="1"/>
    </row>
    <row r="131" spans="4:8" x14ac:dyDescent="0.25">
      <c r="D131" s="1"/>
      <c r="E131" s="1"/>
      <c r="F131" s="1"/>
      <c r="G131" s="1"/>
      <c r="H131" s="1"/>
    </row>
    <row r="132" spans="4:8" x14ac:dyDescent="0.25">
      <c r="D132" s="1"/>
      <c r="E132" s="1"/>
      <c r="F132" s="1"/>
      <c r="G132" s="1"/>
      <c r="H132" s="1"/>
    </row>
    <row r="133" spans="4:8" x14ac:dyDescent="0.25">
      <c r="D133" s="1"/>
      <c r="E133" s="1"/>
      <c r="F133" s="1"/>
      <c r="G133" s="1"/>
      <c r="H133" s="1"/>
    </row>
    <row r="134" spans="4:8" x14ac:dyDescent="0.25">
      <c r="D134" s="1"/>
      <c r="E134" s="1"/>
      <c r="F134" s="1"/>
      <c r="G134" s="1"/>
      <c r="H134" s="1"/>
    </row>
    <row r="135" spans="4:8" x14ac:dyDescent="0.25">
      <c r="D135" s="1"/>
      <c r="E135" s="1"/>
      <c r="F135" s="1"/>
      <c r="G135" s="1"/>
      <c r="H135" s="1"/>
    </row>
    <row r="136" spans="4:8" x14ac:dyDescent="0.25">
      <c r="D136" s="1"/>
      <c r="E136" s="1"/>
      <c r="F136" s="1"/>
      <c r="G136" s="1"/>
      <c r="H136" s="1"/>
    </row>
    <row r="137" spans="4:8" x14ac:dyDescent="0.25">
      <c r="D137" s="1"/>
      <c r="E137" s="1"/>
      <c r="F137" s="1"/>
      <c r="G137" s="1"/>
      <c r="H137" s="1"/>
    </row>
    <row r="138" spans="4:8" x14ac:dyDescent="0.25">
      <c r="D138" s="1"/>
      <c r="E138" s="1"/>
      <c r="F138" s="1"/>
      <c r="G138" s="1"/>
      <c r="H138" s="1"/>
    </row>
    <row r="139" spans="4:8" x14ac:dyDescent="0.25">
      <c r="D139" s="1"/>
      <c r="E139" s="1"/>
      <c r="F139" s="1"/>
      <c r="G139" s="1"/>
      <c r="H139" s="1"/>
    </row>
    <row r="140" spans="4:8" x14ac:dyDescent="0.25">
      <c r="D140" s="1"/>
      <c r="E140" s="1"/>
      <c r="F140" s="1"/>
      <c r="G140" s="1"/>
      <c r="H140" s="1"/>
    </row>
    <row r="141" spans="4:8" x14ac:dyDescent="0.25">
      <c r="D141" s="1"/>
      <c r="E141" s="1"/>
      <c r="F141" s="1"/>
      <c r="G141" s="1"/>
      <c r="H141" s="1"/>
    </row>
    <row r="142" spans="4:8" x14ac:dyDescent="0.25">
      <c r="D142" s="1"/>
      <c r="E142" s="1"/>
      <c r="F142" s="1"/>
      <c r="G142" s="1"/>
      <c r="H142" s="1"/>
    </row>
    <row r="143" spans="4:8" x14ac:dyDescent="0.25">
      <c r="D143" s="1"/>
      <c r="E143" s="1"/>
      <c r="F143" s="1"/>
      <c r="G143" s="1"/>
      <c r="H143" s="1"/>
    </row>
    <row r="144" spans="4:8" x14ac:dyDescent="0.25">
      <c r="D144" s="1"/>
      <c r="E144" s="1"/>
      <c r="F144" s="1"/>
      <c r="G144" s="1"/>
      <c r="H144" s="1"/>
    </row>
    <row r="145" spans="4:8" x14ac:dyDescent="0.25">
      <c r="D145" s="1"/>
      <c r="E145" s="1"/>
      <c r="F145" s="1"/>
      <c r="G145" s="1"/>
      <c r="H145" s="1"/>
    </row>
    <row r="146" spans="4:8" x14ac:dyDescent="0.25">
      <c r="D146" s="1"/>
      <c r="E146" s="1"/>
      <c r="F146" s="1"/>
      <c r="G146" s="1"/>
      <c r="H146" s="1"/>
    </row>
    <row r="147" spans="4:8" x14ac:dyDescent="0.25">
      <c r="D147" s="1"/>
      <c r="E147" s="1"/>
      <c r="F147" s="1"/>
      <c r="G147" s="1"/>
      <c r="H147" s="1"/>
    </row>
    <row r="148" spans="4:8" x14ac:dyDescent="0.25">
      <c r="D148" s="1"/>
      <c r="E148" s="1"/>
      <c r="F148" s="1"/>
      <c r="G148" s="1"/>
      <c r="H148" s="1"/>
    </row>
    <row r="149" spans="4:8" x14ac:dyDescent="0.25">
      <c r="D149" s="1"/>
      <c r="E149" s="1"/>
      <c r="F149" s="1"/>
      <c r="G149" s="1"/>
      <c r="H149" s="1"/>
    </row>
    <row r="150" spans="4:8" x14ac:dyDescent="0.25">
      <c r="D150" s="1"/>
      <c r="E150" s="1"/>
      <c r="F150" s="1"/>
      <c r="G150" s="1"/>
      <c r="H150" s="1"/>
    </row>
    <row r="151" spans="4:8" x14ac:dyDescent="0.25">
      <c r="D151" s="1"/>
      <c r="E151" s="1"/>
      <c r="F151" s="1"/>
      <c r="G151" s="1"/>
      <c r="H151" s="1"/>
    </row>
    <row r="152" spans="4:8" x14ac:dyDescent="0.25">
      <c r="D152" s="1"/>
      <c r="E152" s="1"/>
      <c r="F152" s="1"/>
      <c r="G152" s="1"/>
      <c r="H152" s="1"/>
    </row>
    <row r="153" spans="4:8" x14ac:dyDescent="0.25">
      <c r="D153" s="1"/>
      <c r="E153" s="1"/>
      <c r="F153" s="1"/>
      <c r="G153" s="1"/>
      <c r="H153" s="1"/>
    </row>
    <row r="154" spans="4:8" x14ac:dyDescent="0.25">
      <c r="D154" s="1"/>
      <c r="E154" s="1"/>
      <c r="F154" s="1"/>
      <c r="G154" s="1"/>
      <c r="H154" s="1"/>
    </row>
    <row r="155" spans="4:8" x14ac:dyDescent="0.25">
      <c r="D155" s="1"/>
      <c r="E155" s="1"/>
      <c r="F155" s="1"/>
      <c r="G155" s="1"/>
      <c r="H155" s="1"/>
    </row>
    <row r="156" spans="4:8" x14ac:dyDescent="0.25">
      <c r="D156" s="1"/>
      <c r="E156" s="1"/>
      <c r="F156" s="1"/>
      <c r="G156" s="1"/>
      <c r="H156" s="1"/>
    </row>
    <row r="157" spans="4:8" x14ac:dyDescent="0.25">
      <c r="D157" s="1"/>
      <c r="E157" s="1"/>
      <c r="F157" s="1"/>
      <c r="G157" s="1"/>
      <c r="H157" s="1"/>
    </row>
  </sheetData>
  <phoneticPr fontId="0" type="noConversion"/>
  <hyperlinks>
    <hyperlink ref="A1" location="Menu!A1" display="Menu!A1"/>
  </hyperlinks>
  <pageMargins left="0.74803149606299213" right="0.74803149606299213" top="0.98425196850393704" bottom="0.98425196850393704" header="0.51181102362204722" footer="0.51181102362204722"/>
  <pageSetup paperSize="9" scale="71"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139"/>
  <sheetViews>
    <sheetView zoomScaleNormal="100" workbookViewId="0"/>
  </sheetViews>
  <sheetFormatPr defaultRowHeight="13.2" x14ac:dyDescent="0.25"/>
  <cols>
    <col min="1" max="1" width="12.5546875" style="16" customWidth="1"/>
    <col min="2" max="2" width="14.88671875" customWidth="1"/>
    <col min="3" max="3" width="54.88671875" bestFit="1" customWidth="1"/>
    <col min="4" max="4" width="38" customWidth="1"/>
    <col min="5" max="5" width="20.33203125" customWidth="1"/>
    <col min="6" max="6" width="10.88671875" style="1" customWidth="1"/>
    <col min="7" max="7" width="10.88671875" style="216" customWidth="1"/>
    <col min="8" max="8" width="12" style="1" customWidth="1"/>
    <col min="9" max="9" width="19.33203125" customWidth="1"/>
    <col min="10" max="10" width="13.6640625" customWidth="1"/>
    <col min="11" max="11" width="17" customWidth="1"/>
    <col min="12" max="12" width="13" customWidth="1"/>
    <col min="13" max="13" width="11.5546875" customWidth="1"/>
    <col min="14" max="16" width="9.109375" style="217" customWidth="1"/>
  </cols>
  <sheetData>
    <row r="1" spans="1:16" ht="15" x14ac:dyDescent="0.35">
      <c r="A1" s="106" t="s">
        <v>32</v>
      </c>
      <c r="B1" s="66" t="s">
        <v>163</v>
      </c>
      <c r="C1" s="103" t="s">
        <v>33</v>
      </c>
      <c r="D1" s="9" t="s">
        <v>175</v>
      </c>
      <c r="E1" s="35" t="s">
        <v>51</v>
      </c>
      <c r="F1" s="41" t="s">
        <v>33</v>
      </c>
      <c r="G1" s="219" t="s">
        <v>58</v>
      </c>
      <c r="H1" s="41" t="s">
        <v>54</v>
      </c>
      <c r="I1" t="s">
        <v>20</v>
      </c>
      <c r="J1" s="30" t="s">
        <v>24</v>
      </c>
      <c r="K1" t="s">
        <v>23</v>
      </c>
      <c r="L1" t="s">
        <v>25</v>
      </c>
      <c r="M1" t="s">
        <v>26</v>
      </c>
      <c r="N1" s="218" t="s">
        <v>219</v>
      </c>
      <c r="O1" s="218" t="s">
        <v>218</v>
      </c>
      <c r="P1" s="218" t="s">
        <v>220</v>
      </c>
    </row>
    <row r="2" spans="1:16" x14ac:dyDescent="0.25">
      <c r="A2" s="105">
        <f>IF(Match!A2="","",Match!A2)</f>
        <v>43588</v>
      </c>
      <c r="B2" s="104" t="str">
        <f>IF(Match!C2="","",Match!C2)</f>
        <v>Premier</v>
      </c>
      <c r="C2" s="103" t="str">
        <f>IF(Match!S2="","",Match!S2)</f>
        <v>Everton  v  Burnley   6/10  3/1  24/5</v>
      </c>
      <c r="D2" s="103" t="str">
        <f>IF(Match!T2="","",Match!T2)</f>
        <v xml:space="preserve">Everton 2-0 Burnley </v>
      </c>
      <c r="E2" s="36" t="str">
        <f t="shared" ref="E2:E32" si="0">IF(C2="","",I2)</f>
        <v>Everton</v>
      </c>
      <c r="F2" s="37" t="str">
        <f t="shared" ref="F2:F45" si="1">IF(C2="","",J2)</f>
        <v>6/10</v>
      </c>
      <c r="G2" s="220">
        <f>IF(C2="","",N2)</f>
        <v>1.6</v>
      </c>
      <c r="H2" s="37">
        <f>INDEX(Picks!T:T,MATCH(E2,Picks!R:R,0))</f>
        <v>1</v>
      </c>
      <c r="I2" t="str">
        <f>INDEX(Match!O:O,MATCH(C2,Match!S:S,0))</f>
        <v>Everton</v>
      </c>
      <c r="J2" t="str">
        <f>INDEX(Match!V:V,MATCH(C2,Match!S:S,0))</f>
        <v>6/10</v>
      </c>
      <c r="K2" t="str">
        <f>INDEX(Match!P:P,MATCH(C2,Match!S:S,0))</f>
        <v>Burnley</v>
      </c>
      <c r="L2" t="str">
        <f>INDEX(Match!W:W,MATCH(C2,Match!S:S,0))</f>
        <v>3/1</v>
      </c>
      <c r="M2" t="str">
        <f>INDEX(Match!X:X,MATCH(C2,Match!S:S,0))</f>
        <v>24/5</v>
      </c>
      <c r="N2" s="217">
        <f>INDEX(Match!Y:Y,MATCH(C2,Match!S:S,0))</f>
        <v>1.6</v>
      </c>
      <c r="O2" s="217">
        <f>INDEX(Match!Z:Z,MATCH(C2,Match!S:S,0))</f>
        <v>4</v>
      </c>
      <c r="P2" s="217">
        <f>INDEX(Match!AA:AA,MATCH(C2,Match!S:S,0))</f>
        <v>5.8</v>
      </c>
    </row>
    <row r="3" spans="1:16" x14ac:dyDescent="0.25">
      <c r="A3" s="105">
        <f>IF(Match!A3="","",Match!A3)</f>
        <v>43589</v>
      </c>
      <c r="B3" s="104" t="str">
        <f>IF(Match!C3="","",Match!C3)</f>
        <v>Premier</v>
      </c>
      <c r="C3" s="103" t="str">
        <f>IF(Match!S3="","",Match!S3)</f>
        <v>Bournemouth  v  Spurs   17/5  3/1  3/4</v>
      </c>
      <c r="D3" s="103" t="str">
        <f>IF(Match!T3="","",Match!T3)</f>
        <v xml:space="preserve">Bournemouth 1-0 Spurs </v>
      </c>
      <c r="E3" s="36" t="str">
        <f t="shared" si="0"/>
        <v>Bournemouth</v>
      </c>
      <c r="F3" s="37" t="str">
        <f t="shared" si="1"/>
        <v>17/5</v>
      </c>
      <c r="G3" s="220">
        <f t="shared" ref="G3:G47" si="2">IF(C3="","",N3)</f>
        <v>4.4000000000000004</v>
      </c>
      <c r="H3" s="37">
        <f>INDEX(Picks!T:T,MATCH(E3,Picks!R:R,0))</f>
        <v>1</v>
      </c>
      <c r="I3" t="str">
        <f>INDEX(Match!O:O,MATCH(C3,Match!S:S,0))</f>
        <v>Bournemouth</v>
      </c>
      <c r="J3" t="str">
        <f>INDEX(Match!V:V,MATCH(C3,Match!S:S,0))</f>
        <v>17/5</v>
      </c>
      <c r="K3" t="str">
        <f>INDEX(Match!P:P,MATCH(C3,Match!S:S,0))</f>
        <v>Spurs</v>
      </c>
      <c r="L3" t="str">
        <f>INDEX(Match!W:W,MATCH(C3,Match!S:S,0))</f>
        <v>3/1</v>
      </c>
      <c r="M3" t="str">
        <f>INDEX(Match!X:X,MATCH(C3,Match!S:S,0))</f>
        <v>3/4</v>
      </c>
      <c r="N3" s="217">
        <f>INDEX(Match!Y:Y,MATCH(C3,Match!S:S,0))</f>
        <v>4.4000000000000004</v>
      </c>
      <c r="O3" s="217">
        <f>INDEX(Match!Z:Z,MATCH(C3,Match!S:S,0))</f>
        <v>4</v>
      </c>
      <c r="P3" s="217">
        <f>INDEX(Match!AA:AA,MATCH(C3,Match!S:S,0))</f>
        <v>1.75</v>
      </c>
    </row>
    <row r="4" spans="1:16" x14ac:dyDescent="0.25">
      <c r="A4" s="105">
        <f>IF(Match!A4="","",Match!A4)</f>
        <v>43589</v>
      </c>
      <c r="B4" s="104" t="str">
        <f>IF(Match!C4="","",Match!C4)</f>
        <v>Premier</v>
      </c>
      <c r="C4" s="103" t="str">
        <f>IF(Match!S4="","",Match!S4)</f>
        <v>Cardiff  v  Palace   9/5  9/4  8/5</v>
      </c>
      <c r="D4" s="103" t="str">
        <f>IF(Match!T4="","",Match!T4)</f>
        <v xml:space="preserve">Cardiff 2-3 Palace </v>
      </c>
      <c r="E4" s="36" t="str">
        <f t="shared" si="0"/>
        <v>Cardiff</v>
      </c>
      <c r="F4" s="37" t="str">
        <f t="shared" si="1"/>
        <v>9/5</v>
      </c>
      <c r="G4" s="220">
        <f t="shared" si="2"/>
        <v>2.8</v>
      </c>
      <c r="H4" s="37">
        <f>INDEX(Picks!T:T,MATCH(E4,Picks!R:R,0))</f>
        <v>0</v>
      </c>
      <c r="I4" t="str">
        <f>INDEX(Match!O:O,MATCH(C4,Match!S:S,0))</f>
        <v>Cardiff</v>
      </c>
      <c r="J4" t="str">
        <f>INDEX(Match!V:V,MATCH(C4,Match!S:S,0))</f>
        <v>9/5</v>
      </c>
      <c r="K4" t="str">
        <f>INDEX(Match!P:P,MATCH(C4,Match!S:S,0))</f>
        <v>Palace</v>
      </c>
      <c r="L4" t="str">
        <f>INDEX(Match!W:W,MATCH(C4,Match!S:S,0))</f>
        <v>9/4</v>
      </c>
      <c r="M4" t="str">
        <f>INDEX(Match!X:X,MATCH(C4,Match!S:S,0))</f>
        <v>8/5</v>
      </c>
      <c r="N4" s="217">
        <f>INDEX(Match!Y:Y,MATCH(C4,Match!S:S,0))</f>
        <v>2.8</v>
      </c>
      <c r="O4" s="217">
        <f>INDEX(Match!Z:Z,MATCH(C4,Match!S:S,0))</f>
        <v>3.25</v>
      </c>
      <c r="P4" s="217">
        <f>INDEX(Match!AA:AA,MATCH(C4,Match!S:S,0))</f>
        <v>2.6</v>
      </c>
    </row>
    <row r="5" spans="1:16" x14ac:dyDescent="0.25">
      <c r="A5" s="105">
        <f>IF(Match!A5="","",Match!A5)</f>
        <v>43589</v>
      </c>
      <c r="B5" s="104" t="str">
        <f>IF(Match!C5="","",Match!C5)</f>
        <v>Premier</v>
      </c>
      <c r="C5" s="103" t="str">
        <f>IF(Match!S5="","",Match!S5)</f>
        <v>Newcastle  v  Liverpool   9/1  4/1  1/3</v>
      </c>
      <c r="D5" s="103" t="str">
        <f>IF(Match!T5="","",Match!T5)</f>
        <v xml:space="preserve">Newcastle 2-3 Liverpool </v>
      </c>
      <c r="E5" s="36" t="str">
        <f t="shared" si="0"/>
        <v>Newcastle</v>
      </c>
      <c r="F5" s="37" t="str">
        <f t="shared" si="1"/>
        <v>9/1</v>
      </c>
      <c r="G5" s="220">
        <f t="shared" si="2"/>
        <v>10</v>
      </c>
      <c r="H5" s="37">
        <f>INDEX(Picks!T:T,MATCH(E5,Picks!R:R,0))</f>
        <v>0</v>
      </c>
      <c r="I5" t="str">
        <f>INDEX(Match!O:O,MATCH(C5,Match!S:S,0))</f>
        <v>Newcastle</v>
      </c>
      <c r="J5" t="str">
        <f>INDEX(Match!V:V,MATCH(C5,Match!S:S,0))</f>
        <v>9/1</v>
      </c>
      <c r="K5" t="str">
        <f>INDEX(Match!P:P,MATCH(C5,Match!S:S,0))</f>
        <v>Liverpool</v>
      </c>
      <c r="L5" t="str">
        <f>INDEX(Match!W:W,MATCH(C5,Match!S:S,0))</f>
        <v>4/1</v>
      </c>
      <c r="M5" t="str">
        <f>INDEX(Match!X:X,MATCH(C5,Match!S:S,0))</f>
        <v>1/3</v>
      </c>
      <c r="N5" s="217">
        <f>INDEX(Match!Y:Y,MATCH(C5,Match!S:S,0))</f>
        <v>10</v>
      </c>
      <c r="O5" s="217">
        <f>INDEX(Match!Z:Z,MATCH(C5,Match!S:S,0))</f>
        <v>5</v>
      </c>
      <c r="P5" s="217">
        <f>INDEX(Match!AA:AA,MATCH(C5,Match!S:S,0))</f>
        <v>1.3333333333333333</v>
      </c>
    </row>
    <row r="6" spans="1:16" x14ac:dyDescent="0.25">
      <c r="A6" s="105">
        <f>IF(Match!A6="","",Match!A6)</f>
        <v>43589</v>
      </c>
      <c r="B6" s="104" t="str">
        <f>IF(Match!C6="","",Match!C6)</f>
        <v>Premier</v>
      </c>
      <c r="C6" s="103" t="str">
        <f>IF(Match!S6="","",Match!S6)</f>
        <v>West Ham  v  Southampton   11/8  5/2  15/8</v>
      </c>
      <c r="D6" s="103" t="str">
        <f>IF(Match!T6="","",Match!T6)</f>
        <v xml:space="preserve">West Ham 3-0 Southampton </v>
      </c>
      <c r="E6" s="36" t="str">
        <f t="shared" si="0"/>
        <v>West Ham</v>
      </c>
      <c r="F6" s="37" t="str">
        <f t="shared" si="1"/>
        <v>11/8</v>
      </c>
      <c r="G6" s="220">
        <f t="shared" si="2"/>
        <v>2.375</v>
      </c>
      <c r="H6" s="37">
        <f>INDEX(Picks!T:T,MATCH(E6,Picks!R:R,0))</f>
        <v>1</v>
      </c>
      <c r="I6" t="str">
        <f>INDEX(Match!O:O,MATCH(C6,Match!S:S,0))</f>
        <v>West Ham</v>
      </c>
      <c r="J6" t="str">
        <f>INDEX(Match!V:V,MATCH(C6,Match!S:S,0))</f>
        <v>11/8</v>
      </c>
      <c r="K6" t="str">
        <f>INDEX(Match!P:P,MATCH(C6,Match!S:S,0))</f>
        <v>Southampton</v>
      </c>
      <c r="L6" t="str">
        <f>INDEX(Match!W:W,MATCH(C6,Match!S:S,0))</f>
        <v>5/2</v>
      </c>
      <c r="M6" t="str">
        <f>INDEX(Match!X:X,MATCH(C6,Match!S:S,0))</f>
        <v>15/8</v>
      </c>
      <c r="N6" s="217">
        <f>INDEX(Match!Y:Y,MATCH(C6,Match!S:S,0))</f>
        <v>2.375</v>
      </c>
      <c r="O6" s="217">
        <f>INDEX(Match!Z:Z,MATCH(C6,Match!S:S,0))</f>
        <v>3.5</v>
      </c>
      <c r="P6" s="217">
        <f>INDEX(Match!AA:AA,MATCH(C6,Match!S:S,0))</f>
        <v>2.875</v>
      </c>
    </row>
    <row r="7" spans="1:16" x14ac:dyDescent="0.25">
      <c r="A7" s="105">
        <f>IF(Match!A7="","",Match!A7)</f>
        <v>43589</v>
      </c>
      <c r="B7" s="104" t="str">
        <f>IF(Match!C7="","",Match!C7)</f>
        <v>Premier</v>
      </c>
      <c r="C7" s="103" t="str">
        <f>IF(Match!S7="","",Match!S7)</f>
        <v>Wolves  v  Fulham   1/2  16/5  11/2</v>
      </c>
      <c r="D7" s="103" t="str">
        <f>IF(Match!T7="","",Match!T7)</f>
        <v xml:space="preserve">Wolves 1-0 Fulham </v>
      </c>
      <c r="E7" s="36" t="str">
        <f t="shared" si="0"/>
        <v>Wolves</v>
      </c>
      <c r="F7" s="37" t="str">
        <f t="shared" si="1"/>
        <v>1/2</v>
      </c>
      <c r="G7" s="220">
        <f t="shared" si="2"/>
        <v>1.5</v>
      </c>
      <c r="H7" s="37">
        <f>INDEX(Picks!T:T,MATCH(E7,Picks!R:R,0))</f>
        <v>1</v>
      </c>
      <c r="I7" t="str">
        <f>INDEX(Match!O:O,MATCH(C7,Match!S:S,0))</f>
        <v>Wolves</v>
      </c>
      <c r="J7" t="str">
        <f>INDEX(Match!V:V,MATCH(C7,Match!S:S,0))</f>
        <v>1/2</v>
      </c>
      <c r="K7" t="str">
        <f>INDEX(Match!P:P,MATCH(C7,Match!S:S,0))</f>
        <v>Fulham</v>
      </c>
      <c r="L7" t="str">
        <f>INDEX(Match!W:W,MATCH(C7,Match!S:S,0))</f>
        <v>16/5</v>
      </c>
      <c r="M7" t="str">
        <f>INDEX(Match!X:X,MATCH(C7,Match!S:S,0))</f>
        <v>11/2</v>
      </c>
      <c r="N7" s="217">
        <f>INDEX(Match!Y:Y,MATCH(C7,Match!S:S,0))</f>
        <v>1.5</v>
      </c>
      <c r="O7" s="217">
        <f>INDEX(Match!Z:Z,MATCH(C7,Match!S:S,0))</f>
        <v>4.2</v>
      </c>
      <c r="P7" s="217">
        <f>INDEX(Match!AA:AA,MATCH(C7,Match!S:S,0))</f>
        <v>6.5</v>
      </c>
    </row>
    <row r="8" spans="1:16" x14ac:dyDescent="0.25">
      <c r="A8" s="105">
        <f>IF(Match!A8="","",Match!A8)</f>
        <v>43589</v>
      </c>
      <c r="B8" s="104" t="str">
        <f>IF(Match!C8="","",Match!C8)</f>
        <v>League 1</v>
      </c>
      <c r="C8" s="103" t="str">
        <f>IF(Match!S8="","",Match!S8)</f>
        <v>Blackpool  v  Gillingham   5/4  23/10  9/4</v>
      </c>
      <c r="D8" s="103" t="str">
        <f>IF(Match!T8="","",Match!T8)</f>
        <v xml:space="preserve">Blackpool 0-3 Gillingham </v>
      </c>
      <c r="E8" s="36" t="str">
        <f t="shared" si="0"/>
        <v>Blackpool</v>
      </c>
      <c r="F8" s="37" t="str">
        <f t="shared" si="1"/>
        <v>5/4</v>
      </c>
      <c r="G8" s="220">
        <f t="shared" si="2"/>
        <v>2.25</v>
      </c>
      <c r="H8" s="37">
        <f>INDEX(Picks!T:T,MATCH(E8,Picks!R:R,0))</f>
        <v>0</v>
      </c>
      <c r="I8" t="str">
        <f>INDEX(Match!O:O,MATCH(C8,Match!S:S,0))</f>
        <v>Blackpool</v>
      </c>
      <c r="J8" t="str">
        <f>INDEX(Match!V:V,MATCH(C8,Match!S:S,0))</f>
        <v>5/4</v>
      </c>
      <c r="K8" t="str">
        <f>INDEX(Match!P:P,MATCH(C8,Match!S:S,0))</f>
        <v>Gillingham</v>
      </c>
      <c r="L8" t="str">
        <f>INDEX(Match!W:W,MATCH(C8,Match!S:S,0))</f>
        <v>23/10</v>
      </c>
      <c r="M8" t="str">
        <f>INDEX(Match!X:X,MATCH(C8,Match!S:S,0))</f>
        <v>9/4</v>
      </c>
      <c r="N8" s="217">
        <f>INDEX(Match!Y:Y,MATCH(C8,Match!S:S,0))</f>
        <v>2.25</v>
      </c>
      <c r="O8" s="217">
        <f>INDEX(Match!Z:Z,MATCH(C8,Match!S:S,0))</f>
        <v>3.3</v>
      </c>
      <c r="P8" s="217">
        <f>INDEX(Match!AA:AA,MATCH(C8,Match!S:S,0))</f>
        <v>3.25</v>
      </c>
    </row>
    <row r="9" spans="1:16" x14ac:dyDescent="0.25">
      <c r="A9" s="105">
        <f>IF(Match!A9="","",Match!A9)</f>
        <v>43589</v>
      </c>
      <c r="B9" s="104" t="str">
        <f>IF(Match!C9="","",Match!C9)</f>
        <v>League 1</v>
      </c>
      <c r="C9" s="103" t="str">
        <f>IF(Match!S9="","",Match!S9)</f>
        <v>Bradford  v  Wimbledon   11/4  12/5  1/1</v>
      </c>
      <c r="D9" s="103" t="str">
        <f>IF(Match!T9="","",Match!T9)</f>
        <v xml:space="preserve">Bradford 0-0 Wimbledon </v>
      </c>
      <c r="E9" s="36" t="str">
        <f t="shared" si="0"/>
        <v>Bradford</v>
      </c>
      <c r="F9" s="37" t="str">
        <f t="shared" si="1"/>
        <v>11/4</v>
      </c>
      <c r="G9" s="220">
        <f t="shared" si="2"/>
        <v>3.75</v>
      </c>
      <c r="H9" s="37">
        <f>INDEX(Picks!T:T,MATCH(E9,Picks!R:R,0))</f>
        <v>0</v>
      </c>
      <c r="I9" t="str">
        <f>INDEX(Match!O:O,MATCH(C9,Match!S:S,0))</f>
        <v>Bradford</v>
      </c>
      <c r="J9" t="str">
        <f>INDEX(Match!V:V,MATCH(C9,Match!S:S,0))</f>
        <v>11/4</v>
      </c>
      <c r="K9" t="str">
        <f>INDEX(Match!P:P,MATCH(C9,Match!S:S,0))</f>
        <v>Wimbledon</v>
      </c>
      <c r="L9" t="str">
        <f>INDEX(Match!W:W,MATCH(C9,Match!S:S,0))</f>
        <v>12/5</v>
      </c>
      <c r="M9" t="str">
        <f>INDEX(Match!X:X,MATCH(C9,Match!S:S,0))</f>
        <v>1/1</v>
      </c>
      <c r="N9" s="217">
        <f>INDEX(Match!Y:Y,MATCH(C9,Match!S:S,0))</f>
        <v>3.75</v>
      </c>
      <c r="O9" s="217">
        <f>INDEX(Match!Z:Z,MATCH(C9,Match!S:S,0))</f>
        <v>3.4</v>
      </c>
      <c r="P9" s="217">
        <f>INDEX(Match!AA:AA,MATCH(C9,Match!S:S,0))</f>
        <v>2</v>
      </c>
    </row>
    <row r="10" spans="1:16" x14ac:dyDescent="0.25">
      <c r="A10" s="105">
        <f>IF(Match!A10="","",Match!A10)</f>
        <v>43589</v>
      </c>
      <c r="B10" s="104" t="str">
        <f>IF(Match!C10="","",Match!C10)</f>
        <v>League 1</v>
      </c>
      <c r="C10" s="103" t="str">
        <f>IF(Match!S10="","",Match!S10)</f>
        <v>Bristol R  v  Barnsley   5/1  29/10  4/7</v>
      </c>
      <c r="D10" s="103" t="str">
        <f>IF(Match!T10="","",Match!T10)</f>
        <v xml:space="preserve">Bristol R 2-1 Barnsley </v>
      </c>
      <c r="E10" s="36" t="str">
        <f t="shared" si="0"/>
        <v>Bristol R</v>
      </c>
      <c r="F10" s="37" t="str">
        <f t="shared" si="1"/>
        <v>5/1</v>
      </c>
      <c r="G10" s="220">
        <f t="shared" si="2"/>
        <v>6</v>
      </c>
      <c r="H10" s="37">
        <f>INDEX(Picks!T:T,MATCH(E10,Picks!R:R,0))</f>
        <v>1</v>
      </c>
      <c r="I10" t="str">
        <f>INDEX(Match!O:O,MATCH(C10,Match!S:S,0))</f>
        <v>Bristol R</v>
      </c>
      <c r="J10" t="str">
        <f>INDEX(Match!V:V,MATCH(C10,Match!S:S,0))</f>
        <v>5/1</v>
      </c>
      <c r="K10" t="str">
        <f>INDEX(Match!P:P,MATCH(C10,Match!S:S,0))</f>
        <v>Barnsley</v>
      </c>
      <c r="L10" t="str">
        <f>INDEX(Match!W:W,MATCH(C10,Match!S:S,0))</f>
        <v>29/10</v>
      </c>
      <c r="M10" t="str">
        <f>INDEX(Match!X:X,MATCH(C10,Match!S:S,0))</f>
        <v>4/7</v>
      </c>
      <c r="N10" s="217">
        <f>INDEX(Match!Y:Y,MATCH(C10,Match!S:S,0))</f>
        <v>6</v>
      </c>
      <c r="O10" s="217">
        <f>INDEX(Match!Z:Z,MATCH(C10,Match!S:S,0))</f>
        <v>3.9</v>
      </c>
      <c r="P10" s="217">
        <f>INDEX(Match!AA:AA,MATCH(C10,Match!S:S,0))</f>
        <v>1.5714285714285714</v>
      </c>
    </row>
    <row r="11" spans="1:16" x14ac:dyDescent="0.25">
      <c r="A11" s="105">
        <f>IF(Match!A11="","",Match!A11)</f>
        <v>43589</v>
      </c>
      <c r="B11" s="104" t="str">
        <f>IF(Match!C11="","",Match!C11)</f>
        <v>League 1</v>
      </c>
      <c r="C11" s="103" t="str">
        <f>IF(Match!S11="","",Match!S11)</f>
        <v>Charlton  v  Rochdale   3/4  27/10  7/2</v>
      </c>
      <c r="D11" s="103" t="str">
        <f>IF(Match!T11="","",Match!T11)</f>
        <v xml:space="preserve">Charlton 4-0 Rochdale </v>
      </c>
      <c r="E11" s="36" t="str">
        <f t="shared" si="0"/>
        <v>Charlton</v>
      </c>
      <c r="F11" s="37" t="str">
        <f t="shared" si="1"/>
        <v>3/4</v>
      </c>
      <c r="G11" s="220">
        <f t="shared" si="2"/>
        <v>1.75</v>
      </c>
      <c r="H11" s="37">
        <f>INDEX(Picks!T:T,MATCH(E11,Picks!R:R,0))</f>
        <v>1</v>
      </c>
      <c r="I11" t="str">
        <f>INDEX(Match!O:O,MATCH(C11,Match!S:S,0))</f>
        <v>Charlton</v>
      </c>
      <c r="J11" t="str">
        <f>INDEX(Match!V:V,MATCH(C11,Match!S:S,0))</f>
        <v>3/4</v>
      </c>
      <c r="K11" t="str">
        <f>INDEX(Match!P:P,MATCH(C11,Match!S:S,0))</f>
        <v>Rochdale</v>
      </c>
      <c r="L11" t="str">
        <f>INDEX(Match!W:W,MATCH(C11,Match!S:S,0))</f>
        <v>27/10</v>
      </c>
      <c r="M11" t="str">
        <f>INDEX(Match!X:X,MATCH(C11,Match!S:S,0))</f>
        <v>7/2</v>
      </c>
      <c r="N11" s="217">
        <f>INDEX(Match!Y:Y,MATCH(C11,Match!S:S,0))</f>
        <v>1.75</v>
      </c>
      <c r="O11" s="217">
        <f>INDEX(Match!Z:Z,MATCH(C11,Match!S:S,0))</f>
        <v>3.7</v>
      </c>
      <c r="P11" s="217">
        <f>INDEX(Match!AA:AA,MATCH(C11,Match!S:S,0))</f>
        <v>4.5</v>
      </c>
    </row>
    <row r="12" spans="1:16" x14ac:dyDescent="0.25">
      <c r="A12" s="105">
        <f>IF(Match!A12="","",Match!A12)</f>
        <v>43589</v>
      </c>
      <c r="B12" s="104" t="str">
        <f>IF(Match!C12="","",Match!C12)</f>
        <v>League 1</v>
      </c>
      <c r="C12" s="103" t="str">
        <f>IF(Match!S12="","",Match!S12)</f>
        <v>Doncaster  v  Coventry   11/10  12/5  12/5</v>
      </c>
      <c r="D12" s="103" t="str">
        <f>IF(Match!T12="","",Match!T12)</f>
        <v xml:space="preserve">Doncaster 2-0 Coventry </v>
      </c>
      <c r="E12" s="36" t="str">
        <f t="shared" si="0"/>
        <v>Doncaster</v>
      </c>
      <c r="F12" s="37" t="str">
        <f t="shared" si="1"/>
        <v>11/10</v>
      </c>
      <c r="G12" s="220">
        <f t="shared" si="2"/>
        <v>2.1</v>
      </c>
      <c r="H12" s="37">
        <f>INDEX(Picks!T:T,MATCH(E12,Picks!R:R,0))</f>
        <v>1</v>
      </c>
      <c r="I12" t="str">
        <f>INDEX(Match!O:O,MATCH(C12,Match!S:S,0))</f>
        <v>Doncaster</v>
      </c>
      <c r="J12" t="str">
        <f>INDEX(Match!V:V,MATCH(C12,Match!S:S,0))</f>
        <v>11/10</v>
      </c>
      <c r="K12" t="str">
        <f>INDEX(Match!P:P,MATCH(C12,Match!S:S,0))</f>
        <v>Coventry</v>
      </c>
      <c r="L12" t="str">
        <f>INDEX(Match!W:W,MATCH(C12,Match!S:S,0))</f>
        <v>12/5</v>
      </c>
      <c r="M12" t="str">
        <f>INDEX(Match!X:X,MATCH(C12,Match!S:S,0))</f>
        <v>12/5</v>
      </c>
      <c r="N12" s="217">
        <f>INDEX(Match!Y:Y,MATCH(C12,Match!S:S,0))</f>
        <v>2.1</v>
      </c>
      <c r="O12" s="217">
        <f>INDEX(Match!Z:Z,MATCH(C12,Match!S:S,0))</f>
        <v>3.4</v>
      </c>
      <c r="P12" s="217">
        <f>INDEX(Match!AA:AA,MATCH(C12,Match!S:S,0))</f>
        <v>3.4</v>
      </c>
    </row>
    <row r="13" spans="1:16" x14ac:dyDescent="0.25">
      <c r="A13" s="105">
        <f>IF(Match!A13="","",Match!A13)</f>
        <v>43589</v>
      </c>
      <c r="B13" s="104" t="str">
        <f>IF(Match!C13="","",Match!C13)</f>
        <v>League 1</v>
      </c>
      <c r="C13" s="103" t="str">
        <f>IF(Match!S13="","",Match!S13)</f>
        <v>Luton  v  Oxford   3/10  4/1  17/2</v>
      </c>
      <c r="D13" s="103" t="str">
        <f>IF(Match!T13="","",Match!T13)</f>
        <v xml:space="preserve">Luton 3-1 Oxford </v>
      </c>
      <c r="E13" s="36" t="str">
        <f t="shared" si="0"/>
        <v>Luton</v>
      </c>
      <c r="F13" s="37" t="str">
        <f t="shared" si="1"/>
        <v>3/10</v>
      </c>
      <c r="G13" s="220">
        <f t="shared" si="2"/>
        <v>1.3</v>
      </c>
      <c r="H13" s="37">
        <f>INDEX(Picks!T:T,MATCH(E13,Picks!R:R,0))</f>
        <v>1</v>
      </c>
      <c r="I13" t="str">
        <f>INDEX(Match!O:O,MATCH(C13,Match!S:S,0))</f>
        <v>Luton</v>
      </c>
      <c r="J13" t="str">
        <f>INDEX(Match!V:V,MATCH(C13,Match!S:S,0))</f>
        <v>3/10</v>
      </c>
      <c r="K13" t="str">
        <f>INDEX(Match!P:P,MATCH(C13,Match!S:S,0))</f>
        <v>Oxford</v>
      </c>
      <c r="L13" t="str">
        <f>INDEX(Match!W:W,MATCH(C13,Match!S:S,0))</f>
        <v>4/1</v>
      </c>
      <c r="M13" t="str">
        <f>INDEX(Match!X:X,MATCH(C13,Match!S:S,0))</f>
        <v>17/2</v>
      </c>
      <c r="N13" s="217">
        <f>INDEX(Match!Y:Y,MATCH(C13,Match!S:S,0))</f>
        <v>1.3</v>
      </c>
      <c r="O13" s="217">
        <f>INDEX(Match!Z:Z,MATCH(C13,Match!S:S,0))</f>
        <v>5</v>
      </c>
      <c r="P13" s="217">
        <f>INDEX(Match!AA:AA,MATCH(C13,Match!S:S,0))</f>
        <v>9.5</v>
      </c>
    </row>
    <row r="14" spans="1:16" x14ac:dyDescent="0.25">
      <c r="A14" s="105">
        <f>IF(Match!A14="","",Match!A14)</f>
        <v>43589</v>
      </c>
      <c r="B14" s="104" t="str">
        <f>IF(Match!C14="","",Match!C14)</f>
        <v>League 1</v>
      </c>
      <c r="C14" s="103" t="str">
        <f>IF(Match!S14="","",Match!S14)</f>
        <v>Peterborough  v  Burton   23/20  5/2  23/10</v>
      </c>
      <c r="D14" s="103" t="str">
        <f>IF(Match!T14="","",Match!T14)</f>
        <v xml:space="preserve">Peterborough 3-1 Burton </v>
      </c>
      <c r="E14" s="36" t="str">
        <f t="shared" si="0"/>
        <v>Peterborough</v>
      </c>
      <c r="F14" s="37" t="str">
        <f t="shared" si="1"/>
        <v>23/20</v>
      </c>
      <c r="G14" s="220">
        <f t="shared" si="2"/>
        <v>2.15</v>
      </c>
      <c r="H14" s="37">
        <f>INDEX(Picks!T:T,MATCH(E14,Picks!R:R,0))</f>
        <v>1</v>
      </c>
      <c r="I14" t="str">
        <f>INDEX(Match!O:O,MATCH(C14,Match!S:S,0))</f>
        <v>Peterborough</v>
      </c>
      <c r="J14" t="str">
        <f>INDEX(Match!V:V,MATCH(C14,Match!S:S,0))</f>
        <v>23/20</v>
      </c>
      <c r="K14" t="str">
        <f>INDEX(Match!P:P,MATCH(C14,Match!S:S,0))</f>
        <v>Burton</v>
      </c>
      <c r="L14" t="str">
        <f>INDEX(Match!W:W,MATCH(C14,Match!S:S,0))</f>
        <v>5/2</v>
      </c>
      <c r="M14" t="str">
        <f>INDEX(Match!X:X,MATCH(C14,Match!S:S,0))</f>
        <v>23/10</v>
      </c>
      <c r="N14" s="217">
        <f>INDEX(Match!Y:Y,MATCH(C14,Match!S:S,0))</f>
        <v>2.15</v>
      </c>
      <c r="O14" s="217">
        <f>INDEX(Match!Z:Z,MATCH(C14,Match!S:S,0))</f>
        <v>3.5</v>
      </c>
      <c r="P14" s="217">
        <f>INDEX(Match!AA:AA,MATCH(C14,Match!S:S,0))</f>
        <v>3.3</v>
      </c>
    </row>
    <row r="15" spans="1:16" x14ac:dyDescent="0.25">
      <c r="A15" s="105">
        <f>IF(Match!A15="","",Match!A15)</f>
        <v>43589</v>
      </c>
      <c r="B15" s="104" t="str">
        <f>IF(Match!C15="","",Match!C15)</f>
        <v>League 1</v>
      </c>
      <c r="C15" s="103" t="str">
        <f>IF(Match!S15="","",Match!S15)</f>
        <v>Plymouth  v  Scunthorpe   5/4  12/5  21/10</v>
      </c>
      <c r="D15" s="103" t="str">
        <f>IF(Match!T15="","",Match!T15)</f>
        <v xml:space="preserve">Plymouth 3-2 Scunthorpe </v>
      </c>
      <c r="E15" s="36" t="str">
        <f t="shared" si="0"/>
        <v>Plymouth</v>
      </c>
      <c r="F15" s="37" t="str">
        <f t="shared" si="1"/>
        <v>5/4</v>
      </c>
      <c r="G15" s="220">
        <f t="shared" si="2"/>
        <v>2.25</v>
      </c>
      <c r="H15" s="37">
        <f>INDEX(Picks!T:T,MATCH(E15,Picks!R:R,0))</f>
        <v>1</v>
      </c>
      <c r="I15" t="str">
        <f>INDEX(Match!O:O,MATCH(C15,Match!S:S,0))</f>
        <v>Plymouth</v>
      </c>
      <c r="J15" t="str">
        <f>INDEX(Match!V:V,MATCH(C15,Match!S:S,0))</f>
        <v>5/4</v>
      </c>
      <c r="K15" t="str">
        <f>INDEX(Match!P:P,MATCH(C15,Match!S:S,0))</f>
        <v>Scunthorpe</v>
      </c>
      <c r="L15" t="str">
        <f>INDEX(Match!W:W,MATCH(C15,Match!S:S,0))</f>
        <v>12/5</v>
      </c>
      <c r="M15" t="str">
        <f>INDEX(Match!X:X,MATCH(C15,Match!S:S,0))</f>
        <v>21/10</v>
      </c>
      <c r="N15" s="217">
        <f>INDEX(Match!Y:Y,MATCH(C15,Match!S:S,0))</f>
        <v>2.25</v>
      </c>
      <c r="O15" s="217">
        <f>INDEX(Match!Z:Z,MATCH(C15,Match!S:S,0))</f>
        <v>3.4</v>
      </c>
      <c r="P15" s="217">
        <f>INDEX(Match!AA:AA,MATCH(C15,Match!S:S,0))</f>
        <v>3.1</v>
      </c>
    </row>
    <row r="16" spans="1:16" x14ac:dyDescent="0.25">
      <c r="A16" s="105">
        <f>IF(Match!A16="","",Match!A16)</f>
        <v>43589</v>
      </c>
      <c r="B16" s="104" t="str">
        <f>IF(Match!C16="","",Match!C16)</f>
        <v>League 1</v>
      </c>
      <c r="C16" s="103" t="str">
        <f>IF(Match!S16="","",Match!S16)</f>
        <v>Portsmouth  v  Accrington   7/20  4/1  15/2</v>
      </c>
      <c r="D16" s="103" t="str">
        <f>IF(Match!T16="","",Match!T16)</f>
        <v xml:space="preserve">Portsmouth 1-1 Accrington </v>
      </c>
      <c r="E16" s="36" t="str">
        <f t="shared" si="0"/>
        <v>Portsmouth</v>
      </c>
      <c r="F16" s="37" t="str">
        <f t="shared" si="1"/>
        <v>7/20</v>
      </c>
      <c r="G16" s="220">
        <f t="shared" si="2"/>
        <v>1.35</v>
      </c>
      <c r="H16" s="37">
        <f>INDEX(Picks!T:T,MATCH(E16,Picks!R:R,0))</f>
        <v>0</v>
      </c>
      <c r="I16" t="str">
        <f>INDEX(Match!O:O,MATCH(C16,Match!S:S,0))</f>
        <v>Portsmouth</v>
      </c>
      <c r="J16" t="str">
        <f>INDEX(Match!V:V,MATCH(C16,Match!S:S,0))</f>
        <v>7/20</v>
      </c>
      <c r="K16" t="str">
        <f>INDEX(Match!P:P,MATCH(C16,Match!S:S,0))</f>
        <v>Accrington</v>
      </c>
      <c r="L16" t="str">
        <f>INDEX(Match!W:W,MATCH(C16,Match!S:S,0))</f>
        <v>4/1</v>
      </c>
      <c r="M16" t="str">
        <f>INDEX(Match!X:X,MATCH(C16,Match!S:S,0))</f>
        <v>15/2</v>
      </c>
      <c r="N16" s="217">
        <f>INDEX(Match!Y:Y,MATCH(C16,Match!S:S,0))</f>
        <v>1.35</v>
      </c>
      <c r="O16" s="217">
        <f>INDEX(Match!Z:Z,MATCH(C16,Match!S:S,0))</f>
        <v>5</v>
      </c>
      <c r="P16" s="217">
        <f>INDEX(Match!AA:AA,MATCH(C16,Match!S:S,0))</f>
        <v>8.5</v>
      </c>
    </row>
    <row r="17" spans="1:16" x14ac:dyDescent="0.25">
      <c r="A17" s="105">
        <f>IF(Match!A17="","",Match!A17)</f>
        <v>43589</v>
      </c>
      <c r="B17" s="104" t="str">
        <f>IF(Match!C17="","",Match!C17)</f>
        <v>League 1</v>
      </c>
      <c r="C17" s="103" t="str">
        <f>IF(Match!S17="","",Match!S17)</f>
        <v>Shrewsbury  v  Walsall   19/10  23/10  7/5</v>
      </c>
      <c r="D17" s="103" t="str">
        <f>IF(Match!T17="","",Match!T17)</f>
        <v xml:space="preserve">Shrewsbury 0-0 Walsall </v>
      </c>
      <c r="E17" s="36" t="str">
        <f t="shared" si="0"/>
        <v>Shrewsbury</v>
      </c>
      <c r="F17" s="37" t="str">
        <f t="shared" si="1"/>
        <v>19/10</v>
      </c>
      <c r="G17" s="220">
        <f t="shared" si="2"/>
        <v>2.9</v>
      </c>
      <c r="H17" s="37">
        <f>INDEX(Picks!T:T,MATCH(E17,Picks!R:R,0))</f>
        <v>0</v>
      </c>
      <c r="I17" t="str">
        <f>INDEX(Match!O:O,MATCH(C17,Match!S:S,0))</f>
        <v>Shrewsbury</v>
      </c>
      <c r="J17" t="str">
        <f>INDEX(Match!V:V,MATCH(C17,Match!S:S,0))</f>
        <v>19/10</v>
      </c>
      <c r="K17" t="str">
        <f>INDEX(Match!P:P,MATCH(C17,Match!S:S,0))</f>
        <v>Walsall</v>
      </c>
      <c r="L17" t="str">
        <f>INDEX(Match!W:W,MATCH(C17,Match!S:S,0))</f>
        <v>23/10</v>
      </c>
      <c r="M17" t="str">
        <f>INDEX(Match!X:X,MATCH(C17,Match!S:S,0))</f>
        <v>7/5</v>
      </c>
      <c r="N17" s="217">
        <f>INDEX(Match!Y:Y,MATCH(C17,Match!S:S,0))</f>
        <v>2.9</v>
      </c>
      <c r="O17" s="217">
        <f>INDEX(Match!Z:Z,MATCH(C17,Match!S:S,0))</f>
        <v>3.3</v>
      </c>
      <c r="P17" s="217">
        <f>INDEX(Match!AA:AA,MATCH(C17,Match!S:S,0))</f>
        <v>2.4</v>
      </c>
    </row>
    <row r="18" spans="1:16" x14ac:dyDescent="0.25">
      <c r="A18" s="105">
        <f>IF(Match!A18="","",Match!A18)</f>
        <v>43589</v>
      </c>
      <c r="B18" s="104" t="str">
        <f>IF(Match!C21="","",Match!C21)</f>
        <v>League 2</v>
      </c>
      <c r="C18" s="103" t="str">
        <f>IF(Match!S18="","",Match!S18)</f>
        <v>Southend  v  Sunderland   11/5  12/5  6/5</v>
      </c>
      <c r="D18" s="103" t="str">
        <f>IF(Match!T18="","",Match!T18)</f>
        <v xml:space="preserve">Southend 2-1 Sunderland </v>
      </c>
      <c r="E18" s="36" t="str">
        <f t="shared" si="0"/>
        <v>Southend</v>
      </c>
      <c r="F18" s="37" t="str">
        <f t="shared" si="1"/>
        <v>11/5</v>
      </c>
      <c r="G18" s="220">
        <f t="shared" si="2"/>
        <v>3.2</v>
      </c>
      <c r="H18" s="37">
        <f>INDEX(Picks!T:T,MATCH(E18,Picks!R:R,0))</f>
        <v>1</v>
      </c>
      <c r="I18" t="str">
        <f>INDEX(Match!O:O,MATCH(C18,Match!S:S,0))</f>
        <v>Southend</v>
      </c>
      <c r="J18" t="str">
        <f>INDEX(Match!V:V,MATCH(C18,Match!S:S,0))</f>
        <v>11/5</v>
      </c>
      <c r="K18" t="str">
        <f>INDEX(Match!P:P,MATCH(C18,Match!S:S,0))</f>
        <v>Sunderland</v>
      </c>
      <c r="L18" t="str">
        <f>INDEX(Match!W:W,MATCH(C18,Match!S:S,0))</f>
        <v>12/5</v>
      </c>
      <c r="M18" t="str">
        <f>INDEX(Match!X:X,MATCH(C18,Match!S:S,0))</f>
        <v>6/5</v>
      </c>
      <c r="N18" s="217">
        <f>INDEX(Match!Y:Y,MATCH(C18,Match!S:S,0))</f>
        <v>3.2</v>
      </c>
      <c r="O18" s="217">
        <f>INDEX(Match!Z:Z,MATCH(C18,Match!S:S,0))</f>
        <v>3.4</v>
      </c>
      <c r="P18" s="217">
        <f>INDEX(Match!AA:AA,MATCH(C18,Match!S:S,0))</f>
        <v>2.2000000000000002</v>
      </c>
    </row>
    <row r="19" spans="1:16" x14ac:dyDescent="0.25">
      <c r="A19" s="105">
        <f>IF(Match!A19="","",Match!A19)</f>
        <v>43589</v>
      </c>
      <c r="B19" s="104" t="str">
        <f>IF(Match!C19="","",Match!C19)</f>
        <v>League 1</v>
      </c>
      <c r="C19" s="103" t="str">
        <f>IF(Match!S19="","",Match!S19)</f>
        <v>Wycombe  v  Fleetwood   21/20  23/10  27/10</v>
      </c>
      <c r="D19" s="103" t="str">
        <f>IF(Match!T19="","",Match!T19)</f>
        <v xml:space="preserve">Wycombe 1-0 Fleetwood </v>
      </c>
      <c r="E19" s="36" t="str">
        <f t="shared" si="0"/>
        <v>Wycombe</v>
      </c>
      <c r="F19" s="37" t="str">
        <f t="shared" si="1"/>
        <v>21/20</v>
      </c>
      <c r="G19" s="220">
        <f t="shared" si="2"/>
        <v>2.0499999999999998</v>
      </c>
      <c r="H19" s="37">
        <f>INDEX(Picks!T:T,MATCH(E19,Picks!R:R,0))</f>
        <v>1</v>
      </c>
      <c r="I19" t="str">
        <f>INDEX(Match!O:O,MATCH(C19,Match!S:S,0))</f>
        <v>Wycombe</v>
      </c>
      <c r="J19" t="str">
        <f>INDEX(Match!V:V,MATCH(C19,Match!S:S,0))</f>
        <v>21/20</v>
      </c>
      <c r="K19" t="str">
        <f>INDEX(Match!P:P,MATCH(C19,Match!S:S,0))</f>
        <v>Fleetwood</v>
      </c>
      <c r="L19" t="str">
        <f>INDEX(Match!W:W,MATCH(C19,Match!S:S,0))</f>
        <v>23/10</v>
      </c>
      <c r="M19" t="str">
        <f>INDEX(Match!X:X,MATCH(C19,Match!S:S,0))</f>
        <v>27/10</v>
      </c>
      <c r="N19" s="217">
        <f>INDEX(Match!Y:Y,MATCH(C19,Match!S:S,0))</f>
        <v>2.0499999999999998</v>
      </c>
      <c r="O19" s="217">
        <f>INDEX(Match!Z:Z,MATCH(C19,Match!S:S,0))</f>
        <v>3.3</v>
      </c>
      <c r="P19" s="217">
        <f>INDEX(Match!AA:AA,MATCH(C19,Match!S:S,0))</f>
        <v>3.7</v>
      </c>
    </row>
    <row r="20" spans="1:16" x14ac:dyDescent="0.25">
      <c r="A20" s="105">
        <f>IF(Match!A20="","",Match!A20)</f>
        <v>43589</v>
      </c>
      <c r="B20" s="104" t="str">
        <f>IF(Match!C20="","",Match!C20)</f>
        <v>League 2</v>
      </c>
      <c r="C20" s="103" t="str">
        <f>IF(Match!S20="","",Match!S20)</f>
        <v>Bury  v  Port Vale   1/2  10/3  6/1</v>
      </c>
      <c r="D20" s="103" t="str">
        <f>IF(Match!T20="","",Match!T20)</f>
        <v xml:space="preserve">Bury 1-1 Port Vale </v>
      </c>
      <c r="E20" s="36" t="str">
        <f t="shared" si="0"/>
        <v>Bury</v>
      </c>
      <c r="F20" s="37" t="str">
        <f t="shared" si="1"/>
        <v>1/2</v>
      </c>
      <c r="G20" s="220">
        <f t="shared" si="2"/>
        <v>1.5</v>
      </c>
      <c r="H20" s="37">
        <f>INDEX(Picks!T:T,MATCH(E20,Picks!R:R,0))</f>
        <v>0</v>
      </c>
      <c r="I20" t="str">
        <f>INDEX(Match!O:O,MATCH(C20,Match!S:S,0))</f>
        <v>Bury</v>
      </c>
      <c r="J20" t="str">
        <f>INDEX(Match!V:V,MATCH(C20,Match!S:S,0))</f>
        <v>1/2</v>
      </c>
      <c r="K20" t="str">
        <f>INDEX(Match!P:P,MATCH(C20,Match!S:S,0))</f>
        <v>Port Vale</v>
      </c>
      <c r="L20" t="str">
        <f>INDEX(Match!W:W,MATCH(C20,Match!S:S,0))</f>
        <v>10/3</v>
      </c>
      <c r="M20" t="str">
        <f>INDEX(Match!X:X,MATCH(C20,Match!S:S,0))</f>
        <v>6/1</v>
      </c>
      <c r="N20" s="217">
        <f>INDEX(Match!Y:Y,MATCH(C20,Match!S:S,0))</f>
        <v>1.5</v>
      </c>
      <c r="O20" s="217">
        <f>INDEX(Match!Z:Z,MATCH(C20,Match!S:S,0))</f>
        <v>4.3333333333333339</v>
      </c>
      <c r="P20" s="217">
        <f>INDEX(Match!AA:AA,MATCH(C20,Match!S:S,0))</f>
        <v>7</v>
      </c>
    </row>
    <row r="21" spans="1:16" x14ac:dyDescent="0.25">
      <c r="A21" s="105">
        <f>IF(Match!A21="","",Match!A21)</f>
        <v>43589</v>
      </c>
      <c r="B21" s="104" t="str">
        <f>IF(Match!C21="","",Match!C21)</f>
        <v>League 2</v>
      </c>
      <c r="C21" s="103" t="str">
        <f>IF(Match!S21="","",Match!S21)</f>
        <v>Crawley  v  Tranmere   3/1  13/5  1/1</v>
      </c>
      <c r="D21" s="103" t="str">
        <f>IF(Match!T21="","",Match!T21)</f>
        <v xml:space="preserve">Crawley 3-1 Tranmere </v>
      </c>
      <c r="E21" s="36" t="str">
        <f t="shared" si="0"/>
        <v>Crawley</v>
      </c>
      <c r="F21" s="37" t="str">
        <f t="shared" si="1"/>
        <v>3/1</v>
      </c>
      <c r="G21" s="220">
        <f t="shared" si="2"/>
        <v>4</v>
      </c>
      <c r="H21" s="37">
        <f>INDEX(Picks!T:T,MATCH(E21,Picks!R:R,0))</f>
        <v>1</v>
      </c>
      <c r="I21" t="str">
        <f>INDEX(Match!O:O,MATCH(C21,Match!S:S,0))</f>
        <v>Crawley</v>
      </c>
      <c r="J21" t="str">
        <f>INDEX(Match!V:V,MATCH(C21,Match!S:S,0))</f>
        <v>3/1</v>
      </c>
      <c r="K21" t="str">
        <f>INDEX(Match!P:P,MATCH(C21,Match!S:S,0))</f>
        <v>Tranmere</v>
      </c>
      <c r="L21" t="str">
        <f>INDEX(Match!W:W,MATCH(C21,Match!S:S,0))</f>
        <v>13/5</v>
      </c>
      <c r="M21" t="str">
        <f>INDEX(Match!X:X,MATCH(C21,Match!S:S,0))</f>
        <v>1/1</v>
      </c>
      <c r="N21" s="217">
        <f>INDEX(Match!Y:Y,MATCH(C21,Match!S:S,0))</f>
        <v>4</v>
      </c>
      <c r="O21" s="217">
        <f>INDEX(Match!Z:Z,MATCH(C21,Match!S:S,0))</f>
        <v>3.6</v>
      </c>
      <c r="P21" s="217">
        <f>INDEX(Match!AA:AA,MATCH(C21,Match!S:S,0))</f>
        <v>2</v>
      </c>
    </row>
    <row r="22" spans="1:16" x14ac:dyDescent="0.25">
      <c r="A22" s="105">
        <f>IF(Match!A22="","",Match!A22)</f>
        <v>43589</v>
      </c>
      <c r="B22" s="104" t="str">
        <f>IF(Match!C22="","",Match!C22)</f>
        <v>League 2</v>
      </c>
      <c r="C22" s="103" t="str">
        <f>IF(Match!S22="","",Match!S22)</f>
        <v>Forest Green  v  Exeter   6/4  12/5  2/1</v>
      </c>
      <c r="D22" s="103" t="str">
        <f>IF(Match!T22="","",Match!T22)</f>
        <v xml:space="preserve">Forest Green 0-0 Exeter </v>
      </c>
      <c r="E22" s="36" t="str">
        <f t="shared" si="0"/>
        <v>Forest Green</v>
      </c>
      <c r="F22" s="37" t="str">
        <f t="shared" si="1"/>
        <v>6/4</v>
      </c>
      <c r="G22" s="220">
        <f t="shared" si="2"/>
        <v>2.5</v>
      </c>
      <c r="H22" s="37">
        <f>INDEX(Picks!T:T,MATCH(E22,Picks!R:R,0))</f>
        <v>0</v>
      </c>
      <c r="I22" t="str">
        <f>INDEX(Match!O:O,MATCH(C22,Match!S:S,0))</f>
        <v>Forest Green</v>
      </c>
      <c r="J22" t="str">
        <f>INDEX(Match!V:V,MATCH(C22,Match!S:S,0))</f>
        <v>6/4</v>
      </c>
      <c r="K22" t="str">
        <f>INDEX(Match!P:P,MATCH(C22,Match!S:S,0))</f>
        <v>Exeter</v>
      </c>
      <c r="L22" t="str">
        <f>INDEX(Match!W:W,MATCH(C22,Match!S:S,0))</f>
        <v>12/5</v>
      </c>
      <c r="M22" t="str">
        <f>INDEX(Match!X:X,MATCH(C22,Match!S:S,0))</f>
        <v>2/1</v>
      </c>
      <c r="N22" s="217">
        <f>INDEX(Match!Y:Y,MATCH(C22,Match!S:S,0))</f>
        <v>2.5</v>
      </c>
      <c r="O22" s="217">
        <f>INDEX(Match!Z:Z,MATCH(C22,Match!S:S,0))</f>
        <v>3.4</v>
      </c>
      <c r="P22" s="217">
        <f>INDEX(Match!AA:AA,MATCH(C22,Match!S:S,0))</f>
        <v>3</v>
      </c>
    </row>
    <row r="23" spans="1:16" x14ac:dyDescent="0.25">
      <c r="A23" s="105">
        <f>IF(Match!A23="","",Match!A23)</f>
        <v>43589</v>
      </c>
      <c r="B23" s="104" t="str">
        <f>IF(Match!C23="","",Match!C23)</f>
        <v>League 2</v>
      </c>
      <c r="C23" s="103" t="str">
        <f>IF(Match!S23="","",Match!S23)</f>
        <v>Grimsby  v  Crewe   6/4  13/5  2/1</v>
      </c>
      <c r="D23" s="103" t="str">
        <f>IF(Match!T23="","",Match!T23)</f>
        <v xml:space="preserve">Grimsby 2-0 Crewe </v>
      </c>
      <c r="E23" s="36" t="str">
        <f t="shared" si="0"/>
        <v>Grimsby</v>
      </c>
      <c r="F23" s="37" t="str">
        <f t="shared" si="1"/>
        <v>6/4</v>
      </c>
      <c r="G23" s="220">
        <f t="shared" si="2"/>
        <v>2.5</v>
      </c>
      <c r="H23" s="37">
        <f>INDEX(Picks!T:T,MATCH(E23,Picks!R:R,0))</f>
        <v>1</v>
      </c>
      <c r="I23" t="str">
        <f>INDEX(Match!O:O,MATCH(C23,Match!S:S,0))</f>
        <v>Grimsby</v>
      </c>
      <c r="J23" t="str">
        <f>INDEX(Match!V:V,MATCH(C23,Match!S:S,0))</f>
        <v>6/4</v>
      </c>
      <c r="K23" t="str">
        <f>INDEX(Match!P:P,MATCH(C23,Match!S:S,0))</f>
        <v>Crewe</v>
      </c>
      <c r="L23" t="str">
        <f>INDEX(Match!W:W,MATCH(C23,Match!S:S,0))</f>
        <v>13/5</v>
      </c>
      <c r="M23" t="str">
        <f>INDEX(Match!X:X,MATCH(C23,Match!S:S,0))</f>
        <v>2/1</v>
      </c>
      <c r="N23" s="217">
        <f>INDEX(Match!Y:Y,MATCH(C23,Match!S:S,0))</f>
        <v>2.5</v>
      </c>
      <c r="O23" s="217">
        <f>INDEX(Match!Z:Z,MATCH(C23,Match!S:S,0))</f>
        <v>3.6</v>
      </c>
      <c r="P23" s="217">
        <f>INDEX(Match!AA:AA,MATCH(C23,Match!S:S,0))</f>
        <v>3</v>
      </c>
    </row>
    <row r="24" spans="1:16" x14ac:dyDescent="0.25">
      <c r="A24" s="105">
        <f>IF(Match!A24="","",Match!A24)</f>
        <v>43589</v>
      </c>
      <c r="B24" s="104" t="str">
        <f>IF(Match!C24="","",Match!C24)</f>
        <v>League 2</v>
      </c>
      <c r="C24" s="103" t="str">
        <f>IF(Match!S24="","",Match!S24)</f>
        <v>Lincoln  v  Colchester   5/4  12/5  23/10</v>
      </c>
      <c r="D24" s="103" t="str">
        <f>IF(Match!T24="","",Match!T24)</f>
        <v xml:space="preserve">Lincoln 0-3 Colchester </v>
      </c>
      <c r="E24" s="36" t="str">
        <f t="shared" si="0"/>
        <v>Lincoln</v>
      </c>
      <c r="F24" s="37" t="str">
        <f t="shared" si="1"/>
        <v>5/4</v>
      </c>
      <c r="G24" s="220">
        <f t="shared" si="2"/>
        <v>2.25</v>
      </c>
      <c r="H24" s="37">
        <f>INDEX(Picks!T:T,MATCH(E24,Picks!R:R,0))</f>
        <v>0</v>
      </c>
      <c r="I24" t="str">
        <f>INDEX(Match!O:O,MATCH(C24,Match!S:S,0))</f>
        <v>Lincoln</v>
      </c>
      <c r="J24" t="str">
        <f>INDEX(Match!V:V,MATCH(C24,Match!S:S,0))</f>
        <v>5/4</v>
      </c>
      <c r="K24" t="str">
        <f>INDEX(Match!P:P,MATCH(C24,Match!S:S,0))</f>
        <v>Colchester</v>
      </c>
      <c r="L24" t="str">
        <f>INDEX(Match!W:W,MATCH(C24,Match!S:S,0))</f>
        <v>12/5</v>
      </c>
      <c r="M24" t="str">
        <f>INDEX(Match!X:X,MATCH(C24,Match!S:S,0))</f>
        <v>23/10</v>
      </c>
      <c r="N24" s="217">
        <f>INDEX(Match!Y:Y,MATCH(C24,Match!S:S,0))</f>
        <v>2.25</v>
      </c>
      <c r="O24" s="217">
        <f>INDEX(Match!Z:Z,MATCH(C24,Match!S:S,0))</f>
        <v>3.4</v>
      </c>
      <c r="P24" s="217">
        <f>INDEX(Match!AA:AA,MATCH(C24,Match!S:S,0))</f>
        <v>3.3</v>
      </c>
    </row>
    <row r="25" spans="1:16" x14ac:dyDescent="0.25">
      <c r="A25" s="105">
        <f>IF(Match!A25="","",Match!A25)</f>
        <v>43589</v>
      </c>
      <c r="B25" s="104" t="str">
        <f>IF(Match!C25="","",Match!C25)</f>
        <v>League 2</v>
      </c>
      <c r="C25" s="103" t="str">
        <f>IF(Match!S25="","",Match!S25)</f>
        <v>Macclesfield  v  Cambridge   16/11  9/4  21/10</v>
      </c>
      <c r="D25" s="103" t="str">
        <f>IF(Match!T25="","",Match!T25)</f>
        <v xml:space="preserve">Macclesfield 1-1 Cambridge </v>
      </c>
      <c r="E25" s="36" t="str">
        <f t="shared" si="0"/>
        <v>Macclesfield</v>
      </c>
      <c r="F25" s="37" t="str">
        <f t="shared" si="1"/>
        <v>16/11</v>
      </c>
      <c r="G25" s="220">
        <f t="shared" si="2"/>
        <v>2.4545454545454546</v>
      </c>
      <c r="H25" s="37">
        <f>INDEX(Picks!T:T,MATCH(E25,Picks!R:R,0))</f>
        <v>0</v>
      </c>
      <c r="I25" t="str">
        <f>INDEX(Match!O:O,MATCH(C25,Match!S:S,0))</f>
        <v>Macclesfield</v>
      </c>
      <c r="J25" t="str">
        <f>INDEX(Match!V:V,MATCH(C25,Match!S:S,0))</f>
        <v>16/11</v>
      </c>
      <c r="K25" t="str">
        <f>INDEX(Match!P:P,MATCH(C25,Match!S:S,0))</f>
        <v>Cambridge</v>
      </c>
      <c r="L25" t="str">
        <f>INDEX(Match!W:W,MATCH(C25,Match!S:S,0))</f>
        <v>9/4</v>
      </c>
      <c r="M25" t="str">
        <f>INDEX(Match!X:X,MATCH(C25,Match!S:S,0))</f>
        <v>21/10</v>
      </c>
      <c r="N25" s="217">
        <f>INDEX(Match!Y:Y,MATCH(C25,Match!S:S,0))</f>
        <v>2.4545454545454546</v>
      </c>
      <c r="O25" s="217">
        <f>INDEX(Match!Z:Z,MATCH(C25,Match!S:S,0))</f>
        <v>3.25</v>
      </c>
      <c r="P25" s="217">
        <f>INDEX(Match!AA:AA,MATCH(C25,Match!S:S,0))</f>
        <v>3.1</v>
      </c>
    </row>
    <row r="26" spans="1:16" x14ac:dyDescent="0.25">
      <c r="A26" s="105">
        <f>IF(Match!A26="","",Match!A26)</f>
        <v>43589</v>
      </c>
      <c r="B26" s="104" t="str">
        <f>IF(Match!C26="","",Match!C26)</f>
        <v>League 2</v>
      </c>
      <c r="C26" s="103" t="str">
        <f>IF(Match!S26="","",Match!S26)</f>
        <v>MK Dons  v  Mansfield   6/5  23/10  5/2</v>
      </c>
      <c r="D26" s="103" t="str">
        <f>IF(Match!T26="","",Match!T26)</f>
        <v xml:space="preserve">MK Dons 1-0 Mansfield </v>
      </c>
      <c r="E26" s="36" t="str">
        <f t="shared" si="0"/>
        <v>MK Dons</v>
      </c>
      <c r="F26" s="37" t="str">
        <f t="shared" si="1"/>
        <v>6/5</v>
      </c>
      <c r="G26" s="220">
        <f t="shared" si="2"/>
        <v>2.2000000000000002</v>
      </c>
      <c r="H26" s="37">
        <f>INDEX(Picks!T:T,MATCH(E26,Picks!R:R,0))</f>
        <v>1</v>
      </c>
      <c r="I26" t="str">
        <f>INDEX(Match!O:O,MATCH(C26,Match!S:S,0))</f>
        <v>MK Dons</v>
      </c>
      <c r="J26" t="str">
        <f>INDEX(Match!V:V,MATCH(C26,Match!S:S,0))</f>
        <v>6/5</v>
      </c>
      <c r="K26" t="str">
        <f>INDEX(Match!P:P,MATCH(C26,Match!S:S,0))</f>
        <v>Mansfield</v>
      </c>
      <c r="L26" t="str">
        <f>INDEX(Match!W:W,MATCH(C26,Match!S:S,0))</f>
        <v>23/10</v>
      </c>
      <c r="M26" t="str">
        <f>INDEX(Match!X:X,MATCH(C26,Match!S:S,0))</f>
        <v>5/2</v>
      </c>
      <c r="N26" s="217">
        <f>INDEX(Match!Y:Y,MATCH(C26,Match!S:S,0))</f>
        <v>2.2000000000000002</v>
      </c>
      <c r="O26" s="217">
        <f>INDEX(Match!Z:Z,MATCH(C26,Match!S:S,0))</f>
        <v>3.3</v>
      </c>
      <c r="P26" s="217">
        <f>INDEX(Match!AA:AA,MATCH(C26,Match!S:S,0))</f>
        <v>3.5</v>
      </c>
    </row>
    <row r="27" spans="1:16" x14ac:dyDescent="0.25">
      <c r="A27" s="105">
        <f>IF(Match!A27="","",Match!A27)</f>
        <v>43589</v>
      </c>
      <c r="B27" s="104" t="str">
        <f>IF(Match!C27="","",Match!C27)</f>
        <v>League 2</v>
      </c>
      <c r="C27" s="103" t="str">
        <f>IF(Match!S27="","",Match!S27)</f>
        <v>Morecambe  v  Newport   12/5  13/5  15/13</v>
      </c>
      <c r="D27" s="103" t="str">
        <f>IF(Match!T27="","",Match!T27)</f>
        <v xml:space="preserve">Morecambe 1-1 Newport </v>
      </c>
      <c r="E27" s="36" t="str">
        <f t="shared" si="0"/>
        <v>Morecambe</v>
      </c>
      <c r="F27" s="37" t="str">
        <f t="shared" si="1"/>
        <v>12/5</v>
      </c>
      <c r="G27" s="220">
        <f t="shared" si="2"/>
        <v>3.4</v>
      </c>
      <c r="H27" s="37">
        <f>INDEX(Picks!T:T,MATCH(E27,Picks!R:R,0))</f>
        <v>0</v>
      </c>
      <c r="I27" t="str">
        <f>INDEX(Match!O:O,MATCH(C27,Match!S:S,0))</f>
        <v>Morecambe</v>
      </c>
      <c r="J27" t="str">
        <f>INDEX(Match!V:V,MATCH(C27,Match!S:S,0))</f>
        <v>12/5</v>
      </c>
      <c r="K27" t="str">
        <f>INDEX(Match!P:P,MATCH(C27,Match!S:S,0))</f>
        <v>Newport</v>
      </c>
      <c r="L27" t="str">
        <f>INDEX(Match!W:W,MATCH(C27,Match!S:S,0))</f>
        <v>13/5</v>
      </c>
      <c r="M27" t="str">
        <f>INDEX(Match!X:X,MATCH(C27,Match!S:S,0))</f>
        <v>15/13</v>
      </c>
      <c r="N27" s="217">
        <f>INDEX(Match!Y:Y,MATCH(C27,Match!S:S,0))</f>
        <v>3.4</v>
      </c>
      <c r="O27" s="217">
        <f>INDEX(Match!Z:Z,MATCH(C27,Match!S:S,0))</f>
        <v>3.6</v>
      </c>
      <c r="P27" s="217">
        <f>INDEX(Match!AA:AA,MATCH(C27,Match!S:S,0))</f>
        <v>2.1538461538461537</v>
      </c>
    </row>
    <row r="28" spans="1:16" x14ac:dyDescent="0.25">
      <c r="A28" s="105">
        <f>IF(Match!A28="","",Match!A28)</f>
        <v>43589</v>
      </c>
      <c r="B28" s="104" t="str">
        <f>IF(Match!C28="","",Match!C28)</f>
        <v>League 2</v>
      </c>
      <c r="C28" s="103" t="str">
        <f>IF(Match!S28="","",Match!S28)</f>
        <v>Oldham  v  Northampton   11/10  13/5  11/4</v>
      </c>
      <c r="D28" s="103" t="str">
        <f>IF(Match!T28="","",Match!T28)</f>
        <v xml:space="preserve">Oldham 2-5 Northampton </v>
      </c>
      <c r="E28" s="36" t="str">
        <f t="shared" si="0"/>
        <v>Oldham</v>
      </c>
      <c r="F28" s="37" t="str">
        <f t="shared" si="1"/>
        <v>11/10</v>
      </c>
      <c r="G28" s="220">
        <f t="shared" si="2"/>
        <v>2.1</v>
      </c>
      <c r="H28" s="37">
        <f>INDEX(Picks!T:T,MATCH(E28,Picks!R:R,0))</f>
        <v>0</v>
      </c>
      <c r="I28" t="str">
        <f>INDEX(Match!O:O,MATCH(C28,Match!S:S,0))</f>
        <v>Oldham</v>
      </c>
      <c r="J28" t="str">
        <f>INDEX(Match!V:V,MATCH(C28,Match!S:S,0))</f>
        <v>11/10</v>
      </c>
      <c r="K28" t="str">
        <f>INDEX(Match!P:P,MATCH(C28,Match!S:S,0))</f>
        <v>Northampton</v>
      </c>
      <c r="L28" t="str">
        <f>INDEX(Match!W:W,MATCH(C28,Match!S:S,0))</f>
        <v>13/5</v>
      </c>
      <c r="M28" t="str">
        <f>INDEX(Match!X:X,MATCH(C28,Match!S:S,0))</f>
        <v>11/4</v>
      </c>
      <c r="N28" s="217">
        <f>INDEX(Match!Y:Y,MATCH(C28,Match!S:S,0))</f>
        <v>2.1</v>
      </c>
      <c r="O28" s="217">
        <f>INDEX(Match!Z:Z,MATCH(C28,Match!S:S,0))</f>
        <v>3.6</v>
      </c>
      <c r="P28" s="217">
        <f>INDEX(Match!AA:AA,MATCH(C28,Match!S:S,0))</f>
        <v>3.75</v>
      </c>
    </row>
    <row r="29" spans="1:16" x14ac:dyDescent="0.25">
      <c r="A29" s="105">
        <f>IF(Match!A29="","",Match!A29)</f>
        <v>43589</v>
      </c>
      <c r="B29" s="104" t="str">
        <f>IF(Match!C29="","",Match!C29)</f>
        <v>League 2</v>
      </c>
      <c r="C29" s="103" t="str">
        <f>IF(Match!S29="","",Match!S29)</f>
        <v>Stevenage  v  Cheltenham   8/13  16/5  9/2</v>
      </c>
      <c r="D29" s="103" t="str">
        <f>IF(Match!T29="","",Match!T29)</f>
        <v xml:space="preserve">Stevenage 2-0 Cheltenham </v>
      </c>
      <c r="E29" s="36" t="str">
        <f t="shared" si="0"/>
        <v>Stevenage</v>
      </c>
      <c r="F29" s="37" t="str">
        <f t="shared" si="1"/>
        <v>8/13</v>
      </c>
      <c r="G29" s="220">
        <f t="shared" si="2"/>
        <v>1.6153846153846154</v>
      </c>
      <c r="H29" s="37">
        <f>INDEX(Picks!T:T,MATCH(E29,Picks!R:R,0))</f>
        <v>1</v>
      </c>
      <c r="I29" t="str">
        <f>INDEX(Match!O:O,MATCH(C29,Match!S:S,0))</f>
        <v>Stevenage</v>
      </c>
      <c r="J29" t="str">
        <f>INDEX(Match!V:V,MATCH(C29,Match!S:S,0))</f>
        <v>8/13</v>
      </c>
      <c r="K29" t="str">
        <f>INDEX(Match!P:P,MATCH(C29,Match!S:S,0))</f>
        <v>Cheltenham</v>
      </c>
      <c r="L29" t="str">
        <f>INDEX(Match!W:W,MATCH(C29,Match!S:S,0))</f>
        <v>16/5</v>
      </c>
      <c r="M29" t="str">
        <f>INDEX(Match!X:X,MATCH(C29,Match!S:S,0))</f>
        <v>9/2</v>
      </c>
      <c r="N29" s="217">
        <f>INDEX(Match!Y:Y,MATCH(C29,Match!S:S,0))</f>
        <v>1.6153846153846154</v>
      </c>
      <c r="O29" s="217">
        <f>INDEX(Match!Z:Z,MATCH(C29,Match!S:S,0))</f>
        <v>4.2</v>
      </c>
      <c r="P29" s="217">
        <f>INDEX(Match!AA:AA,MATCH(C29,Match!S:S,0))</f>
        <v>5.5</v>
      </c>
    </row>
    <row r="30" spans="1:16" x14ac:dyDescent="0.25">
      <c r="A30" s="105">
        <f>IF(Match!A30="","",Match!A30)</f>
        <v>43589</v>
      </c>
      <c r="B30" s="104" t="str">
        <f>IF(Match!C30="","",Match!C30)</f>
        <v>League 2</v>
      </c>
      <c r="C30" s="103" t="str">
        <f>IF(Match!S30="","",Match!S30)</f>
        <v>Swindon  v  Notts Co   8/5  12/5  9/5</v>
      </c>
      <c r="D30" s="103" t="str">
        <f>IF(Match!T30="","",Match!T30)</f>
        <v xml:space="preserve">Swindon 3-1 Notts Co </v>
      </c>
      <c r="E30" s="36" t="str">
        <f t="shared" si="0"/>
        <v>Swindon</v>
      </c>
      <c r="F30" s="37" t="str">
        <f t="shared" si="1"/>
        <v>8/5</v>
      </c>
      <c r="G30" s="220">
        <f t="shared" si="2"/>
        <v>2.6</v>
      </c>
      <c r="H30" s="37">
        <f>INDEX(Picks!T:T,MATCH(E30,Picks!R:R,0))</f>
        <v>1</v>
      </c>
      <c r="I30" t="str">
        <f>INDEX(Match!O:O,MATCH(C30,Match!S:S,0))</f>
        <v>Swindon</v>
      </c>
      <c r="J30" t="str">
        <f>INDEX(Match!V:V,MATCH(C30,Match!S:S,0))</f>
        <v>8/5</v>
      </c>
      <c r="K30" t="str">
        <f>INDEX(Match!P:P,MATCH(C30,Match!S:S,0))</f>
        <v>Notts Co</v>
      </c>
      <c r="L30" t="str">
        <f>INDEX(Match!W:W,MATCH(C30,Match!S:S,0))</f>
        <v>12/5</v>
      </c>
      <c r="M30" t="str">
        <f>INDEX(Match!X:X,MATCH(C30,Match!S:S,0))</f>
        <v>9/5</v>
      </c>
      <c r="N30" s="217">
        <f>INDEX(Match!Y:Y,MATCH(C30,Match!S:S,0))</f>
        <v>2.6</v>
      </c>
      <c r="O30" s="217">
        <f>INDEX(Match!Z:Z,MATCH(C30,Match!S:S,0))</f>
        <v>3.4</v>
      </c>
      <c r="P30" s="217">
        <f>INDEX(Match!AA:AA,MATCH(C30,Match!S:S,0))</f>
        <v>2.8</v>
      </c>
    </row>
    <row r="31" spans="1:16" x14ac:dyDescent="0.25">
      <c r="A31" s="105">
        <f>IF(Match!A31="","",Match!A31)</f>
        <v>43589</v>
      </c>
      <c r="B31" s="104" t="str">
        <f>IF(Match!C31="","",Match!C31)</f>
        <v>League 2</v>
      </c>
      <c r="C31" s="103" t="str">
        <f>IF(Match!S31="","",Match!S31)</f>
        <v>Yeovil  v  Carlisle   3/1  13/5  19/20</v>
      </c>
      <c r="D31" s="103" t="str">
        <f>IF(Match!T31="","",Match!T31)</f>
        <v xml:space="preserve">Yeovil 0-0 Carlisle </v>
      </c>
      <c r="E31" s="36" t="str">
        <f t="shared" si="0"/>
        <v>Yeovil</v>
      </c>
      <c r="F31" s="37" t="str">
        <f t="shared" si="1"/>
        <v>3/1</v>
      </c>
      <c r="G31" s="220">
        <f t="shared" si="2"/>
        <v>4</v>
      </c>
      <c r="H31" s="37">
        <f>INDEX(Picks!T:T,MATCH(E31,Picks!R:R,0))</f>
        <v>0</v>
      </c>
      <c r="I31" t="str">
        <f>INDEX(Match!O:O,MATCH(C31,Match!S:S,0))</f>
        <v>Yeovil</v>
      </c>
      <c r="J31" t="str">
        <f>INDEX(Match!V:V,MATCH(C31,Match!S:S,0))</f>
        <v>3/1</v>
      </c>
      <c r="K31" t="str">
        <f>INDEX(Match!P:P,MATCH(C31,Match!S:S,0))</f>
        <v>Carlisle</v>
      </c>
      <c r="L31" t="str">
        <f>INDEX(Match!W:W,MATCH(C31,Match!S:S,0))</f>
        <v>13/5</v>
      </c>
      <c r="M31" t="str">
        <f>INDEX(Match!X:X,MATCH(C31,Match!S:S,0))</f>
        <v>19/20</v>
      </c>
      <c r="N31" s="217">
        <f>INDEX(Match!Y:Y,MATCH(C31,Match!S:S,0))</f>
        <v>4</v>
      </c>
      <c r="O31" s="217">
        <f>INDEX(Match!Z:Z,MATCH(C31,Match!S:S,0))</f>
        <v>3.6</v>
      </c>
      <c r="P31" s="217">
        <f>INDEX(Match!AA:AA,MATCH(C31,Match!S:S,0))</f>
        <v>1.95</v>
      </c>
    </row>
    <row r="32" spans="1:16" x14ac:dyDescent="0.25">
      <c r="A32" s="105">
        <f>IF(Match!A32="","",Match!A32)</f>
        <v>43590</v>
      </c>
      <c r="B32" s="104" t="str">
        <f>IF(Match!C32="","",Match!C32)</f>
        <v>Premier</v>
      </c>
      <c r="C32" s="103" t="str">
        <f>IF(Match!S32="","",Match!S32)</f>
        <v>Arsenal  v  Brighton   7/20  19/5  17/2</v>
      </c>
      <c r="D32" s="103" t="str">
        <f>IF(Match!T32="","",Match!T32)</f>
        <v xml:space="preserve">Arsenal 1-1 Brighton </v>
      </c>
      <c r="E32" s="36" t="str">
        <f t="shared" si="0"/>
        <v>Arsenal</v>
      </c>
      <c r="F32" s="37" t="str">
        <f t="shared" si="1"/>
        <v>7/20</v>
      </c>
      <c r="G32" s="220">
        <f t="shared" si="2"/>
        <v>1.35</v>
      </c>
      <c r="H32" s="37">
        <f>INDEX(Picks!T:T,MATCH(E32,Picks!R:R,0))</f>
        <v>0</v>
      </c>
      <c r="I32" t="str">
        <f>INDEX(Match!O:O,MATCH(C32,Match!S:S,0))</f>
        <v>Arsenal</v>
      </c>
      <c r="J32" t="str">
        <f>INDEX(Match!V:V,MATCH(C32,Match!S:S,0))</f>
        <v>7/20</v>
      </c>
      <c r="K32" t="str">
        <f>INDEX(Match!P:P,MATCH(C32,Match!S:S,0))</f>
        <v>Brighton</v>
      </c>
      <c r="L32" t="str">
        <f>INDEX(Match!W:W,MATCH(C32,Match!S:S,0))</f>
        <v>19/5</v>
      </c>
      <c r="M32" t="str">
        <f>INDEX(Match!X:X,MATCH(C32,Match!S:S,0))</f>
        <v>17/2</v>
      </c>
      <c r="N32" s="217">
        <f>INDEX(Match!Y:Y,MATCH(C32,Match!S:S,0))</f>
        <v>1.35</v>
      </c>
      <c r="O32" s="217">
        <f>INDEX(Match!Z:Z,MATCH(C32,Match!S:S,0))</f>
        <v>4.8</v>
      </c>
      <c r="P32" s="217">
        <f>INDEX(Match!AA:AA,MATCH(C32,Match!S:S,0))</f>
        <v>9.5</v>
      </c>
    </row>
    <row r="33" spans="1:16" x14ac:dyDescent="0.25">
      <c r="A33" s="105">
        <f>IF(Match!A33="","",Match!A33)</f>
        <v>43590</v>
      </c>
      <c r="B33" s="104" t="str">
        <f>IF(Match!C33="","",Match!C33)</f>
        <v>Premier</v>
      </c>
      <c r="C33" s="103" t="str">
        <f>IF(Match!S33="","",Match!S33)</f>
        <v>Chelsea  v  Watford   4/9  17/4  15/2</v>
      </c>
      <c r="D33" s="103" t="str">
        <f>IF(Match!T33="","",Match!T33)</f>
        <v xml:space="preserve">Chelsea 3-0 Watford </v>
      </c>
      <c r="E33" s="36" t="str">
        <f t="shared" ref="E33:E46" si="3">IF(C33="","",I33)</f>
        <v>Chelsea</v>
      </c>
      <c r="F33" s="37" t="str">
        <f t="shared" si="1"/>
        <v>4/9</v>
      </c>
      <c r="G33" s="220">
        <f t="shared" si="2"/>
        <v>1.4444444444444444</v>
      </c>
      <c r="H33" s="37">
        <f>INDEX(Picks!T:T,MATCH(E33,Picks!R:R,0))</f>
        <v>1</v>
      </c>
      <c r="I33" t="str">
        <f>INDEX(Match!O:O,MATCH(C33,Match!S:S,0))</f>
        <v>Chelsea</v>
      </c>
      <c r="J33" t="str">
        <f>INDEX(Match!V:V,MATCH(C33,Match!S:S,0))</f>
        <v>4/9</v>
      </c>
      <c r="K33" t="str">
        <f>INDEX(Match!P:P,MATCH(C33,Match!S:S,0))</f>
        <v>Watford</v>
      </c>
      <c r="L33" t="str">
        <f>INDEX(Match!W:W,MATCH(C33,Match!S:S,0))</f>
        <v>17/4</v>
      </c>
      <c r="M33" t="str">
        <f>INDEX(Match!X:X,MATCH(C33,Match!S:S,0))</f>
        <v>15/2</v>
      </c>
      <c r="N33" s="217">
        <f>INDEX(Match!Y:Y,MATCH(C33,Match!S:S,0))</f>
        <v>1.4444444444444444</v>
      </c>
      <c r="O33" s="217">
        <f>INDEX(Match!Z:Z,MATCH(C33,Match!S:S,0))</f>
        <v>5.25</v>
      </c>
      <c r="P33" s="217">
        <f>INDEX(Match!AA:AA,MATCH(C33,Match!S:S,0))</f>
        <v>8.5</v>
      </c>
    </row>
    <row r="34" spans="1:16" x14ac:dyDescent="0.25">
      <c r="A34" s="105">
        <f>IF(Match!A34="","",Match!A34)</f>
        <v>43590</v>
      </c>
      <c r="B34" s="104" t="str">
        <f>IF(Match!C34="","",Match!C34)</f>
        <v>Premier</v>
      </c>
      <c r="C34" s="103" t="str">
        <f>IF(Match!S34="","",Match!S34)</f>
        <v>Huddersfield  v  Man U   9/1  17/4  3/10</v>
      </c>
      <c r="D34" s="103" t="str">
        <f>IF(Match!T34="","",Match!T34)</f>
        <v xml:space="preserve">Huddersfield 1-1 Man U </v>
      </c>
      <c r="E34" s="36" t="str">
        <f t="shared" si="3"/>
        <v>Huddersfield</v>
      </c>
      <c r="F34" s="37" t="str">
        <f t="shared" si="1"/>
        <v>9/1</v>
      </c>
      <c r="G34" s="220">
        <f t="shared" si="2"/>
        <v>10</v>
      </c>
      <c r="H34" s="37">
        <f>INDEX(Picks!T:T,MATCH(E34,Picks!R:R,0))</f>
        <v>0</v>
      </c>
      <c r="I34" t="str">
        <f>INDEX(Match!O:O,MATCH(C34,Match!S:S,0))</f>
        <v>Huddersfield</v>
      </c>
      <c r="J34" t="str">
        <f>INDEX(Match!V:V,MATCH(C34,Match!S:S,0))</f>
        <v>9/1</v>
      </c>
      <c r="K34" t="str">
        <f>INDEX(Match!P:P,MATCH(C34,Match!S:S,0))</f>
        <v>Man U</v>
      </c>
      <c r="L34" t="str">
        <f>INDEX(Match!W:W,MATCH(C34,Match!S:S,0))</f>
        <v>17/4</v>
      </c>
      <c r="M34" t="str">
        <f>INDEX(Match!X:X,MATCH(C34,Match!S:S,0))</f>
        <v>3/10</v>
      </c>
      <c r="N34" s="217">
        <f>INDEX(Match!Y:Y,MATCH(C34,Match!S:S,0))</f>
        <v>10</v>
      </c>
      <c r="O34" s="217">
        <f>INDEX(Match!Z:Z,MATCH(C34,Match!S:S,0))</f>
        <v>5.25</v>
      </c>
      <c r="P34" s="217">
        <f>INDEX(Match!AA:AA,MATCH(C34,Match!S:S,0))</f>
        <v>1.3</v>
      </c>
    </row>
    <row r="35" spans="1:16" x14ac:dyDescent="0.25">
      <c r="A35" s="105">
        <f>IF(Match!A35="","",Match!A35)</f>
        <v>43590</v>
      </c>
      <c r="B35" s="104" t="str">
        <f>IF(Match!C35="","",Match!C35)</f>
        <v>Champ</v>
      </c>
      <c r="C35" s="103" t="str">
        <f>IF(Match!S35="","",Match!S35)</f>
        <v>Blackburn  v  Swansea   6/4  5/2  7/4</v>
      </c>
      <c r="D35" s="103" t="str">
        <f>IF(Match!T35="","",Match!T35)</f>
        <v xml:space="preserve">Blackburn 2-2 Swansea </v>
      </c>
      <c r="E35" s="36" t="str">
        <f t="shared" si="3"/>
        <v>Blackburn</v>
      </c>
      <c r="F35" s="37" t="str">
        <f t="shared" si="1"/>
        <v>6/4</v>
      </c>
      <c r="G35" s="220">
        <f t="shared" si="2"/>
        <v>2.5</v>
      </c>
      <c r="H35" s="37">
        <f>INDEX(Picks!T:T,MATCH(E35,Picks!R:R,0))</f>
        <v>0</v>
      </c>
      <c r="I35" t="str">
        <f>INDEX(Match!O:O,MATCH(C35,Match!S:S,0))</f>
        <v>Blackburn</v>
      </c>
      <c r="J35" t="str">
        <f>INDEX(Match!V:V,MATCH(C35,Match!S:S,0))</f>
        <v>6/4</v>
      </c>
      <c r="K35" t="str">
        <f>INDEX(Match!P:P,MATCH(C35,Match!S:S,0))</f>
        <v>Swansea</v>
      </c>
      <c r="L35" t="str">
        <f>INDEX(Match!W:W,MATCH(C35,Match!S:S,0))</f>
        <v>5/2</v>
      </c>
      <c r="M35" t="str">
        <f>INDEX(Match!X:X,MATCH(C35,Match!S:S,0))</f>
        <v>7/4</v>
      </c>
      <c r="N35" s="217">
        <f>INDEX(Match!Y:Y,MATCH(C35,Match!S:S,0))</f>
        <v>2.5</v>
      </c>
      <c r="O35" s="217">
        <f>INDEX(Match!Z:Z,MATCH(C35,Match!S:S,0))</f>
        <v>3.5</v>
      </c>
      <c r="P35" s="217">
        <f>INDEX(Match!AA:AA,MATCH(C35,Match!S:S,0))</f>
        <v>2.75</v>
      </c>
    </row>
    <row r="36" spans="1:16" x14ac:dyDescent="0.25">
      <c r="A36" s="105">
        <f>IF(Match!A36="","",Match!A36)</f>
        <v>43590</v>
      </c>
      <c r="B36" s="104" t="str">
        <f>IF(Match!C36="","",Match!C36)</f>
        <v>Champ</v>
      </c>
      <c r="C36" s="103" t="str">
        <f>IF(Match!S36="","",Match!S36)</f>
        <v>Brentford  v  Preston   11/10  5/2  11/4</v>
      </c>
      <c r="D36" s="103" t="str">
        <f>IF(Match!T36="","",Match!T36)</f>
        <v xml:space="preserve">Brentford 3-0 Preston </v>
      </c>
      <c r="E36" s="36" t="str">
        <f t="shared" si="3"/>
        <v>Brentford</v>
      </c>
      <c r="F36" s="37" t="str">
        <f t="shared" si="1"/>
        <v>11/10</v>
      </c>
      <c r="G36" s="220">
        <f t="shared" si="2"/>
        <v>2.1</v>
      </c>
      <c r="H36" s="37">
        <f>INDEX(Picks!T:T,MATCH(E36,Picks!R:R,0))</f>
        <v>1</v>
      </c>
      <c r="I36" t="str">
        <f>INDEX(Match!O:O,MATCH(C36,Match!S:S,0))</f>
        <v>Brentford</v>
      </c>
      <c r="J36" t="str">
        <f>INDEX(Match!V:V,MATCH(C36,Match!S:S,0))</f>
        <v>11/10</v>
      </c>
      <c r="K36" t="str">
        <f>INDEX(Match!P:P,MATCH(C36,Match!S:S,0))</f>
        <v>Preston</v>
      </c>
      <c r="L36" t="str">
        <f>INDEX(Match!W:W,MATCH(C36,Match!S:S,0))</f>
        <v>5/2</v>
      </c>
      <c r="M36" t="str">
        <f>INDEX(Match!X:X,MATCH(C36,Match!S:S,0))</f>
        <v>11/4</v>
      </c>
      <c r="N36" s="217">
        <f>INDEX(Match!Y:Y,MATCH(C36,Match!S:S,0))</f>
        <v>2.1</v>
      </c>
      <c r="O36" s="217">
        <f>INDEX(Match!Z:Z,MATCH(C36,Match!S:S,0))</f>
        <v>3.5</v>
      </c>
      <c r="P36" s="217">
        <f>INDEX(Match!AA:AA,MATCH(C36,Match!S:S,0))</f>
        <v>3.75</v>
      </c>
    </row>
    <row r="37" spans="1:16" x14ac:dyDescent="0.25">
      <c r="A37" s="105">
        <f>IF(Match!A37="","",Match!A37)</f>
        <v>43590</v>
      </c>
      <c r="B37" s="104" t="str">
        <f>IF(Match!C37="","",Match!C37)</f>
        <v>Champ</v>
      </c>
      <c r="C37" s="103" t="str">
        <f>IF(Match!S37="","",Match!S37)</f>
        <v>Derby  v  West Brom   5/4  5/2  9/4</v>
      </c>
      <c r="D37" s="103" t="str">
        <f>IF(Match!T37="","",Match!T37)</f>
        <v xml:space="preserve">Derby 3-1 West Brom </v>
      </c>
      <c r="E37" s="36" t="str">
        <f t="shared" si="3"/>
        <v>Derby</v>
      </c>
      <c r="F37" s="37" t="str">
        <f t="shared" si="1"/>
        <v>5/4</v>
      </c>
      <c r="G37" s="220">
        <f t="shared" si="2"/>
        <v>2.25</v>
      </c>
      <c r="H37" s="37">
        <f>INDEX(Picks!T:T,MATCH(E37,Picks!R:R,0))</f>
        <v>1</v>
      </c>
      <c r="I37" t="str">
        <f>INDEX(Match!O:O,MATCH(C37,Match!S:S,0))</f>
        <v>Derby</v>
      </c>
      <c r="J37" t="str">
        <f>INDEX(Match!V:V,MATCH(C37,Match!S:S,0))</f>
        <v>5/4</v>
      </c>
      <c r="K37" t="str">
        <f>INDEX(Match!P:P,MATCH(C37,Match!S:S,0))</f>
        <v>West Brom</v>
      </c>
      <c r="L37" t="str">
        <f>INDEX(Match!W:W,MATCH(C37,Match!S:S,0))</f>
        <v>5/2</v>
      </c>
      <c r="M37" t="str">
        <f>INDEX(Match!X:X,MATCH(C37,Match!S:S,0))</f>
        <v>9/4</v>
      </c>
      <c r="N37" s="217">
        <f>INDEX(Match!Y:Y,MATCH(C37,Match!S:S,0))</f>
        <v>2.25</v>
      </c>
      <c r="O37" s="217">
        <f>INDEX(Match!Z:Z,MATCH(C37,Match!S:S,0))</f>
        <v>3.5</v>
      </c>
      <c r="P37" s="217">
        <f>INDEX(Match!AA:AA,MATCH(C37,Match!S:S,0))</f>
        <v>3.25</v>
      </c>
    </row>
    <row r="38" spans="1:16" x14ac:dyDescent="0.25">
      <c r="A38" s="105">
        <f>IF(Match!A38="","",Match!A38)</f>
        <v>43590</v>
      </c>
      <c r="B38" s="104" t="str">
        <f>IF(Match!C38="","",Match!C38)</f>
        <v>Champ</v>
      </c>
      <c r="C38" s="103" t="str">
        <f>IF(Match!S38="","",Match!S38)</f>
        <v>Forest  v  Bolton   /  /  /</v>
      </c>
      <c r="D38" s="103" t="str">
        <f>IF(Match!T38="","",Match!T38)</f>
        <v xml:space="preserve">Forest 1-0 Bolton </v>
      </c>
      <c r="E38" s="36" t="str">
        <f t="shared" si="3"/>
        <v>Forest</v>
      </c>
      <c r="F38" s="37" t="str">
        <f t="shared" si="1"/>
        <v>/</v>
      </c>
      <c r="G38" s="220" t="e">
        <f t="shared" si="2"/>
        <v>#DIV/0!</v>
      </c>
      <c r="H38" s="37">
        <f>INDEX(Picks!T:T,MATCH(E38,Picks!R:R,0))</f>
        <v>1</v>
      </c>
      <c r="I38" t="str">
        <f>INDEX(Match!O:O,MATCH(C38,Match!S:S,0))</f>
        <v>Forest</v>
      </c>
      <c r="J38" t="str">
        <f>INDEX(Match!V:V,MATCH(C38,Match!S:S,0))</f>
        <v>/</v>
      </c>
      <c r="K38" t="str">
        <f>INDEX(Match!P:P,MATCH(C38,Match!S:S,0))</f>
        <v>Bolton</v>
      </c>
      <c r="L38" t="str">
        <f>INDEX(Match!W:W,MATCH(C38,Match!S:S,0))</f>
        <v>/</v>
      </c>
      <c r="M38" t="str">
        <f>INDEX(Match!X:X,MATCH(C38,Match!S:S,0))</f>
        <v>/</v>
      </c>
      <c r="N38" s="217" t="e">
        <f>INDEX(Match!Y:Y,MATCH(C38,Match!S:S,0))</f>
        <v>#DIV/0!</v>
      </c>
      <c r="O38" s="217" t="e">
        <f>INDEX(Match!Z:Z,MATCH(C38,Match!S:S,0))</f>
        <v>#DIV/0!</v>
      </c>
      <c r="P38" s="217" t="e">
        <f>INDEX(Match!AA:AA,MATCH(C38,Match!S:S,0))</f>
        <v>#DIV/0!</v>
      </c>
    </row>
    <row r="39" spans="1:16" x14ac:dyDescent="0.25">
      <c r="A39" s="105">
        <f>IF(Match!A39="","",Match!A39)</f>
        <v>43590</v>
      </c>
      <c r="B39" s="104" t="str">
        <f>IF(Match!C39="","",Match!C39)</f>
        <v>Champ</v>
      </c>
      <c r="C39" s="103" t="str">
        <f>IF(Match!S39="","",Match!S39)</f>
        <v>Hull  v  Bristol C   2/1  5/2  7/5</v>
      </c>
      <c r="D39" s="103" t="str">
        <f>IF(Match!T39="","",Match!T39)</f>
        <v xml:space="preserve">Hull 1-1 Bristol C </v>
      </c>
      <c r="E39" s="36" t="str">
        <f t="shared" si="3"/>
        <v>Hull</v>
      </c>
      <c r="F39" s="37" t="str">
        <f t="shared" si="1"/>
        <v>2/1</v>
      </c>
      <c r="G39" s="220">
        <f t="shared" si="2"/>
        <v>3</v>
      </c>
      <c r="H39" s="37">
        <f>INDEX(Picks!T:T,MATCH(E39,Picks!R:R,0))</f>
        <v>0</v>
      </c>
      <c r="I39" t="str">
        <f>INDEX(Match!O:O,MATCH(C39,Match!S:S,0))</f>
        <v>Hull</v>
      </c>
      <c r="J39" t="str">
        <f>INDEX(Match!V:V,MATCH(C39,Match!S:S,0))</f>
        <v>2/1</v>
      </c>
      <c r="K39" t="str">
        <f>INDEX(Match!P:P,MATCH(C39,Match!S:S,0))</f>
        <v>Bristol C</v>
      </c>
      <c r="L39" t="str">
        <f>INDEX(Match!W:W,MATCH(C39,Match!S:S,0))</f>
        <v>5/2</v>
      </c>
      <c r="M39" t="str">
        <f>INDEX(Match!X:X,MATCH(C39,Match!S:S,0))</f>
        <v>7/5</v>
      </c>
      <c r="N39" s="217">
        <f>INDEX(Match!Y:Y,MATCH(C39,Match!S:S,0))</f>
        <v>3</v>
      </c>
      <c r="O39" s="217">
        <f>INDEX(Match!Z:Z,MATCH(C39,Match!S:S,0))</f>
        <v>3.5</v>
      </c>
      <c r="P39" s="217">
        <f>INDEX(Match!AA:AA,MATCH(C39,Match!S:S,0))</f>
        <v>2.4</v>
      </c>
    </row>
    <row r="40" spans="1:16" x14ac:dyDescent="0.25">
      <c r="A40" s="105">
        <f>IF(Match!A40="","",Match!A40)</f>
        <v>43590</v>
      </c>
      <c r="B40" s="104" t="str">
        <f>IF(Match!C40="","",Match!C40)</f>
        <v>Champ</v>
      </c>
      <c r="C40" s="103" t="str">
        <f>IF(Match!S40="","",Match!S40)</f>
        <v>Ipswich  v  Leeds   4/1  37/13  9/13</v>
      </c>
      <c r="D40" s="103" t="str">
        <f>IF(Match!T40="","",Match!T40)</f>
        <v xml:space="preserve">Ipswich 3-2 Leeds </v>
      </c>
      <c r="E40" s="36" t="str">
        <f t="shared" si="3"/>
        <v>Ipswich</v>
      </c>
      <c r="F40" s="37" t="str">
        <f t="shared" si="1"/>
        <v>4/1</v>
      </c>
      <c r="G40" s="220">
        <f t="shared" si="2"/>
        <v>5</v>
      </c>
      <c r="H40" s="37">
        <f>INDEX(Picks!T:T,MATCH(E40,Picks!R:R,0))</f>
        <v>1</v>
      </c>
      <c r="I40" t="str">
        <f>INDEX(Match!O:O,MATCH(C40,Match!S:S,0))</f>
        <v>Ipswich</v>
      </c>
      <c r="J40" t="str">
        <f>INDEX(Match!V:V,MATCH(C40,Match!S:S,0))</f>
        <v>4/1</v>
      </c>
      <c r="K40" t="str">
        <f>INDEX(Match!P:P,MATCH(C40,Match!S:S,0))</f>
        <v>Leeds</v>
      </c>
      <c r="L40" t="str">
        <f>INDEX(Match!W:W,MATCH(C40,Match!S:S,0))</f>
        <v>37/13</v>
      </c>
      <c r="M40" t="str">
        <f>INDEX(Match!X:X,MATCH(C40,Match!S:S,0))</f>
        <v>9/13</v>
      </c>
      <c r="N40" s="217">
        <f>INDEX(Match!Y:Y,MATCH(C40,Match!S:S,0))</f>
        <v>5</v>
      </c>
      <c r="O40" s="217">
        <f>INDEX(Match!Z:Z,MATCH(C40,Match!S:S,0))</f>
        <v>3.8461538461538463</v>
      </c>
      <c r="P40" s="217">
        <f>INDEX(Match!AA:AA,MATCH(C40,Match!S:S,0))</f>
        <v>1.6923076923076923</v>
      </c>
    </row>
    <row r="41" spans="1:16" x14ac:dyDescent="0.25">
      <c r="A41" s="105">
        <f>IF(Match!A41="","",Match!A41)</f>
        <v>43590</v>
      </c>
      <c r="B41" s="104" t="str">
        <f>IF(Match!C41="","",Match!C41)</f>
        <v>Champ</v>
      </c>
      <c r="C41" s="103" t="str">
        <f>IF(Match!S41="","",Match!S41)</f>
        <v>Reading  v  Birmingham   7/4  12/5  13/8</v>
      </c>
      <c r="D41" s="103" t="str">
        <f>IF(Match!T41="","",Match!T41)</f>
        <v xml:space="preserve">Reading 0-0 Birmingham </v>
      </c>
      <c r="E41" s="36" t="str">
        <f t="shared" si="3"/>
        <v>Reading</v>
      </c>
      <c r="F41" s="37" t="str">
        <f t="shared" si="1"/>
        <v>7/4</v>
      </c>
      <c r="G41" s="220">
        <f t="shared" si="2"/>
        <v>2.75</v>
      </c>
      <c r="H41" s="37">
        <f>INDEX(Picks!T:T,MATCH(E41,Picks!R:R,0))</f>
        <v>0</v>
      </c>
      <c r="I41" t="str">
        <f>INDEX(Match!O:O,MATCH(C41,Match!S:S,0))</f>
        <v>Reading</v>
      </c>
      <c r="J41" t="str">
        <f>INDEX(Match!V:V,MATCH(C41,Match!S:S,0))</f>
        <v>7/4</v>
      </c>
      <c r="K41" t="str">
        <f>INDEX(Match!P:P,MATCH(C41,Match!S:S,0))</f>
        <v>Birmingham</v>
      </c>
      <c r="L41" t="str">
        <f>INDEX(Match!W:W,MATCH(C41,Match!S:S,0))</f>
        <v>12/5</v>
      </c>
      <c r="M41" t="str">
        <f>INDEX(Match!X:X,MATCH(C41,Match!S:S,0))</f>
        <v>13/8</v>
      </c>
      <c r="N41" s="217">
        <f>INDEX(Match!Y:Y,MATCH(C41,Match!S:S,0))</f>
        <v>2.75</v>
      </c>
      <c r="O41" s="217">
        <f>INDEX(Match!Z:Z,MATCH(C41,Match!S:S,0))</f>
        <v>3.4</v>
      </c>
      <c r="P41" s="217">
        <f>INDEX(Match!AA:AA,MATCH(C41,Match!S:S,0))</f>
        <v>2.625</v>
      </c>
    </row>
    <row r="42" spans="1:16" x14ac:dyDescent="0.25">
      <c r="A42" s="105">
        <f>IF(Match!A42="","",Match!A42)</f>
        <v>43590</v>
      </c>
      <c r="B42" s="104" t="str">
        <f>IF(Match!C42="","",Match!C42)</f>
        <v>Champ</v>
      </c>
      <c r="C42" s="103" t="str">
        <f>IF(Match!S42="","",Match!S42)</f>
        <v>Rotherham  v  Middlesbro   10/3  11/4  11/13</v>
      </c>
      <c r="D42" s="103" t="str">
        <f>IF(Match!T42="","",Match!T42)</f>
        <v xml:space="preserve">Rotherham 1-2 Middlesbro </v>
      </c>
      <c r="E42" s="36" t="str">
        <f t="shared" si="3"/>
        <v>Rotherham</v>
      </c>
      <c r="F42" s="37" t="str">
        <f t="shared" si="1"/>
        <v>10/3</v>
      </c>
      <c r="G42" s="220">
        <f t="shared" si="2"/>
        <v>4.3333333333333339</v>
      </c>
      <c r="H42" s="37">
        <f>INDEX(Picks!T:T,MATCH(E42,Picks!R:R,0))</f>
        <v>0</v>
      </c>
      <c r="I42" t="str">
        <f>INDEX(Match!O:O,MATCH(C42,Match!S:S,0))</f>
        <v>Rotherham</v>
      </c>
      <c r="J42" t="str">
        <f>INDEX(Match!V:V,MATCH(C42,Match!S:S,0))</f>
        <v>10/3</v>
      </c>
      <c r="K42" t="str">
        <f>INDEX(Match!P:P,MATCH(C42,Match!S:S,0))</f>
        <v>Middlesbro</v>
      </c>
      <c r="L42" t="str">
        <f>INDEX(Match!W:W,MATCH(C42,Match!S:S,0))</f>
        <v>11/4</v>
      </c>
      <c r="M42" t="str">
        <f>INDEX(Match!X:X,MATCH(C42,Match!S:S,0))</f>
        <v>11/13</v>
      </c>
      <c r="N42" s="217">
        <f>INDEX(Match!Y:Y,MATCH(C42,Match!S:S,0))</f>
        <v>4.3333333333333339</v>
      </c>
      <c r="O42" s="217">
        <f>INDEX(Match!Z:Z,MATCH(C42,Match!S:S,0))</f>
        <v>3.75</v>
      </c>
      <c r="P42" s="217">
        <f>INDEX(Match!AA:AA,MATCH(C42,Match!S:S,0))</f>
        <v>1.8461538461538463</v>
      </c>
    </row>
    <row r="43" spans="1:16" x14ac:dyDescent="0.25">
      <c r="A43" s="105">
        <f>IF(Match!A43="","",Match!A43)</f>
        <v>43590</v>
      </c>
      <c r="B43" s="104" t="str">
        <f>IF(Match!C43="","",Match!C43)</f>
        <v>Champ</v>
      </c>
      <c r="C43" s="103" t="str">
        <f>IF(Match!S43="","",Match!S43)</f>
        <v>Sheff W  v  QPR   11/13  27/10  7/2</v>
      </c>
      <c r="D43" s="103" t="str">
        <f>IF(Match!T43="","",Match!T43)</f>
        <v xml:space="preserve">Sheff W 1-2 QPR </v>
      </c>
      <c r="E43" s="36" t="str">
        <f t="shared" si="3"/>
        <v>Sheff W</v>
      </c>
      <c r="F43" s="37" t="str">
        <f t="shared" si="1"/>
        <v>11/13</v>
      </c>
      <c r="G43" s="220">
        <f t="shared" si="2"/>
        <v>1.8461538461538463</v>
      </c>
      <c r="H43" s="37">
        <f>INDEX(Picks!T:T,MATCH(E43,Picks!R:R,0))</f>
        <v>0</v>
      </c>
      <c r="I43" t="str">
        <f>INDEX(Match!O:O,MATCH(C43,Match!S:S,0))</f>
        <v>Sheff W</v>
      </c>
      <c r="J43" t="str">
        <f>INDEX(Match!V:V,MATCH(C43,Match!S:S,0))</f>
        <v>11/13</v>
      </c>
      <c r="K43" t="str">
        <f>INDEX(Match!P:P,MATCH(C43,Match!S:S,0))</f>
        <v>QPR</v>
      </c>
      <c r="L43" t="str">
        <f>INDEX(Match!W:W,MATCH(C43,Match!S:S,0))</f>
        <v>27/10</v>
      </c>
      <c r="M43" t="str">
        <f>INDEX(Match!X:X,MATCH(C43,Match!S:S,0))</f>
        <v>7/2</v>
      </c>
      <c r="N43" s="217">
        <f>INDEX(Match!Y:Y,MATCH(C43,Match!S:S,0))</f>
        <v>1.8461538461538463</v>
      </c>
      <c r="O43" s="217">
        <f>INDEX(Match!Z:Z,MATCH(C43,Match!S:S,0))</f>
        <v>3.7</v>
      </c>
      <c r="P43" s="217">
        <f>INDEX(Match!AA:AA,MATCH(C43,Match!S:S,0))</f>
        <v>4.5</v>
      </c>
    </row>
    <row r="44" spans="1:16" x14ac:dyDescent="0.25">
      <c r="A44" s="105">
        <f>IF(Match!A44="","",Match!A44)</f>
        <v>43590</v>
      </c>
      <c r="B44" s="104" t="str">
        <f>IF(Match!C44="","",Match!C44)</f>
        <v>Champ</v>
      </c>
      <c r="C44" s="103" t="str">
        <f>IF(Match!S44="","",Match!S44)</f>
        <v>Stoke  v  Sheff U   14/5  5/2  21/20</v>
      </c>
      <c r="D44" s="103" t="str">
        <f>IF(Match!T44="","",Match!T44)</f>
        <v xml:space="preserve">Stoke 2-2 Sheff U </v>
      </c>
      <c r="E44" s="36" t="str">
        <f t="shared" si="3"/>
        <v>Stoke</v>
      </c>
      <c r="F44" s="37" t="str">
        <f t="shared" si="1"/>
        <v>14/5</v>
      </c>
      <c r="G44" s="220">
        <f t="shared" si="2"/>
        <v>3.8</v>
      </c>
      <c r="H44" s="37">
        <f>INDEX(Picks!T:T,MATCH(E44,Picks!R:R,0))</f>
        <v>0</v>
      </c>
      <c r="I44" t="str">
        <f>INDEX(Match!O:O,MATCH(C44,Match!S:S,0))</f>
        <v>Stoke</v>
      </c>
      <c r="J44" t="str">
        <f>INDEX(Match!V:V,MATCH(C44,Match!S:S,0))</f>
        <v>14/5</v>
      </c>
      <c r="K44" t="str">
        <f>INDEX(Match!P:P,MATCH(C44,Match!S:S,0))</f>
        <v>Sheff U</v>
      </c>
      <c r="L44" t="str">
        <f>INDEX(Match!W:W,MATCH(C44,Match!S:S,0))</f>
        <v>5/2</v>
      </c>
      <c r="M44" t="str">
        <f>INDEX(Match!X:X,MATCH(C44,Match!S:S,0))</f>
        <v>21/20</v>
      </c>
      <c r="N44" s="217">
        <f>INDEX(Match!Y:Y,MATCH(C44,Match!S:S,0))</f>
        <v>3.8</v>
      </c>
      <c r="O44" s="217">
        <f>INDEX(Match!Z:Z,MATCH(C44,Match!S:S,0))</f>
        <v>3.5</v>
      </c>
      <c r="P44" s="217">
        <f>INDEX(Match!AA:AA,MATCH(C44,Match!S:S,0))</f>
        <v>2.0499999999999998</v>
      </c>
    </row>
    <row r="45" spans="1:16" x14ac:dyDescent="0.25">
      <c r="A45" s="105">
        <f>IF(Match!A45="","",Match!A45)</f>
        <v>43590</v>
      </c>
      <c r="B45" s="104" t="str">
        <f>IF(Match!C45="","",Match!C45)</f>
        <v>Champ</v>
      </c>
      <c r="C45" s="103" t="str">
        <f>IF(Match!S45="","",Match!S45)</f>
        <v>Villa  v  Norwich   6/4  13/5  2/1</v>
      </c>
      <c r="D45" s="103" t="str">
        <f>IF(Match!T45="","",Match!T45)</f>
        <v xml:space="preserve">Villa 1-2 Norwich </v>
      </c>
      <c r="E45" s="36" t="str">
        <f t="shared" si="3"/>
        <v>Villa</v>
      </c>
      <c r="F45" s="37" t="str">
        <f t="shared" si="1"/>
        <v>6/4</v>
      </c>
      <c r="G45" s="220">
        <f t="shared" si="2"/>
        <v>2.5</v>
      </c>
      <c r="H45" s="37">
        <f>INDEX(Picks!T:T,MATCH(E45,Picks!R:R,0))</f>
        <v>0</v>
      </c>
      <c r="I45" t="str">
        <f>INDEX(Match!O:O,MATCH(C45,Match!S:S,0))</f>
        <v>Villa</v>
      </c>
      <c r="J45" t="str">
        <f>INDEX(Match!V:V,MATCH(C45,Match!S:S,0))</f>
        <v>6/4</v>
      </c>
      <c r="K45" t="str">
        <f>INDEX(Match!P:P,MATCH(C45,Match!S:S,0))</f>
        <v>Norwich</v>
      </c>
      <c r="L45" t="str">
        <f>INDEX(Match!W:W,MATCH(C45,Match!S:S,0))</f>
        <v>13/5</v>
      </c>
      <c r="M45" t="str">
        <f>INDEX(Match!X:X,MATCH(C45,Match!S:S,0))</f>
        <v>2/1</v>
      </c>
      <c r="N45" s="217">
        <f>INDEX(Match!Y:Y,MATCH(C45,Match!S:S,0))</f>
        <v>2.5</v>
      </c>
      <c r="O45" s="217">
        <f>INDEX(Match!Z:Z,MATCH(C45,Match!S:S,0))</f>
        <v>3.6</v>
      </c>
      <c r="P45" s="217">
        <f>INDEX(Match!AA:AA,MATCH(C45,Match!S:S,0))</f>
        <v>3</v>
      </c>
    </row>
    <row r="46" spans="1:16" x14ac:dyDescent="0.25">
      <c r="A46" s="105">
        <f>IF(Match!A46="","",Match!A46)</f>
        <v>43590</v>
      </c>
      <c r="B46" s="104" t="str">
        <f>IF(Match!C46="","",Match!C46)</f>
        <v>Champ</v>
      </c>
      <c r="C46" s="103" t="str">
        <f>IF(Match!S46="","",Match!S46)</f>
        <v>Wigan  v  Millwall   13/10  12/5  21/10</v>
      </c>
      <c r="D46" s="103" t="str">
        <f>IF(Match!T46="","",Match!T46)</f>
        <v xml:space="preserve">Wigan 1-0 Millwall </v>
      </c>
      <c r="E46" s="36" t="str">
        <f t="shared" si="3"/>
        <v>Wigan</v>
      </c>
      <c r="F46" s="37" t="str">
        <f>IF(C46="","",J46)</f>
        <v>13/10</v>
      </c>
      <c r="G46" s="220">
        <f t="shared" si="2"/>
        <v>2.2999999999999998</v>
      </c>
      <c r="H46" s="37">
        <f>INDEX(Picks!T:T,MATCH(E46,Picks!R:R,0))</f>
        <v>1</v>
      </c>
      <c r="I46" t="str">
        <f>INDEX(Match!O:O,MATCH(C46,Match!S:S,0))</f>
        <v>Wigan</v>
      </c>
      <c r="J46" t="str">
        <f>INDEX(Match!V:V,MATCH(C46,Match!S:S,0))</f>
        <v>13/10</v>
      </c>
      <c r="K46" t="str">
        <f>INDEX(Match!P:P,MATCH(C46,Match!S:S,0))</f>
        <v>Millwall</v>
      </c>
      <c r="L46" t="str">
        <f>INDEX(Match!W:W,MATCH(C46,Match!S:S,0))</f>
        <v>12/5</v>
      </c>
      <c r="M46" t="str">
        <f>INDEX(Match!X:X,MATCH(C46,Match!S:S,0))</f>
        <v>21/10</v>
      </c>
      <c r="N46" s="217">
        <f>INDEX(Match!Y:Y,MATCH(C46,Match!S:S,0))</f>
        <v>2.2999999999999998</v>
      </c>
      <c r="O46" s="217">
        <f>INDEX(Match!Z:Z,MATCH(C46,Match!S:S,0))</f>
        <v>3.4</v>
      </c>
      <c r="P46" s="217">
        <f>INDEX(Match!AA:AA,MATCH(C46,Match!S:S,0))</f>
        <v>3.1</v>
      </c>
    </row>
    <row r="47" spans="1:16" x14ac:dyDescent="0.25">
      <c r="A47" s="105" t="str">
        <f>IF(Match!A47="","",Match!A47)</f>
        <v/>
      </c>
      <c r="B47" s="104" t="str">
        <f>IF(Match!C47="","",Match!C47)</f>
        <v/>
      </c>
      <c r="C47" s="103" t="str">
        <f>IF(Match!S47="","",Match!S47)</f>
        <v/>
      </c>
      <c r="D47" s="103" t="str">
        <f>IF(Match!T47="","",Match!T47)</f>
        <v xml:space="preserve"> - </v>
      </c>
      <c r="E47" s="36" t="str">
        <f>IF(C47="","",I47)</f>
        <v/>
      </c>
      <c r="F47" s="37" t="str">
        <f>IF(C47="","",J47)</f>
        <v/>
      </c>
      <c r="G47" s="220" t="str">
        <f t="shared" si="2"/>
        <v/>
      </c>
      <c r="H47" s="37" t="e">
        <f>INDEX(Picks!T:T,MATCH(E47,Picks!R:R,0))</f>
        <v>#N/A</v>
      </c>
      <c r="I47" t="str">
        <f>INDEX(Match!O:O,MATCH(C47,Match!S:S,0))</f>
        <v/>
      </c>
      <c r="J47" t="str">
        <f>INDEX(Match!V:V,MATCH(C47,Match!S:S,0))</f>
        <v>/</v>
      </c>
      <c r="K47" t="str">
        <f>INDEX(Match!P:P,MATCH(C47,Match!S:S,0))</f>
        <v/>
      </c>
      <c r="L47" t="str">
        <f>INDEX(Match!W:W,MATCH(C47,Match!S:S,0))</f>
        <v>/</v>
      </c>
      <c r="M47" t="str">
        <f>INDEX(Match!X:X,MATCH(C47,Match!S:S,0))</f>
        <v>/</v>
      </c>
      <c r="N47" s="217" t="str">
        <f>INDEX(Match!Y:Y,MATCH(C47,Match!S:S,0))</f>
        <v/>
      </c>
      <c r="O47" s="217" t="str">
        <f>INDEX(Match!Z:Z,MATCH(C47,Match!S:S,0))</f>
        <v/>
      </c>
      <c r="P47" s="217" t="str">
        <f>INDEX(Match!AA:AA,MATCH(C47,Match!S:S,0))</f>
        <v/>
      </c>
    </row>
    <row r="48" spans="1:16" x14ac:dyDescent="0.25">
      <c r="C48" s="9"/>
      <c r="D48" s="9"/>
      <c r="E48" s="182" t="str">
        <f t="shared" ref="E48:E93" si="4">IF(C2="","",I2&amp;" draw")</f>
        <v>Everton draw</v>
      </c>
      <c r="F48" s="183" t="str">
        <f t="shared" ref="F48:F93" si="5">IF(C2="","",L2)</f>
        <v>3/1</v>
      </c>
      <c r="G48" s="221">
        <f>IF(C2="","",O2)</f>
        <v>4</v>
      </c>
      <c r="H48" s="183">
        <f>INDEX(Picks!T:T,MATCH(E48,Picks!R:R,0))</f>
        <v>0</v>
      </c>
    </row>
    <row r="49" spans="5:8" x14ac:dyDescent="0.25">
      <c r="E49" s="182" t="str">
        <f t="shared" si="4"/>
        <v>Bournemouth draw</v>
      </c>
      <c r="F49" s="183" t="str">
        <f t="shared" si="5"/>
        <v>3/1</v>
      </c>
      <c r="G49" s="221">
        <f t="shared" ref="G49:G93" si="6">IF(C3="","",O3)</f>
        <v>4</v>
      </c>
      <c r="H49" s="183">
        <f>INDEX(Picks!T:T,MATCH(E49,Picks!R:R,0))</f>
        <v>0</v>
      </c>
    </row>
    <row r="50" spans="5:8" x14ac:dyDescent="0.25">
      <c r="E50" s="182" t="str">
        <f t="shared" si="4"/>
        <v>Cardiff draw</v>
      </c>
      <c r="F50" s="183" t="str">
        <f t="shared" si="5"/>
        <v>9/4</v>
      </c>
      <c r="G50" s="221">
        <f t="shared" si="6"/>
        <v>3.25</v>
      </c>
      <c r="H50" s="183">
        <f>INDEX(Picks!T:T,MATCH(E50,Picks!R:R,0))</f>
        <v>0</v>
      </c>
    </row>
    <row r="51" spans="5:8" x14ac:dyDescent="0.25">
      <c r="E51" s="182" t="str">
        <f t="shared" si="4"/>
        <v>Newcastle draw</v>
      </c>
      <c r="F51" s="183" t="str">
        <f t="shared" si="5"/>
        <v>4/1</v>
      </c>
      <c r="G51" s="221">
        <f t="shared" si="6"/>
        <v>5</v>
      </c>
      <c r="H51" s="183">
        <f>INDEX(Picks!T:T,MATCH(E51,Picks!R:R,0))</f>
        <v>0</v>
      </c>
    </row>
    <row r="52" spans="5:8" x14ac:dyDescent="0.25">
      <c r="E52" s="182" t="str">
        <f t="shared" si="4"/>
        <v>West Ham draw</v>
      </c>
      <c r="F52" s="183" t="str">
        <f t="shared" si="5"/>
        <v>5/2</v>
      </c>
      <c r="G52" s="221">
        <f t="shared" si="6"/>
        <v>3.5</v>
      </c>
      <c r="H52" s="183">
        <f>INDEX(Picks!T:T,MATCH(E52,Picks!R:R,0))</f>
        <v>0</v>
      </c>
    </row>
    <row r="53" spans="5:8" x14ac:dyDescent="0.25">
      <c r="E53" s="182" t="str">
        <f t="shared" si="4"/>
        <v>Wolves draw</v>
      </c>
      <c r="F53" s="183" t="str">
        <f t="shared" si="5"/>
        <v>16/5</v>
      </c>
      <c r="G53" s="221">
        <f t="shared" si="6"/>
        <v>4.2</v>
      </c>
      <c r="H53" s="183">
        <f>INDEX(Picks!T:T,MATCH(E53,Picks!R:R,0))</f>
        <v>0</v>
      </c>
    </row>
    <row r="54" spans="5:8" x14ac:dyDescent="0.25">
      <c r="E54" s="182" t="str">
        <f t="shared" si="4"/>
        <v>Blackpool draw</v>
      </c>
      <c r="F54" s="183" t="str">
        <f t="shared" si="5"/>
        <v>23/10</v>
      </c>
      <c r="G54" s="221">
        <f t="shared" si="6"/>
        <v>3.3</v>
      </c>
      <c r="H54" s="183">
        <f>INDEX(Picks!T:T,MATCH(E54,Picks!R:R,0))</f>
        <v>0</v>
      </c>
    </row>
    <row r="55" spans="5:8" x14ac:dyDescent="0.25">
      <c r="E55" s="182" t="str">
        <f t="shared" si="4"/>
        <v>Bradford draw</v>
      </c>
      <c r="F55" s="183" t="str">
        <f t="shared" si="5"/>
        <v>12/5</v>
      </c>
      <c r="G55" s="221">
        <f t="shared" si="6"/>
        <v>3.4</v>
      </c>
      <c r="H55" s="183">
        <f>INDEX(Picks!T:T,MATCH(E55,Picks!R:R,0))</f>
        <v>1</v>
      </c>
    </row>
    <row r="56" spans="5:8" x14ac:dyDescent="0.25">
      <c r="E56" s="182" t="str">
        <f t="shared" si="4"/>
        <v>Bristol R draw</v>
      </c>
      <c r="F56" s="183" t="str">
        <f t="shared" si="5"/>
        <v>29/10</v>
      </c>
      <c r="G56" s="221">
        <f t="shared" si="6"/>
        <v>3.9</v>
      </c>
      <c r="H56" s="183">
        <f>INDEX(Picks!T:T,MATCH(E56,Picks!R:R,0))</f>
        <v>0</v>
      </c>
    </row>
    <row r="57" spans="5:8" x14ac:dyDescent="0.25">
      <c r="E57" s="182" t="str">
        <f t="shared" si="4"/>
        <v>Charlton draw</v>
      </c>
      <c r="F57" s="183" t="str">
        <f t="shared" si="5"/>
        <v>27/10</v>
      </c>
      <c r="G57" s="221">
        <f t="shared" si="6"/>
        <v>3.7</v>
      </c>
      <c r="H57" s="183">
        <f>INDEX(Picks!T:T,MATCH(E57,Picks!R:R,0))</f>
        <v>0</v>
      </c>
    </row>
    <row r="58" spans="5:8" x14ac:dyDescent="0.25">
      <c r="E58" s="182" t="str">
        <f t="shared" si="4"/>
        <v>Doncaster draw</v>
      </c>
      <c r="F58" s="183" t="str">
        <f t="shared" si="5"/>
        <v>12/5</v>
      </c>
      <c r="G58" s="221">
        <f t="shared" si="6"/>
        <v>3.4</v>
      </c>
      <c r="H58" s="183">
        <f>INDEX(Picks!T:T,MATCH(E58,Picks!R:R,0))</f>
        <v>0</v>
      </c>
    </row>
    <row r="59" spans="5:8" x14ac:dyDescent="0.25">
      <c r="E59" s="182" t="str">
        <f t="shared" si="4"/>
        <v>Luton draw</v>
      </c>
      <c r="F59" s="183" t="str">
        <f t="shared" si="5"/>
        <v>4/1</v>
      </c>
      <c r="G59" s="221">
        <f t="shared" si="6"/>
        <v>5</v>
      </c>
      <c r="H59" s="183">
        <f>INDEX(Picks!T:T,MATCH(E59,Picks!R:R,0))</f>
        <v>0</v>
      </c>
    </row>
    <row r="60" spans="5:8" x14ac:dyDescent="0.25">
      <c r="E60" s="182" t="str">
        <f t="shared" si="4"/>
        <v>Peterborough draw</v>
      </c>
      <c r="F60" s="183" t="str">
        <f t="shared" si="5"/>
        <v>5/2</v>
      </c>
      <c r="G60" s="221">
        <f t="shared" si="6"/>
        <v>3.5</v>
      </c>
      <c r="H60" s="183">
        <f>INDEX(Picks!T:T,MATCH(E60,Picks!R:R,0))</f>
        <v>0</v>
      </c>
    </row>
    <row r="61" spans="5:8" x14ac:dyDescent="0.25">
      <c r="E61" s="182" t="str">
        <f t="shared" si="4"/>
        <v>Plymouth draw</v>
      </c>
      <c r="F61" s="183" t="str">
        <f t="shared" si="5"/>
        <v>12/5</v>
      </c>
      <c r="G61" s="221">
        <f t="shared" si="6"/>
        <v>3.4</v>
      </c>
      <c r="H61" s="183">
        <f>INDEX(Picks!T:T,MATCH(E61,Picks!R:R,0))</f>
        <v>0</v>
      </c>
    </row>
    <row r="62" spans="5:8" x14ac:dyDescent="0.25">
      <c r="E62" s="182" t="str">
        <f t="shared" si="4"/>
        <v>Portsmouth draw</v>
      </c>
      <c r="F62" s="183" t="str">
        <f t="shared" si="5"/>
        <v>4/1</v>
      </c>
      <c r="G62" s="221">
        <f t="shared" si="6"/>
        <v>5</v>
      </c>
      <c r="H62" s="183">
        <f>INDEX(Picks!T:T,MATCH(E62,Picks!R:R,0))</f>
        <v>1</v>
      </c>
    </row>
    <row r="63" spans="5:8" x14ac:dyDescent="0.25">
      <c r="E63" s="182" t="str">
        <f t="shared" si="4"/>
        <v>Shrewsbury draw</v>
      </c>
      <c r="F63" s="183" t="str">
        <f t="shared" si="5"/>
        <v>23/10</v>
      </c>
      <c r="G63" s="221">
        <f t="shared" si="6"/>
        <v>3.3</v>
      </c>
      <c r="H63" s="183">
        <f>INDEX(Picks!T:T,MATCH(E63,Picks!R:R,0))</f>
        <v>1</v>
      </c>
    </row>
    <row r="64" spans="5:8" x14ac:dyDescent="0.25">
      <c r="E64" s="182" t="str">
        <f t="shared" si="4"/>
        <v>Southend draw</v>
      </c>
      <c r="F64" s="183" t="str">
        <f t="shared" si="5"/>
        <v>12/5</v>
      </c>
      <c r="G64" s="221">
        <f t="shared" si="6"/>
        <v>3.4</v>
      </c>
      <c r="H64" s="183">
        <f>INDEX(Picks!T:T,MATCH(E64,Picks!R:R,0))</f>
        <v>0</v>
      </c>
    </row>
    <row r="65" spans="5:8" x14ac:dyDescent="0.25">
      <c r="E65" s="182" t="str">
        <f t="shared" si="4"/>
        <v>Wycombe draw</v>
      </c>
      <c r="F65" s="183" t="str">
        <f t="shared" si="5"/>
        <v>23/10</v>
      </c>
      <c r="G65" s="221">
        <f t="shared" si="6"/>
        <v>3.3</v>
      </c>
      <c r="H65" s="183">
        <f>INDEX(Picks!T:T,MATCH(E65,Picks!R:R,0))</f>
        <v>0</v>
      </c>
    </row>
    <row r="66" spans="5:8" x14ac:dyDescent="0.25">
      <c r="E66" s="182" t="str">
        <f t="shared" si="4"/>
        <v>Bury draw</v>
      </c>
      <c r="F66" s="183" t="str">
        <f t="shared" si="5"/>
        <v>10/3</v>
      </c>
      <c r="G66" s="221">
        <f t="shared" si="6"/>
        <v>4.3333333333333339</v>
      </c>
      <c r="H66" s="183">
        <f>INDEX(Picks!T:T,MATCH(E66,Picks!R:R,0))</f>
        <v>1</v>
      </c>
    </row>
    <row r="67" spans="5:8" x14ac:dyDescent="0.25">
      <c r="E67" s="182" t="str">
        <f t="shared" si="4"/>
        <v>Crawley draw</v>
      </c>
      <c r="F67" s="183" t="str">
        <f t="shared" si="5"/>
        <v>13/5</v>
      </c>
      <c r="G67" s="221">
        <f t="shared" si="6"/>
        <v>3.6</v>
      </c>
      <c r="H67" s="183">
        <f>INDEX(Picks!T:T,MATCH(E67,Picks!R:R,0))</f>
        <v>0</v>
      </c>
    </row>
    <row r="68" spans="5:8" x14ac:dyDescent="0.25">
      <c r="E68" s="182" t="str">
        <f t="shared" si="4"/>
        <v>Forest Green draw</v>
      </c>
      <c r="F68" s="183" t="str">
        <f t="shared" si="5"/>
        <v>12/5</v>
      </c>
      <c r="G68" s="221">
        <f t="shared" si="6"/>
        <v>3.4</v>
      </c>
      <c r="H68" s="183">
        <f>INDEX(Picks!T:T,MATCH(E68,Picks!R:R,0))</f>
        <v>1</v>
      </c>
    </row>
    <row r="69" spans="5:8" x14ac:dyDescent="0.25">
      <c r="E69" s="182" t="str">
        <f t="shared" si="4"/>
        <v>Grimsby draw</v>
      </c>
      <c r="F69" s="183" t="str">
        <f t="shared" si="5"/>
        <v>13/5</v>
      </c>
      <c r="G69" s="221">
        <f t="shared" si="6"/>
        <v>3.6</v>
      </c>
      <c r="H69" s="183">
        <f>INDEX(Picks!T:T,MATCH(E69,Picks!R:R,0))</f>
        <v>0</v>
      </c>
    </row>
    <row r="70" spans="5:8" x14ac:dyDescent="0.25">
      <c r="E70" s="182" t="str">
        <f t="shared" si="4"/>
        <v>Lincoln draw</v>
      </c>
      <c r="F70" s="183" t="str">
        <f t="shared" si="5"/>
        <v>12/5</v>
      </c>
      <c r="G70" s="221">
        <f t="shared" si="6"/>
        <v>3.4</v>
      </c>
      <c r="H70" s="183">
        <f>INDEX(Picks!T:T,MATCH(E70,Picks!R:R,0))</f>
        <v>0</v>
      </c>
    </row>
    <row r="71" spans="5:8" x14ac:dyDescent="0.25">
      <c r="E71" s="182" t="str">
        <f t="shared" si="4"/>
        <v>Macclesfield draw</v>
      </c>
      <c r="F71" s="183" t="str">
        <f t="shared" si="5"/>
        <v>9/4</v>
      </c>
      <c r="G71" s="221">
        <f t="shared" si="6"/>
        <v>3.25</v>
      </c>
      <c r="H71" s="183">
        <f>INDEX(Picks!T:T,MATCH(E71,Picks!R:R,0))</f>
        <v>1</v>
      </c>
    </row>
    <row r="72" spans="5:8" x14ac:dyDescent="0.25">
      <c r="E72" s="182" t="str">
        <f t="shared" si="4"/>
        <v>MK Dons draw</v>
      </c>
      <c r="F72" s="183" t="str">
        <f t="shared" si="5"/>
        <v>23/10</v>
      </c>
      <c r="G72" s="221">
        <f t="shared" si="6"/>
        <v>3.3</v>
      </c>
      <c r="H72" s="183">
        <f>INDEX(Picks!T:T,MATCH(E72,Picks!R:R,0))</f>
        <v>0</v>
      </c>
    </row>
    <row r="73" spans="5:8" x14ac:dyDescent="0.25">
      <c r="E73" s="182" t="str">
        <f t="shared" si="4"/>
        <v>Morecambe draw</v>
      </c>
      <c r="F73" s="183" t="str">
        <f t="shared" si="5"/>
        <v>13/5</v>
      </c>
      <c r="G73" s="221">
        <f t="shared" si="6"/>
        <v>3.6</v>
      </c>
      <c r="H73" s="183">
        <f>INDEX(Picks!T:T,MATCH(E73,Picks!R:R,0))</f>
        <v>1</v>
      </c>
    </row>
    <row r="74" spans="5:8" x14ac:dyDescent="0.25">
      <c r="E74" s="182" t="str">
        <f t="shared" si="4"/>
        <v>Oldham draw</v>
      </c>
      <c r="F74" s="183" t="str">
        <f t="shared" si="5"/>
        <v>13/5</v>
      </c>
      <c r="G74" s="221">
        <f t="shared" si="6"/>
        <v>3.6</v>
      </c>
      <c r="H74" s="183">
        <f>INDEX(Picks!T:T,MATCH(E74,Picks!R:R,0))</f>
        <v>0</v>
      </c>
    </row>
    <row r="75" spans="5:8" x14ac:dyDescent="0.25">
      <c r="E75" s="182" t="str">
        <f t="shared" si="4"/>
        <v>Stevenage draw</v>
      </c>
      <c r="F75" s="183" t="str">
        <f t="shared" si="5"/>
        <v>16/5</v>
      </c>
      <c r="G75" s="221">
        <f t="shared" si="6"/>
        <v>4.2</v>
      </c>
      <c r="H75" s="183">
        <f>INDEX(Picks!T:T,MATCH(E75,Picks!R:R,0))</f>
        <v>0</v>
      </c>
    </row>
    <row r="76" spans="5:8" x14ac:dyDescent="0.25">
      <c r="E76" s="182" t="str">
        <f t="shared" si="4"/>
        <v>Swindon draw</v>
      </c>
      <c r="F76" s="183" t="str">
        <f t="shared" si="5"/>
        <v>12/5</v>
      </c>
      <c r="G76" s="221">
        <f t="shared" si="6"/>
        <v>3.4</v>
      </c>
      <c r="H76" s="183">
        <f>INDEX(Picks!T:T,MATCH(E76,Picks!R:R,0))</f>
        <v>0</v>
      </c>
    </row>
    <row r="77" spans="5:8" x14ac:dyDescent="0.25">
      <c r="E77" s="182" t="str">
        <f t="shared" si="4"/>
        <v>Yeovil draw</v>
      </c>
      <c r="F77" s="183" t="str">
        <f t="shared" si="5"/>
        <v>13/5</v>
      </c>
      <c r="G77" s="221">
        <f t="shared" si="6"/>
        <v>3.6</v>
      </c>
      <c r="H77" s="183">
        <f>INDEX(Picks!T:T,MATCH(E77,Picks!R:R,0))</f>
        <v>1</v>
      </c>
    </row>
    <row r="78" spans="5:8" x14ac:dyDescent="0.25">
      <c r="E78" s="182" t="str">
        <f t="shared" si="4"/>
        <v>Arsenal draw</v>
      </c>
      <c r="F78" s="183" t="str">
        <f t="shared" si="5"/>
        <v>19/5</v>
      </c>
      <c r="G78" s="221">
        <f t="shared" si="6"/>
        <v>4.8</v>
      </c>
      <c r="H78" s="183">
        <f>INDEX(Picks!T:T,MATCH(E78,Picks!R:R,0))</f>
        <v>1</v>
      </c>
    </row>
    <row r="79" spans="5:8" x14ac:dyDescent="0.25">
      <c r="E79" s="182" t="str">
        <f t="shared" si="4"/>
        <v>Chelsea draw</v>
      </c>
      <c r="F79" s="183" t="str">
        <f t="shared" si="5"/>
        <v>17/4</v>
      </c>
      <c r="G79" s="221">
        <f t="shared" si="6"/>
        <v>5.25</v>
      </c>
      <c r="H79" s="183">
        <f>INDEX(Picks!T:T,MATCH(E79,Picks!R:R,0))</f>
        <v>0</v>
      </c>
    </row>
    <row r="80" spans="5:8" x14ac:dyDescent="0.25">
      <c r="E80" s="182" t="str">
        <f t="shared" si="4"/>
        <v>Huddersfield draw</v>
      </c>
      <c r="F80" s="183" t="str">
        <f t="shared" si="5"/>
        <v>17/4</v>
      </c>
      <c r="G80" s="221">
        <f t="shared" si="6"/>
        <v>5.25</v>
      </c>
      <c r="H80" s="183">
        <f>INDEX(Picks!T:T,MATCH(E80,Picks!R:R,0))</f>
        <v>1</v>
      </c>
    </row>
    <row r="81" spans="3:8" x14ac:dyDescent="0.25">
      <c r="E81" s="182" t="str">
        <f t="shared" si="4"/>
        <v>Blackburn draw</v>
      </c>
      <c r="F81" s="183" t="str">
        <f t="shared" si="5"/>
        <v>5/2</v>
      </c>
      <c r="G81" s="221">
        <f t="shared" si="6"/>
        <v>3.5</v>
      </c>
      <c r="H81" s="183">
        <f>INDEX(Picks!T:T,MATCH(E81,Picks!R:R,0))</f>
        <v>1</v>
      </c>
    </row>
    <row r="82" spans="3:8" x14ac:dyDescent="0.25">
      <c r="E82" s="182" t="str">
        <f t="shared" si="4"/>
        <v>Brentford draw</v>
      </c>
      <c r="F82" s="183" t="str">
        <f t="shared" si="5"/>
        <v>5/2</v>
      </c>
      <c r="G82" s="221">
        <f t="shared" si="6"/>
        <v>3.5</v>
      </c>
      <c r="H82" s="183">
        <f>INDEX(Picks!T:T,MATCH(E82,Picks!R:R,0))</f>
        <v>0</v>
      </c>
    </row>
    <row r="83" spans="3:8" x14ac:dyDescent="0.25">
      <c r="E83" s="182" t="str">
        <f t="shared" si="4"/>
        <v>Derby draw</v>
      </c>
      <c r="F83" s="183" t="str">
        <f t="shared" si="5"/>
        <v>5/2</v>
      </c>
      <c r="G83" s="221">
        <f t="shared" si="6"/>
        <v>3.5</v>
      </c>
      <c r="H83" s="183">
        <f>INDEX(Picks!T:T,MATCH(E83,Picks!R:R,0))</f>
        <v>0</v>
      </c>
    </row>
    <row r="84" spans="3:8" x14ac:dyDescent="0.25">
      <c r="E84" s="182" t="str">
        <f t="shared" si="4"/>
        <v>Forest draw</v>
      </c>
      <c r="F84" s="183" t="str">
        <f t="shared" si="5"/>
        <v>/</v>
      </c>
      <c r="G84" s="221" t="e">
        <f t="shared" si="6"/>
        <v>#DIV/0!</v>
      </c>
      <c r="H84" s="183">
        <f>INDEX(Picks!T:T,MATCH(E84,Picks!R:R,0))</f>
        <v>0</v>
      </c>
    </row>
    <row r="85" spans="3:8" x14ac:dyDescent="0.25">
      <c r="E85" s="182" t="str">
        <f t="shared" si="4"/>
        <v>Hull draw</v>
      </c>
      <c r="F85" s="183" t="str">
        <f t="shared" si="5"/>
        <v>5/2</v>
      </c>
      <c r="G85" s="221">
        <f t="shared" si="6"/>
        <v>3.5</v>
      </c>
      <c r="H85" s="183">
        <f>INDEX(Picks!T:T,MATCH(E85,Picks!R:R,0))</f>
        <v>1</v>
      </c>
    </row>
    <row r="86" spans="3:8" x14ac:dyDescent="0.25">
      <c r="E86" s="182" t="str">
        <f t="shared" si="4"/>
        <v>Ipswich draw</v>
      </c>
      <c r="F86" s="183" t="str">
        <f t="shared" si="5"/>
        <v>37/13</v>
      </c>
      <c r="G86" s="221">
        <f t="shared" si="6"/>
        <v>3.8461538461538463</v>
      </c>
      <c r="H86" s="183">
        <f>INDEX(Picks!T:T,MATCH(E86,Picks!R:R,0))</f>
        <v>0</v>
      </c>
    </row>
    <row r="87" spans="3:8" x14ac:dyDescent="0.25">
      <c r="E87" s="182" t="str">
        <f t="shared" si="4"/>
        <v>Reading draw</v>
      </c>
      <c r="F87" s="183" t="str">
        <f t="shared" si="5"/>
        <v>12/5</v>
      </c>
      <c r="G87" s="221">
        <f t="shared" si="6"/>
        <v>3.4</v>
      </c>
      <c r="H87" s="183">
        <f>INDEX(Picks!T:T,MATCH(E87,Picks!R:R,0))</f>
        <v>1</v>
      </c>
    </row>
    <row r="88" spans="3:8" x14ac:dyDescent="0.25">
      <c r="E88" s="182" t="str">
        <f t="shared" si="4"/>
        <v>Rotherham draw</v>
      </c>
      <c r="F88" s="183" t="str">
        <f t="shared" si="5"/>
        <v>11/4</v>
      </c>
      <c r="G88" s="221">
        <f t="shared" si="6"/>
        <v>3.75</v>
      </c>
      <c r="H88" s="183">
        <f>INDEX(Picks!T:T,MATCH(E88,Picks!R:R,0))</f>
        <v>0</v>
      </c>
    </row>
    <row r="89" spans="3:8" x14ac:dyDescent="0.25">
      <c r="E89" s="182" t="str">
        <f t="shared" si="4"/>
        <v>Sheff W draw</v>
      </c>
      <c r="F89" s="183" t="str">
        <f t="shared" si="5"/>
        <v>27/10</v>
      </c>
      <c r="G89" s="221">
        <f t="shared" si="6"/>
        <v>3.7</v>
      </c>
      <c r="H89" s="183">
        <f>INDEX(Picks!T:T,MATCH(E89,Picks!R:R,0))</f>
        <v>0</v>
      </c>
    </row>
    <row r="90" spans="3:8" x14ac:dyDescent="0.25">
      <c r="E90" s="182" t="str">
        <f t="shared" si="4"/>
        <v>Stoke draw</v>
      </c>
      <c r="F90" s="183" t="str">
        <f t="shared" si="5"/>
        <v>5/2</v>
      </c>
      <c r="G90" s="221">
        <f t="shared" si="6"/>
        <v>3.5</v>
      </c>
      <c r="H90" s="183">
        <f>INDEX(Picks!T:T,MATCH(E90,Picks!R:R,0))</f>
        <v>1</v>
      </c>
    </row>
    <row r="91" spans="3:8" x14ac:dyDescent="0.25">
      <c r="E91" s="182" t="str">
        <f t="shared" si="4"/>
        <v>Villa draw</v>
      </c>
      <c r="F91" s="183" t="str">
        <f t="shared" si="5"/>
        <v>13/5</v>
      </c>
      <c r="G91" s="221">
        <f t="shared" si="6"/>
        <v>3.6</v>
      </c>
      <c r="H91" s="183">
        <f>INDEX(Picks!T:T,MATCH(E91,Picks!R:R,0))</f>
        <v>0</v>
      </c>
    </row>
    <row r="92" spans="3:8" x14ac:dyDescent="0.25">
      <c r="E92" s="182" t="str">
        <f t="shared" si="4"/>
        <v>Wigan draw</v>
      </c>
      <c r="F92" s="183" t="str">
        <f t="shared" si="5"/>
        <v>12/5</v>
      </c>
      <c r="G92" s="221">
        <f t="shared" si="6"/>
        <v>3.4</v>
      </c>
      <c r="H92" s="183">
        <f>INDEX(Picks!T:T,MATCH(E92,Picks!R:R,0))</f>
        <v>0</v>
      </c>
    </row>
    <row r="93" spans="3:8" x14ac:dyDescent="0.25">
      <c r="E93" s="182" t="str">
        <f t="shared" si="4"/>
        <v/>
      </c>
      <c r="F93" s="183" t="str">
        <f t="shared" si="5"/>
        <v/>
      </c>
      <c r="G93" s="221" t="str">
        <f t="shared" si="6"/>
        <v/>
      </c>
      <c r="H93" s="183" t="e">
        <f>INDEX(Picks!T:T,MATCH(E93,Picks!R:R,0))</f>
        <v>#N/A</v>
      </c>
    </row>
    <row r="94" spans="3:8" x14ac:dyDescent="0.25">
      <c r="E94" s="184" t="str">
        <f t="shared" ref="E94:E139" si="7">IF(C2="","",K2)</f>
        <v>Burnley</v>
      </c>
      <c r="F94" s="185" t="str">
        <f t="shared" ref="F94:F139" si="8">IF(C2="","",M2)</f>
        <v>24/5</v>
      </c>
      <c r="G94" s="222">
        <f>IF(C2="","",P2)</f>
        <v>5.8</v>
      </c>
      <c r="H94" s="185">
        <f>INDEX(Picks!T:T,MATCH(E94,Picks!R:R,0))</f>
        <v>0</v>
      </c>
    </row>
    <row r="95" spans="3:8" x14ac:dyDescent="0.25">
      <c r="C95" s="9"/>
      <c r="D95" s="9"/>
      <c r="E95" s="184" t="str">
        <f t="shared" si="7"/>
        <v>Spurs</v>
      </c>
      <c r="F95" s="185" t="str">
        <f t="shared" si="8"/>
        <v>3/4</v>
      </c>
      <c r="G95" s="222">
        <f t="shared" ref="G95:G139" si="9">IF(C3="","",P3)</f>
        <v>1.75</v>
      </c>
      <c r="H95" s="185">
        <f>INDEX(Picks!T:T,MATCH(E95,Picks!R:R,0))</f>
        <v>0</v>
      </c>
    </row>
    <row r="96" spans="3:8" x14ac:dyDescent="0.25">
      <c r="E96" s="184" t="str">
        <f t="shared" si="7"/>
        <v>Palace</v>
      </c>
      <c r="F96" s="185" t="str">
        <f t="shared" si="8"/>
        <v>8/5</v>
      </c>
      <c r="G96" s="222">
        <f t="shared" si="9"/>
        <v>2.6</v>
      </c>
      <c r="H96" s="185">
        <f>INDEX(Picks!T:T,MATCH(E96,Picks!R:R,0))</f>
        <v>1</v>
      </c>
    </row>
    <row r="97" spans="5:8" x14ac:dyDescent="0.25">
      <c r="E97" s="184" t="str">
        <f t="shared" si="7"/>
        <v>Liverpool</v>
      </c>
      <c r="F97" s="185" t="str">
        <f t="shared" si="8"/>
        <v>1/3</v>
      </c>
      <c r="G97" s="222">
        <f t="shared" si="9"/>
        <v>1.3333333333333333</v>
      </c>
      <c r="H97" s="185">
        <f>INDEX(Picks!T:T,MATCH(E97,Picks!R:R,0))</f>
        <v>1</v>
      </c>
    </row>
    <row r="98" spans="5:8" x14ac:dyDescent="0.25">
      <c r="E98" s="184" t="str">
        <f t="shared" si="7"/>
        <v>Southampton</v>
      </c>
      <c r="F98" s="185" t="str">
        <f t="shared" si="8"/>
        <v>15/8</v>
      </c>
      <c r="G98" s="222">
        <f t="shared" si="9"/>
        <v>2.875</v>
      </c>
      <c r="H98" s="185">
        <f>INDEX(Picks!T:T,MATCH(E98,Picks!R:R,0))</f>
        <v>0</v>
      </c>
    </row>
    <row r="99" spans="5:8" x14ac:dyDescent="0.25">
      <c r="E99" s="184" t="str">
        <f t="shared" si="7"/>
        <v>Fulham</v>
      </c>
      <c r="F99" s="185" t="str">
        <f t="shared" si="8"/>
        <v>11/2</v>
      </c>
      <c r="G99" s="222">
        <f t="shared" si="9"/>
        <v>6.5</v>
      </c>
      <c r="H99" s="185">
        <f>INDEX(Picks!T:T,MATCH(E99,Picks!R:R,0))</f>
        <v>0</v>
      </c>
    </row>
    <row r="100" spans="5:8" x14ac:dyDescent="0.25">
      <c r="E100" s="184" t="str">
        <f t="shared" si="7"/>
        <v>Gillingham</v>
      </c>
      <c r="F100" s="185" t="str">
        <f t="shared" si="8"/>
        <v>9/4</v>
      </c>
      <c r="G100" s="222">
        <f t="shared" si="9"/>
        <v>3.25</v>
      </c>
      <c r="H100" s="185">
        <f>INDEX(Picks!T:T,MATCH(E100,Picks!R:R,0))</f>
        <v>1</v>
      </c>
    </row>
    <row r="101" spans="5:8" x14ac:dyDescent="0.25">
      <c r="E101" s="184" t="str">
        <f t="shared" si="7"/>
        <v>Wimbledon</v>
      </c>
      <c r="F101" s="185" t="str">
        <f t="shared" si="8"/>
        <v>1/1</v>
      </c>
      <c r="G101" s="222">
        <f t="shared" si="9"/>
        <v>2</v>
      </c>
      <c r="H101" s="185">
        <f>INDEX(Picks!T:T,MATCH(E101,Picks!R:R,0))</f>
        <v>0</v>
      </c>
    </row>
    <row r="102" spans="5:8" x14ac:dyDescent="0.25">
      <c r="E102" s="184" t="str">
        <f t="shared" si="7"/>
        <v>Barnsley</v>
      </c>
      <c r="F102" s="185" t="str">
        <f t="shared" si="8"/>
        <v>4/7</v>
      </c>
      <c r="G102" s="222">
        <f t="shared" si="9"/>
        <v>1.5714285714285714</v>
      </c>
      <c r="H102" s="185">
        <f>INDEX(Picks!T:T,MATCH(E102,Picks!R:R,0))</f>
        <v>0</v>
      </c>
    </row>
    <row r="103" spans="5:8" x14ac:dyDescent="0.25">
      <c r="E103" s="184" t="str">
        <f t="shared" si="7"/>
        <v>Rochdale</v>
      </c>
      <c r="F103" s="185" t="str">
        <f t="shared" si="8"/>
        <v>7/2</v>
      </c>
      <c r="G103" s="222">
        <f t="shared" si="9"/>
        <v>4.5</v>
      </c>
      <c r="H103" s="185">
        <f>INDEX(Picks!T:T,MATCH(E103,Picks!R:R,0))</f>
        <v>0</v>
      </c>
    </row>
    <row r="104" spans="5:8" x14ac:dyDescent="0.25">
      <c r="E104" s="184" t="str">
        <f t="shared" si="7"/>
        <v>Coventry</v>
      </c>
      <c r="F104" s="185" t="str">
        <f t="shared" si="8"/>
        <v>12/5</v>
      </c>
      <c r="G104" s="222">
        <f t="shared" si="9"/>
        <v>3.4</v>
      </c>
      <c r="H104" s="185">
        <f>INDEX(Picks!T:T,MATCH(E104,Picks!R:R,0))</f>
        <v>0</v>
      </c>
    </row>
    <row r="105" spans="5:8" x14ac:dyDescent="0.25">
      <c r="E105" s="184" t="str">
        <f t="shared" si="7"/>
        <v>Oxford</v>
      </c>
      <c r="F105" s="185" t="str">
        <f t="shared" si="8"/>
        <v>17/2</v>
      </c>
      <c r="G105" s="222">
        <f t="shared" si="9"/>
        <v>9.5</v>
      </c>
      <c r="H105" s="185">
        <f>INDEX(Picks!T:T,MATCH(E105,Picks!R:R,0))</f>
        <v>0</v>
      </c>
    </row>
    <row r="106" spans="5:8" x14ac:dyDescent="0.25">
      <c r="E106" s="184" t="str">
        <f t="shared" si="7"/>
        <v>Burton</v>
      </c>
      <c r="F106" s="185" t="str">
        <f t="shared" si="8"/>
        <v>23/10</v>
      </c>
      <c r="G106" s="222">
        <f t="shared" si="9"/>
        <v>3.3</v>
      </c>
      <c r="H106" s="185">
        <f>INDEX(Picks!T:T,MATCH(E106,Picks!R:R,0))</f>
        <v>0</v>
      </c>
    </row>
    <row r="107" spans="5:8" x14ac:dyDescent="0.25">
      <c r="E107" s="184" t="str">
        <f t="shared" si="7"/>
        <v>Scunthorpe</v>
      </c>
      <c r="F107" s="185" t="str">
        <f t="shared" si="8"/>
        <v>21/10</v>
      </c>
      <c r="G107" s="222">
        <f t="shared" si="9"/>
        <v>3.1</v>
      </c>
      <c r="H107" s="185">
        <f>INDEX(Picks!T:T,MATCH(E107,Picks!R:R,0))</f>
        <v>0</v>
      </c>
    </row>
    <row r="108" spans="5:8" x14ac:dyDescent="0.25">
      <c r="E108" s="184" t="str">
        <f t="shared" si="7"/>
        <v>Accrington</v>
      </c>
      <c r="F108" s="185" t="str">
        <f t="shared" si="8"/>
        <v>15/2</v>
      </c>
      <c r="G108" s="222">
        <f t="shared" si="9"/>
        <v>8.5</v>
      </c>
      <c r="H108" s="185">
        <f>INDEX(Picks!T:T,MATCH(E108,Picks!R:R,0))</f>
        <v>0</v>
      </c>
    </row>
    <row r="109" spans="5:8" x14ac:dyDescent="0.25">
      <c r="E109" s="184" t="str">
        <f t="shared" si="7"/>
        <v>Walsall</v>
      </c>
      <c r="F109" s="185" t="str">
        <f t="shared" si="8"/>
        <v>7/5</v>
      </c>
      <c r="G109" s="222">
        <f t="shared" si="9"/>
        <v>2.4</v>
      </c>
      <c r="H109" s="185">
        <f>INDEX(Picks!T:T,MATCH(E109,Picks!R:R,0))</f>
        <v>0</v>
      </c>
    </row>
    <row r="110" spans="5:8" x14ac:dyDescent="0.25">
      <c r="E110" s="184" t="str">
        <f t="shared" si="7"/>
        <v>Sunderland</v>
      </c>
      <c r="F110" s="185" t="str">
        <f t="shared" si="8"/>
        <v>6/5</v>
      </c>
      <c r="G110" s="222">
        <f t="shared" si="9"/>
        <v>2.2000000000000002</v>
      </c>
      <c r="H110" s="185">
        <f>INDEX(Picks!T:T,MATCH(E110,Picks!R:R,0))</f>
        <v>0</v>
      </c>
    </row>
    <row r="111" spans="5:8" x14ac:dyDescent="0.25">
      <c r="E111" s="184" t="str">
        <f t="shared" si="7"/>
        <v>Fleetwood</v>
      </c>
      <c r="F111" s="185" t="str">
        <f t="shared" si="8"/>
        <v>27/10</v>
      </c>
      <c r="G111" s="222">
        <f t="shared" si="9"/>
        <v>3.7</v>
      </c>
      <c r="H111" s="185">
        <f>INDEX(Picks!T:T,MATCH(E111,Picks!R:R,0))</f>
        <v>0</v>
      </c>
    </row>
    <row r="112" spans="5:8" x14ac:dyDescent="0.25">
      <c r="E112" s="184" t="str">
        <f t="shared" si="7"/>
        <v>Port Vale</v>
      </c>
      <c r="F112" s="185" t="str">
        <f t="shared" si="8"/>
        <v>6/1</v>
      </c>
      <c r="G112" s="222">
        <f t="shared" si="9"/>
        <v>7</v>
      </c>
      <c r="H112" s="185">
        <f>INDEX(Picks!T:T,MATCH(E112,Picks!R:R,0))</f>
        <v>0</v>
      </c>
    </row>
    <row r="113" spans="5:8" x14ac:dyDescent="0.25">
      <c r="E113" s="184" t="str">
        <f t="shared" si="7"/>
        <v>Tranmere</v>
      </c>
      <c r="F113" s="185" t="str">
        <f t="shared" si="8"/>
        <v>1/1</v>
      </c>
      <c r="G113" s="222">
        <f t="shared" si="9"/>
        <v>2</v>
      </c>
      <c r="H113" s="185">
        <f>INDEX(Picks!T:T,MATCH(E113,Picks!R:R,0))</f>
        <v>0</v>
      </c>
    </row>
    <row r="114" spans="5:8" x14ac:dyDescent="0.25">
      <c r="E114" s="184" t="str">
        <f t="shared" si="7"/>
        <v>Exeter</v>
      </c>
      <c r="F114" s="185" t="str">
        <f t="shared" si="8"/>
        <v>2/1</v>
      </c>
      <c r="G114" s="222">
        <f t="shared" si="9"/>
        <v>3</v>
      </c>
      <c r="H114" s="185">
        <f>INDEX(Picks!T:T,MATCH(E114,Picks!R:R,0))</f>
        <v>0</v>
      </c>
    </row>
    <row r="115" spans="5:8" x14ac:dyDescent="0.25">
      <c r="E115" s="184" t="str">
        <f t="shared" si="7"/>
        <v>Crewe</v>
      </c>
      <c r="F115" s="185" t="str">
        <f t="shared" si="8"/>
        <v>2/1</v>
      </c>
      <c r="G115" s="222">
        <f t="shared" si="9"/>
        <v>3</v>
      </c>
      <c r="H115" s="185">
        <f>INDEX(Picks!T:T,MATCH(E115,Picks!R:R,0))</f>
        <v>0</v>
      </c>
    </row>
    <row r="116" spans="5:8" x14ac:dyDescent="0.25">
      <c r="E116" s="184" t="str">
        <f t="shared" si="7"/>
        <v>Colchester</v>
      </c>
      <c r="F116" s="185" t="str">
        <f t="shared" si="8"/>
        <v>23/10</v>
      </c>
      <c r="G116" s="222">
        <f t="shared" si="9"/>
        <v>3.3</v>
      </c>
      <c r="H116" s="185">
        <f>INDEX(Picks!T:T,MATCH(E116,Picks!R:R,0))</f>
        <v>1</v>
      </c>
    </row>
    <row r="117" spans="5:8" x14ac:dyDescent="0.25">
      <c r="E117" s="184" t="str">
        <f t="shared" si="7"/>
        <v>Cambridge</v>
      </c>
      <c r="F117" s="185" t="str">
        <f t="shared" si="8"/>
        <v>21/10</v>
      </c>
      <c r="G117" s="222">
        <f t="shared" si="9"/>
        <v>3.1</v>
      </c>
      <c r="H117" s="185">
        <f>INDEX(Picks!T:T,MATCH(E117,Picks!R:R,0))</f>
        <v>0</v>
      </c>
    </row>
    <row r="118" spans="5:8" x14ac:dyDescent="0.25">
      <c r="E118" s="184" t="str">
        <f t="shared" si="7"/>
        <v>Mansfield</v>
      </c>
      <c r="F118" s="185" t="str">
        <f t="shared" si="8"/>
        <v>5/2</v>
      </c>
      <c r="G118" s="222">
        <f t="shared" si="9"/>
        <v>3.5</v>
      </c>
      <c r="H118" s="185">
        <f>INDEX(Picks!T:T,MATCH(E118,Picks!R:R,0))</f>
        <v>0</v>
      </c>
    </row>
    <row r="119" spans="5:8" x14ac:dyDescent="0.25">
      <c r="E119" s="184" t="str">
        <f t="shared" si="7"/>
        <v>Newport</v>
      </c>
      <c r="F119" s="185" t="str">
        <f t="shared" si="8"/>
        <v>15/13</v>
      </c>
      <c r="G119" s="222">
        <f t="shared" si="9"/>
        <v>2.1538461538461537</v>
      </c>
      <c r="H119" s="185">
        <f>INDEX(Picks!T:T,MATCH(E119,Picks!R:R,0))</f>
        <v>0</v>
      </c>
    </row>
    <row r="120" spans="5:8" x14ac:dyDescent="0.25">
      <c r="E120" s="184" t="str">
        <f t="shared" si="7"/>
        <v>Northampton</v>
      </c>
      <c r="F120" s="185" t="str">
        <f t="shared" si="8"/>
        <v>11/4</v>
      </c>
      <c r="G120" s="222">
        <f t="shared" si="9"/>
        <v>3.75</v>
      </c>
      <c r="H120" s="185">
        <f>INDEX(Picks!T:T,MATCH(E120,Picks!R:R,0))</f>
        <v>1</v>
      </c>
    </row>
    <row r="121" spans="5:8" x14ac:dyDescent="0.25">
      <c r="E121" s="184" t="str">
        <f t="shared" si="7"/>
        <v>Cheltenham</v>
      </c>
      <c r="F121" s="185" t="str">
        <f t="shared" si="8"/>
        <v>9/2</v>
      </c>
      <c r="G121" s="222">
        <f t="shared" si="9"/>
        <v>5.5</v>
      </c>
      <c r="H121" s="185">
        <f>INDEX(Picks!T:T,MATCH(E121,Picks!R:R,0))</f>
        <v>0</v>
      </c>
    </row>
    <row r="122" spans="5:8" x14ac:dyDescent="0.25">
      <c r="E122" s="184" t="str">
        <f t="shared" si="7"/>
        <v>Notts Co</v>
      </c>
      <c r="F122" s="185" t="str">
        <f t="shared" si="8"/>
        <v>9/5</v>
      </c>
      <c r="G122" s="222">
        <f t="shared" si="9"/>
        <v>2.8</v>
      </c>
      <c r="H122" s="185">
        <f>INDEX(Picks!T:T,MATCH(E122,Picks!R:R,0))</f>
        <v>0</v>
      </c>
    </row>
    <row r="123" spans="5:8" x14ac:dyDescent="0.25">
      <c r="E123" s="184" t="str">
        <f t="shared" si="7"/>
        <v>Carlisle</v>
      </c>
      <c r="F123" s="185" t="str">
        <f t="shared" si="8"/>
        <v>19/20</v>
      </c>
      <c r="G123" s="222">
        <f t="shared" si="9"/>
        <v>1.95</v>
      </c>
      <c r="H123" s="185">
        <f>INDEX(Picks!T:T,MATCH(E123,Picks!R:R,0))</f>
        <v>0</v>
      </c>
    </row>
    <row r="124" spans="5:8" x14ac:dyDescent="0.25">
      <c r="E124" s="184" t="str">
        <f t="shared" si="7"/>
        <v>Brighton</v>
      </c>
      <c r="F124" s="185" t="str">
        <f t="shared" si="8"/>
        <v>17/2</v>
      </c>
      <c r="G124" s="222">
        <f t="shared" si="9"/>
        <v>9.5</v>
      </c>
      <c r="H124" s="185">
        <f>INDEX(Picks!T:T,MATCH(E124,Picks!R:R,0))</f>
        <v>0</v>
      </c>
    </row>
    <row r="125" spans="5:8" x14ac:dyDescent="0.25">
      <c r="E125" s="184" t="str">
        <f t="shared" si="7"/>
        <v>Watford</v>
      </c>
      <c r="F125" s="185" t="str">
        <f t="shared" si="8"/>
        <v>15/2</v>
      </c>
      <c r="G125" s="222">
        <f t="shared" si="9"/>
        <v>8.5</v>
      </c>
      <c r="H125" s="185">
        <f>INDEX(Picks!T:T,MATCH(E125,Picks!R:R,0))</f>
        <v>0</v>
      </c>
    </row>
    <row r="126" spans="5:8" x14ac:dyDescent="0.25">
      <c r="E126" s="184" t="str">
        <f t="shared" si="7"/>
        <v>Man U</v>
      </c>
      <c r="F126" s="185" t="str">
        <f t="shared" si="8"/>
        <v>3/10</v>
      </c>
      <c r="G126" s="222">
        <f t="shared" si="9"/>
        <v>1.3</v>
      </c>
      <c r="H126" s="185">
        <f>INDEX(Picks!T:T,MATCH(E126,Picks!R:R,0))</f>
        <v>0</v>
      </c>
    </row>
    <row r="127" spans="5:8" x14ac:dyDescent="0.25">
      <c r="E127" s="184" t="str">
        <f t="shared" si="7"/>
        <v>Swansea</v>
      </c>
      <c r="F127" s="185" t="str">
        <f t="shared" si="8"/>
        <v>7/4</v>
      </c>
      <c r="G127" s="222">
        <f t="shared" si="9"/>
        <v>2.75</v>
      </c>
      <c r="H127" s="185">
        <f>INDEX(Picks!T:T,MATCH(E127,Picks!R:R,0))</f>
        <v>0</v>
      </c>
    </row>
    <row r="128" spans="5:8" x14ac:dyDescent="0.25">
      <c r="E128" s="184" t="str">
        <f t="shared" si="7"/>
        <v>Preston</v>
      </c>
      <c r="F128" s="185" t="str">
        <f t="shared" si="8"/>
        <v>11/4</v>
      </c>
      <c r="G128" s="222">
        <f t="shared" si="9"/>
        <v>3.75</v>
      </c>
      <c r="H128" s="185">
        <f>INDEX(Picks!T:T,MATCH(E128,Picks!R:R,0))</f>
        <v>0</v>
      </c>
    </row>
    <row r="129" spans="5:8" x14ac:dyDescent="0.25">
      <c r="E129" s="184" t="str">
        <f t="shared" si="7"/>
        <v>West Brom</v>
      </c>
      <c r="F129" s="185" t="str">
        <f t="shared" si="8"/>
        <v>9/4</v>
      </c>
      <c r="G129" s="222">
        <f t="shared" si="9"/>
        <v>3.25</v>
      </c>
      <c r="H129" s="185">
        <f>INDEX(Picks!T:T,MATCH(E129,Picks!R:R,0))</f>
        <v>0</v>
      </c>
    </row>
    <row r="130" spans="5:8" x14ac:dyDescent="0.25">
      <c r="E130" s="184" t="str">
        <f t="shared" si="7"/>
        <v>Bolton</v>
      </c>
      <c r="F130" s="185" t="str">
        <f t="shared" si="8"/>
        <v>/</v>
      </c>
      <c r="G130" s="222" t="e">
        <f t="shared" si="9"/>
        <v>#DIV/0!</v>
      </c>
      <c r="H130" s="185">
        <f>INDEX(Picks!T:T,MATCH(E130,Picks!R:R,0))</f>
        <v>0</v>
      </c>
    </row>
    <row r="131" spans="5:8" x14ac:dyDescent="0.25">
      <c r="E131" s="184" t="str">
        <f t="shared" si="7"/>
        <v>Bristol C</v>
      </c>
      <c r="F131" s="185" t="str">
        <f t="shared" si="8"/>
        <v>7/5</v>
      </c>
      <c r="G131" s="222">
        <f t="shared" si="9"/>
        <v>2.4</v>
      </c>
      <c r="H131" s="185">
        <f>INDEX(Picks!T:T,MATCH(E131,Picks!R:R,0))</f>
        <v>0</v>
      </c>
    </row>
    <row r="132" spans="5:8" x14ac:dyDescent="0.25">
      <c r="E132" s="184" t="str">
        <f t="shared" si="7"/>
        <v>Leeds</v>
      </c>
      <c r="F132" s="185" t="str">
        <f t="shared" si="8"/>
        <v>9/13</v>
      </c>
      <c r="G132" s="222">
        <f t="shared" si="9"/>
        <v>1.6923076923076923</v>
      </c>
      <c r="H132" s="185">
        <f>INDEX(Picks!T:T,MATCH(E132,Picks!R:R,0))</f>
        <v>0</v>
      </c>
    </row>
    <row r="133" spans="5:8" x14ac:dyDescent="0.25">
      <c r="E133" s="184" t="str">
        <f t="shared" si="7"/>
        <v>Birmingham</v>
      </c>
      <c r="F133" s="185" t="str">
        <f t="shared" si="8"/>
        <v>13/8</v>
      </c>
      <c r="G133" s="222">
        <f t="shared" si="9"/>
        <v>2.625</v>
      </c>
      <c r="H133" s="185">
        <f>INDEX(Picks!T:T,MATCH(E133,Picks!R:R,0))</f>
        <v>0</v>
      </c>
    </row>
    <row r="134" spans="5:8" x14ac:dyDescent="0.25">
      <c r="E134" s="184" t="str">
        <f t="shared" si="7"/>
        <v>Middlesbro</v>
      </c>
      <c r="F134" s="185" t="str">
        <f t="shared" si="8"/>
        <v>11/13</v>
      </c>
      <c r="G134" s="222">
        <f t="shared" si="9"/>
        <v>1.8461538461538463</v>
      </c>
      <c r="H134" s="185">
        <f>INDEX(Picks!T:T,MATCH(E134,Picks!R:R,0))</f>
        <v>1</v>
      </c>
    </row>
    <row r="135" spans="5:8" x14ac:dyDescent="0.25">
      <c r="E135" s="184" t="str">
        <f t="shared" si="7"/>
        <v>QPR</v>
      </c>
      <c r="F135" s="185" t="str">
        <f t="shared" si="8"/>
        <v>7/2</v>
      </c>
      <c r="G135" s="222">
        <f t="shared" si="9"/>
        <v>4.5</v>
      </c>
      <c r="H135" s="185">
        <f>INDEX(Picks!T:T,MATCH(E135,Picks!R:R,0))</f>
        <v>1</v>
      </c>
    </row>
    <row r="136" spans="5:8" x14ac:dyDescent="0.25">
      <c r="E136" s="184" t="str">
        <f t="shared" si="7"/>
        <v>Sheff U</v>
      </c>
      <c r="F136" s="185" t="str">
        <f t="shared" si="8"/>
        <v>21/20</v>
      </c>
      <c r="G136" s="222">
        <f t="shared" si="9"/>
        <v>2.0499999999999998</v>
      </c>
      <c r="H136" s="185">
        <f>INDEX(Picks!T:T,MATCH(E136,Picks!R:R,0))</f>
        <v>0</v>
      </c>
    </row>
    <row r="137" spans="5:8" x14ac:dyDescent="0.25">
      <c r="E137" s="184" t="str">
        <f t="shared" si="7"/>
        <v>Norwich</v>
      </c>
      <c r="F137" s="185" t="str">
        <f t="shared" si="8"/>
        <v>2/1</v>
      </c>
      <c r="G137" s="222">
        <f t="shared" si="9"/>
        <v>3</v>
      </c>
      <c r="H137" s="185">
        <f>INDEX(Picks!T:T,MATCH(E137,Picks!R:R,0))</f>
        <v>1</v>
      </c>
    </row>
    <row r="138" spans="5:8" x14ac:dyDescent="0.25">
      <c r="E138" s="184" t="str">
        <f t="shared" si="7"/>
        <v>Millwall</v>
      </c>
      <c r="F138" s="185" t="str">
        <f t="shared" si="8"/>
        <v>21/10</v>
      </c>
      <c r="G138" s="222">
        <f t="shared" si="9"/>
        <v>3.1</v>
      </c>
      <c r="H138" s="185">
        <f>INDEX(Picks!T:T,MATCH(E138,Picks!R:R,0))</f>
        <v>0</v>
      </c>
    </row>
    <row r="139" spans="5:8" x14ac:dyDescent="0.25">
      <c r="E139" s="184" t="str">
        <f t="shared" si="7"/>
        <v/>
      </c>
      <c r="F139" s="185" t="str">
        <f t="shared" si="8"/>
        <v/>
      </c>
      <c r="G139" s="222" t="str">
        <f t="shared" si="9"/>
        <v/>
      </c>
      <c r="H139" s="185" t="e">
        <f>INDEX(Picks!T:T,MATCH(E139,Picks!R:R,0))</f>
        <v>#N/A</v>
      </c>
    </row>
  </sheetData>
  <sheetCalcPr fullCalcOnLoad="1"/>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7030A0"/>
    <pageSetUpPr fitToPage="1"/>
  </sheetPr>
  <dimension ref="A1:EI78"/>
  <sheetViews>
    <sheetView workbookViewId="0">
      <pane xSplit="5" ySplit="1" topLeftCell="F13" activePane="bottomRight" state="frozen"/>
      <selection pane="topRight" activeCell="G1" sqref="G1"/>
      <selection pane="bottomLeft" activeCell="A2" sqref="A2"/>
      <selection pane="bottomRight" activeCell="A26" sqref="A26"/>
    </sheetView>
  </sheetViews>
  <sheetFormatPr defaultColWidth="9.109375" defaultRowHeight="11.4" x14ac:dyDescent="0.2"/>
  <cols>
    <col min="1" max="1" width="11.44140625" style="352" customWidth="1"/>
    <col min="2" max="2" width="10.44140625" style="352" customWidth="1"/>
    <col min="3" max="3" width="11" style="352" customWidth="1"/>
    <col min="4" max="4" width="6" style="403" customWidth="1"/>
    <col min="5" max="5" width="20.33203125" style="338" bestFit="1" customWidth="1"/>
    <col min="6" max="6" width="12.6640625" style="350" customWidth="1"/>
    <col min="7" max="7" width="11.33203125" style="56" customWidth="1"/>
    <col min="8" max="8" width="10.88671875" style="350" customWidth="1"/>
    <col min="9" max="9" width="11.33203125" style="159" bestFit="1" customWidth="1"/>
    <col min="10" max="10" width="11" style="613" customWidth="1"/>
    <col min="11" max="11" width="11.6640625" style="59" customWidth="1"/>
    <col min="12" max="12" width="9.44140625" style="56" customWidth="1"/>
    <col min="13" max="13" width="10.33203125" style="56" customWidth="1"/>
    <col min="14" max="14" width="11" style="56" customWidth="1"/>
    <col min="15" max="15" width="11" style="613" customWidth="1"/>
    <col min="16" max="16" width="9.44140625" style="60" customWidth="1"/>
    <col min="17" max="17" width="9.44140625" style="56" customWidth="1"/>
    <col min="18" max="18" width="9.44140625" style="59" customWidth="1"/>
    <col min="19" max="19" width="9.44140625" style="58" customWidth="1"/>
    <col min="20" max="20" width="9.44140625" style="56" customWidth="1"/>
    <col min="21" max="21" width="9.44140625" style="59" customWidth="1"/>
    <col min="22" max="22" width="9.44140625" style="60" customWidth="1"/>
    <col min="23" max="23" width="9.44140625" style="61" customWidth="1"/>
    <col min="24" max="24" width="9.44140625" style="59" customWidth="1"/>
    <col min="25" max="25" width="9.44140625" style="58" customWidth="1"/>
    <col min="26" max="26" width="9.44140625" style="56" customWidth="1"/>
    <col min="27" max="27" width="9.44140625" style="59" customWidth="1"/>
    <col min="28" max="28" width="9.44140625" style="60" customWidth="1"/>
    <col min="29" max="29" width="9.44140625" style="61" customWidth="1"/>
    <col min="30" max="30" width="9.44140625" style="59" customWidth="1"/>
    <col min="31" max="31" width="9.44140625" style="55" customWidth="1"/>
    <col min="32" max="32" width="9.44140625" style="56" customWidth="1"/>
    <col min="33" max="33" width="9.44140625" style="59" customWidth="1"/>
    <col min="34" max="34" width="9.44140625" style="60" customWidth="1"/>
    <col min="35" max="35" width="9.44140625" style="61" customWidth="1"/>
    <col min="36" max="36" width="9.44140625" style="59" customWidth="1"/>
    <col min="37" max="37" width="9.44140625" style="55" customWidth="1"/>
    <col min="38" max="38" width="9.44140625" style="56" customWidth="1"/>
    <col min="39" max="39" width="9.44140625" style="59" customWidth="1"/>
    <col min="40" max="40" width="9.44140625" style="60" customWidth="1"/>
    <col min="41" max="41" width="9.44140625" style="61" customWidth="1"/>
    <col min="42" max="42" width="9.44140625" style="59" customWidth="1"/>
    <col min="43" max="43" width="9.44140625" style="55" customWidth="1"/>
    <col min="44" max="44" width="9.44140625" style="56" customWidth="1"/>
    <col min="45" max="45" width="9.44140625" style="59" customWidth="1"/>
    <col min="46" max="46" width="9.44140625" style="60" customWidth="1"/>
    <col min="47" max="47" width="9.44140625" style="61" customWidth="1"/>
    <col min="48" max="48" width="9.44140625" style="59" customWidth="1"/>
    <col min="49" max="49" width="9.44140625" style="55" customWidth="1"/>
    <col min="50" max="50" width="9.44140625" style="56" customWidth="1"/>
    <col min="51" max="51" width="9.44140625" style="59" customWidth="1"/>
    <col min="52" max="52" width="9.44140625" style="60" customWidth="1"/>
    <col min="53" max="53" width="9.44140625" style="61" customWidth="1"/>
    <col min="54" max="54" width="9.44140625" style="59" customWidth="1"/>
    <col min="55" max="55" width="9.44140625" style="55" customWidth="1"/>
    <col min="56" max="56" width="9.44140625" style="56" customWidth="1"/>
    <col min="57" max="57" width="9.44140625" style="59" customWidth="1"/>
    <col min="58" max="58" width="9.44140625" style="60" customWidth="1"/>
    <col min="59" max="59" width="9.44140625" style="61" customWidth="1"/>
    <col min="60" max="60" width="9.44140625" style="59" customWidth="1"/>
    <col min="61" max="61" width="9.44140625" style="55" customWidth="1"/>
    <col min="62" max="62" width="9.44140625" style="114" customWidth="1"/>
    <col min="63" max="63" width="9.44140625" style="59" customWidth="1"/>
    <col min="64" max="64" width="9.44140625" style="60" customWidth="1"/>
    <col min="65" max="65" width="9.44140625" style="61" customWidth="1"/>
    <col min="66" max="66" width="9.44140625" style="59" customWidth="1"/>
    <col min="67" max="67" width="9.44140625" style="55" customWidth="1"/>
    <col min="68" max="68" width="9.44140625" style="114" customWidth="1"/>
    <col min="69" max="69" width="9.44140625" style="59" customWidth="1"/>
    <col min="70" max="70" width="9.44140625" style="60" customWidth="1"/>
    <col min="71" max="71" width="9.44140625" style="61" customWidth="1"/>
    <col min="72" max="72" width="9.44140625" style="59" customWidth="1"/>
    <col min="73" max="73" width="9.44140625" style="55" customWidth="1"/>
    <col min="74" max="74" width="9.44140625" style="56" customWidth="1"/>
    <col min="75" max="75" width="9.44140625" style="59" customWidth="1"/>
    <col min="76" max="76" width="9.44140625" style="58" customWidth="1"/>
    <col min="77" max="77" width="9.44140625" style="56" customWidth="1"/>
    <col min="78" max="78" width="9.44140625" style="59" customWidth="1"/>
    <col min="79" max="131" width="9.109375" style="55" customWidth="1"/>
    <col min="132" max="139" width="9.109375" style="57" customWidth="1"/>
    <col min="140" max="16384" width="9.109375" style="54"/>
  </cols>
  <sheetData>
    <row r="1" spans="1:139" s="442" customFormat="1" ht="44.25" customHeight="1" x14ac:dyDescent="0.25">
      <c r="A1" s="426" t="s">
        <v>104</v>
      </c>
      <c r="B1" s="426" t="s">
        <v>105</v>
      </c>
      <c r="C1" s="426" t="s">
        <v>425</v>
      </c>
      <c r="D1" s="427" t="s">
        <v>268</v>
      </c>
      <c r="E1" s="428" t="s">
        <v>16</v>
      </c>
      <c r="F1" s="589" t="s">
        <v>547</v>
      </c>
      <c r="G1" s="590" t="s">
        <v>317</v>
      </c>
      <c r="H1" s="589" t="s">
        <v>130</v>
      </c>
      <c r="I1" s="591" t="s">
        <v>548</v>
      </c>
      <c r="J1" s="611" t="s">
        <v>303</v>
      </c>
      <c r="K1" s="430" t="s">
        <v>271</v>
      </c>
      <c r="L1" s="431" t="s">
        <v>186</v>
      </c>
      <c r="M1" s="431" t="s">
        <v>549</v>
      </c>
      <c r="N1" s="429" t="s">
        <v>277</v>
      </c>
      <c r="O1" s="611" t="s">
        <v>173</v>
      </c>
      <c r="P1" s="432" t="s">
        <v>62</v>
      </c>
      <c r="Q1" s="433" t="s">
        <v>63</v>
      </c>
      <c r="R1" s="434" t="s">
        <v>107</v>
      </c>
      <c r="S1" s="435" t="s">
        <v>64</v>
      </c>
      <c r="T1" s="436" t="s">
        <v>65</v>
      </c>
      <c r="U1" s="437" t="s">
        <v>108</v>
      </c>
      <c r="V1" s="432" t="s">
        <v>66</v>
      </c>
      <c r="W1" s="438" t="s">
        <v>67</v>
      </c>
      <c r="X1" s="434" t="s">
        <v>109</v>
      </c>
      <c r="Y1" s="435" t="s">
        <v>68</v>
      </c>
      <c r="Z1" s="436" t="s">
        <v>69</v>
      </c>
      <c r="AA1" s="437" t="s">
        <v>110</v>
      </c>
      <c r="AB1" s="432" t="s">
        <v>70</v>
      </c>
      <c r="AC1" s="438" t="s">
        <v>71</v>
      </c>
      <c r="AD1" s="434" t="s">
        <v>111</v>
      </c>
      <c r="AE1" s="435" t="s">
        <v>72</v>
      </c>
      <c r="AF1" s="436" t="s">
        <v>73</v>
      </c>
      <c r="AG1" s="437" t="s">
        <v>112</v>
      </c>
      <c r="AH1" s="432" t="s">
        <v>74</v>
      </c>
      <c r="AI1" s="438" t="s">
        <v>75</v>
      </c>
      <c r="AJ1" s="434" t="s">
        <v>113</v>
      </c>
      <c r="AK1" s="435" t="s">
        <v>76</v>
      </c>
      <c r="AL1" s="436" t="s">
        <v>77</v>
      </c>
      <c r="AM1" s="437" t="s">
        <v>114</v>
      </c>
      <c r="AN1" s="432" t="s">
        <v>78</v>
      </c>
      <c r="AO1" s="438" t="s">
        <v>79</v>
      </c>
      <c r="AP1" s="434" t="s">
        <v>115</v>
      </c>
      <c r="AQ1" s="435" t="s">
        <v>80</v>
      </c>
      <c r="AR1" s="436" t="s">
        <v>81</v>
      </c>
      <c r="AS1" s="437" t="s">
        <v>116</v>
      </c>
      <c r="AT1" s="432" t="s">
        <v>82</v>
      </c>
      <c r="AU1" s="438" t="s">
        <v>83</v>
      </c>
      <c r="AV1" s="434" t="s">
        <v>117</v>
      </c>
      <c r="AW1" s="435" t="s">
        <v>84</v>
      </c>
      <c r="AX1" s="436" t="s">
        <v>85</v>
      </c>
      <c r="AY1" s="437" t="s">
        <v>118</v>
      </c>
      <c r="AZ1" s="432" t="s">
        <v>86</v>
      </c>
      <c r="BA1" s="438" t="s">
        <v>90</v>
      </c>
      <c r="BB1" s="434" t="s">
        <v>119</v>
      </c>
      <c r="BC1" s="435" t="s">
        <v>91</v>
      </c>
      <c r="BD1" s="436" t="s">
        <v>87</v>
      </c>
      <c r="BE1" s="437" t="s">
        <v>120</v>
      </c>
      <c r="BF1" s="432" t="s">
        <v>88</v>
      </c>
      <c r="BG1" s="438" t="s">
        <v>89</v>
      </c>
      <c r="BH1" s="434" t="s">
        <v>121</v>
      </c>
      <c r="BI1" s="435" t="s">
        <v>92</v>
      </c>
      <c r="BJ1" s="439" t="s">
        <v>93</v>
      </c>
      <c r="BK1" s="437" t="s">
        <v>122</v>
      </c>
      <c r="BL1" s="432" t="s">
        <v>94</v>
      </c>
      <c r="BM1" s="438" t="s">
        <v>95</v>
      </c>
      <c r="BN1" s="434" t="s">
        <v>123</v>
      </c>
      <c r="BO1" s="435" t="s">
        <v>96</v>
      </c>
      <c r="BP1" s="439" t="s">
        <v>97</v>
      </c>
      <c r="BQ1" s="437" t="s">
        <v>124</v>
      </c>
      <c r="BR1" s="432" t="s">
        <v>98</v>
      </c>
      <c r="BS1" s="438" t="s">
        <v>99</v>
      </c>
      <c r="BT1" s="434" t="s">
        <v>125</v>
      </c>
      <c r="BU1" s="435" t="s">
        <v>100</v>
      </c>
      <c r="BV1" s="436" t="s">
        <v>101</v>
      </c>
      <c r="BW1" s="437" t="s">
        <v>126</v>
      </c>
      <c r="BX1" s="435" t="s">
        <v>102</v>
      </c>
      <c r="BY1" s="436" t="s">
        <v>103</v>
      </c>
      <c r="BZ1" s="437" t="s">
        <v>127</v>
      </c>
      <c r="CA1" s="440"/>
      <c r="CB1" s="440"/>
      <c r="CC1" s="440"/>
      <c r="CD1" s="440"/>
      <c r="CE1" s="440"/>
      <c r="CF1" s="440"/>
      <c r="CG1" s="440"/>
      <c r="CH1" s="440"/>
      <c r="CI1" s="440"/>
      <c r="CJ1" s="440"/>
      <c r="CK1" s="440"/>
      <c r="CL1" s="440"/>
      <c r="CM1" s="440"/>
      <c r="CN1" s="440"/>
      <c r="CO1" s="440"/>
      <c r="CP1" s="440"/>
      <c r="CQ1" s="440"/>
      <c r="CR1" s="440"/>
      <c r="CS1" s="440"/>
      <c r="CT1" s="440"/>
      <c r="CU1" s="440"/>
      <c r="CV1" s="440"/>
      <c r="CW1" s="440"/>
      <c r="CX1" s="440"/>
      <c r="CY1" s="440"/>
      <c r="CZ1" s="440"/>
      <c r="DA1" s="440"/>
      <c r="DB1" s="440"/>
      <c r="DC1" s="440"/>
      <c r="DD1" s="440"/>
      <c r="DE1" s="440"/>
      <c r="DF1" s="440"/>
      <c r="DG1" s="440"/>
      <c r="DH1" s="440"/>
      <c r="DI1" s="440"/>
      <c r="DJ1" s="440"/>
      <c r="DK1" s="440"/>
      <c r="DL1" s="440"/>
      <c r="DM1" s="440"/>
      <c r="DN1" s="440"/>
      <c r="DO1" s="440"/>
      <c r="DP1" s="440"/>
      <c r="DQ1" s="440"/>
      <c r="DR1" s="440"/>
      <c r="DS1" s="440"/>
      <c r="DT1" s="440"/>
      <c r="DU1" s="440"/>
      <c r="DV1" s="440"/>
      <c r="DW1" s="440"/>
      <c r="DX1" s="440"/>
      <c r="DY1" s="440"/>
      <c r="DZ1" s="441"/>
      <c r="EA1" s="441"/>
      <c r="EB1" s="441"/>
      <c r="EC1" s="441"/>
      <c r="ED1" s="441"/>
      <c r="EE1" s="441"/>
      <c r="EF1" s="441"/>
      <c r="EG1" s="441"/>
    </row>
    <row r="2" spans="1:139" x14ac:dyDescent="0.2">
      <c r="A2" s="351">
        <f t="shared" ref="A2:A33" si="0">_xlfn.RANK.EQ(F2,totalscores,0)</f>
        <v>64</v>
      </c>
      <c r="B2" s="351">
        <f t="shared" ref="B2:B33" si="1">_xlfn.RANK.EQ(H2,thisweekscore,0)</f>
        <v>47</v>
      </c>
      <c r="C2" s="351">
        <v>63</v>
      </c>
      <c r="D2" s="402" t="str">
        <f>INDEX(Players!B:B,MATCH(E2,Players!F:F,0))</f>
        <v>C</v>
      </c>
      <c r="E2" s="337" t="s">
        <v>331</v>
      </c>
      <c r="F2" s="349">
        <f t="shared" ref="F2:F33" si="2">+P2+S2+V2+Y2+AB2+AE2+AH2+AK2+AN2+AQ2+AT2+AW2+AZ2+BC2+BF2+BI2+BL2+BO2+BR2+BU2</f>
        <v>-94.709568764568772</v>
      </c>
      <c r="G2" s="62">
        <f t="shared" ref="G2:G33" si="3">+Q2+T2+W2+Z2+AC2+AF2+AI2+AL2+AO2+AR2+AU2+AX2+BA2+BD2+BG2+BJ2+BM2+BP2+BS2+BV2</f>
        <v>13</v>
      </c>
      <c r="H2" s="349">
        <v>-7</v>
      </c>
      <c r="I2" s="158">
        <v>0</v>
      </c>
      <c r="J2" s="612">
        <f>INDEX(Players!A:A,MATCH(E2,Players!F:F,0))</f>
        <v>-11.370000000000001</v>
      </c>
      <c r="K2" s="339">
        <f>R2+U2+X2+AA2+AD2+AG2+AJ2+AM2+AP2+AS2+AV2+AY2+BB2+BE2+BH2+BK2+BN2+BQ2+BT2+BW2</f>
        <v>0</v>
      </c>
      <c r="L2" s="340"/>
      <c r="M2" s="340">
        <f>INDEX(Table!L:L,MATCH(E2,Table!F:F,0))</f>
        <v>0</v>
      </c>
      <c r="N2" s="339">
        <f>L2+K2+M2</f>
        <v>0</v>
      </c>
      <c r="O2" s="612">
        <f t="shared" ref="O2:O33" si="4">N2+J2</f>
        <v>-11.370000000000001</v>
      </c>
      <c r="P2" s="341">
        <v>-1.4000000000000004</v>
      </c>
      <c r="Q2" s="342">
        <v>2</v>
      </c>
      <c r="R2" s="343"/>
      <c r="S2" s="344">
        <v>-5.45</v>
      </c>
      <c r="T2" s="345">
        <v>1</v>
      </c>
      <c r="U2" s="346"/>
      <c r="V2" s="341">
        <v>-4.625</v>
      </c>
      <c r="W2" s="347">
        <v>1</v>
      </c>
      <c r="X2" s="343"/>
      <c r="Y2" s="344">
        <v>-1.4615384615384617</v>
      </c>
      <c r="Z2" s="345">
        <v>2</v>
      </c>
      <c r="AA2" s="346"/>
      <c r="AB2" s="341">
        <v>-4.9000000000000004</v>
      </c>
      <c r="AC2" s="347">
        <v>1</v>
      </c>
      <c r="AD2" s="343"/>
      <c r="AE2" s="344">
        <v>-7</v>
      </c>
      <c r="AF2" s="345">
        <v>0</v>
      </c>
      <c r="AG2" s="346"/>
      <c r="AH2" s="341">
        <v>-7</v>
      </c>
      <c r="AI2" s="347">
        <v>0</v>
      </c>
      <c r="AJ2" s="343"/>
      <c r="AK2" s="344">
        <v>-7</v>
      </c>
      <c r="AL2" s="345">
        <v>0</v>
      </c>
      <c r="AM2" s="346"/>
      <c r="AN2" s="341">
        <v>-5.1666666666666661</v>
      </c>
      <c r="AO2" s="347">
        <v>1</v>
      </c>
      <c r="AP2" s="343"/>
      <c r="AQ2" s="344">
        <v>-7</v>
      </c>
      <c r="AR2" s="345">
        <v>0</v>
      </c>
      <c r="AS2" s="346"/>
      <c r="AT2" s="341">
        <v>-2.75</v>
      </c>
      <c r="AU2" s="347">
        <v>1</v>
      </c>
      <c r="AV2" s="343"/>
      <c r="AW2" s="344">
        <v>-7</v>
      </c>
      <c r="AX2" s="345">
        <v>0</v>
      </c>
      <c r="AY2" s="346"/>
      <c r="AZ2" s="341">
        <v>10.479999999999997</v>
      </c>
      <c r="BA2" s="347">
        <v>2</v>
      </c>
      <c r="BB2" s="343"/>
      <c r="BC2" s="344">
        <v>-7</v>
      </c>
      <c r="BD2" s="345">
        <v>0</v>
      </c>
      <c r="BE2" s="346"/>
      <c r="BF2" s="341">
        <v>-7</v>
      </c>
      <c r="BG2" s="347">
        <v>0</v>
      </c>
      <c r="BH2" s="343"/>
      <c r="BI2" s="344">
        <v>-3.8</v>
      </c>
      <c r="BJ2" s="348">
        <v>1</v>
      </c>
      <c r="BK2" s="346"/>
      <c r="BL2" s="341">
        <v>-7</v>
      </c>
      <c r="BM2" s="347">
        <v>0</v>
      </c>
      <c r="BN2" s="343"/>
      <c r="BO2" s="344">
        <v>-5.6363636363636367</v>
      </c>
      <c r="BP2" s="348">
        <v>1</v>
      </c>
      <c r="BQ2" s="346"/>
      <c r="BR2" s="341">
        <v>-7</v>
      </c>
      <c r="BS2" s="347">
        <v>0</v>
      </c>
      <c r="BT2" s="343"/>
      <c r="BU2" s="344">
        <v>-7</v>
      </c>
      <c r="BV2" s="345">
        <v>0</v>
      </c>
      <c r="BW2" s="346"/>
      <c r="BX2" s="344">
        <f t="shared" ref="BX2:BX33" si="5">BU2+BR2+BO2+BL2+BI2+BF2+BC2+AZ2+AW2+AT2+AQ2+AN2+AK2+AH2+AE2+AB2+Y2+V2+S2+P2</f>
        <v>-94.709568764568786</v>
      </c>
      <c r="BY2" s="345">
        <f t="shared" ref="BY2:BY33" si="6">BV2+BS2+BP2+BM2+BJ2+BG2+BD2+BA2+AX2+AU2+AR2+AO2+AL2+AI2+AF2+AC2+Z2+W2+T2+Q2</f>
        <v>13</v>
      </c>
      <c r="BZ2" s="346">
        <f t="shared" ref="BZ2:BZ33" si="7">BW2+BT2+BQ2+BN2+BK2+BH2+BE2+BB2+AY2+AV2+AS2+AP2+AM2+AJ2+AG2+AD2+AA2+X2+U2+R2</f>
        <v>0</v>
      </c>
      <c r="CA2" s="56"/>
      <c r="DZ2" s="57"/>
      <c r="EA2" s="57"/>
      <c r="EH2" s="54"/>
      <c r="EI2" s="54"/>
    </row>
    <row r="3" spans="1:139" x14ac:dyDescent="0.2">
      <c r="A3" s="351">
        <f t="shared" si="0"/>
        <v>65</v>
      </c>
      <c r="B3" s="351">
        <f t="shared" si="1"/>
        <v>47</v>
      </c>
      <c r="C3" s="351">
        <v>64</v>
      </c>
      <c r="D3" s="402" t="str">
        <f>INDEX(Players!B:B,MATCH(E3,Players!F:F,0))</f>
        <v>A</v>
      </c>
      <c r="E3" s="337" t="s">
        <v>344</v>
      </c>
      <c r="F3" s="349">
        <f t="shared" si="2"/>
        <v>-97.927499999999981</v>
      </c>
      <c r="G3" s="62">
        <f t="shared" si="3"/>
        <v>11</v>
      </c>
      <c r="H3" s="349">
        <v>-7</v>
      </c>
      <c r="I3" s="158">
        <v>0</v>
      </c>
      <c r="J3" s="612">
        <f>INDEX(Players!A:A,MATCH(E3,Players!F:F,0))</f>
        <v>147.98500000000001</v>
      </c>
      <c r="K3" s="339">
        <f t="shared" ref="K3:K61" si="8">R3+U3+X3+AA3+AD3+AG3+AJ3+AM3+AP3+AS3+AV3+AY3+BB3+BE3+BH3+BK3+BN3+BQ3+BT3+BW3</f>
        <v>5</v>
      </c>
      <c r="L3" s="340"/>
      <c r="M3" s="340">
        <f>INDEX(Table!L:L,MATCH(E3,Table!F:F,0))</f>
        <v>0</v>
      </c>
      <c r="N3" s="339">
        <f t="shared" ref="N3:N61" si="9">L3+K3+M3</f>
        <v>5</v>
      </c>
      <c r="O3" s="612">
        <f t="shared" si="4"/>
        <v>152.98500000000001</v>
      </c>
      <c r="P3" s="341">
        <v>-7</v>
      </c>
      <c r="Q3" s="342">
        <v>0</v>
      </c>
      <c r="R3" s="343"/>
      <c r="S3" s="344">
        <v>-7</v>
      </c>
      <c r="T3" s="345">
        <v>0</v>
      </c>
      <c r="U3" s="346"/>
      <c r="V3" s="341">
        <v>-7</v>
      </c>
      <c r="W3" s="347">
        <v>0</v>
      </c>
      <c r="X3" s="343"/>
      <c r="Y3" s="344">
        <v>-7</v>
      </c>
      <c r="Z3" s="345">
        <v>0</v>
      </c>
      <c r="AA3" s="346"/>
      <c r="AB3" s="341">
        <v>-7</v>
      </c>
      <c r="AC3" s="347">
        <v>0</v>
      </c>
      <c r="AD3" s="343"/>
      <c r="AE3" s="344">
        <v>-4.625</v>
      </c>
      <c r="AF3" s="345">
        <v>1</v>
      </c>
      <c r="AG3" s="346"/>
      <c r="AH3" s="341">
        <v>-7</v>
      </c>
      <c r="AI3" s="347">
        <v>0</v>
      </c>
      <c r="AJ3" s="343"/>
      <c r="AK3" s="344">
        <v>-4.6500000000000004</v>
      </c>
      <c r="AL3" s="345">
        <v>1</v>
      </c>
      <c r="AM3" s="346"/>
      <c r="AN3" s="341">
        <v>-4.3</v>
      </c>
      <c r="AO3" s="347">
        <v>1</v>
      </c>
      <c r="AP3" s="343"/>
      <c r="AQ3" s="344">
        <v>-3.6</v>
      </c>
      <c r="AR3" s="345">
        <v>1</v>
      </c>
      <c r="AS3" s="346"/>
      <c r="AT3" s="341">
        <v>4.2475000000000005</v>
      </c>
      <c r="AU3" s="347">
        <v>2</v>
      </c>
      <c r="AV3" s="343">
        <v>5</v>
      </c>
      <c r="AW3" s="344">
        <v>-4.6500000000000004</v>
      </c>
      <c r="AX3" s="345">
        <v>1</v>
      </c>
      <c r="AY3" s="346"/>
      <c r="AZ3" s="341">
        <v>-3.4</v>
      </c>
      <c r="BA3" s="347">
        <v>1</v>
      </c>
      <c r="BB3" s="343"/>
      <c r="BC3" s="344">
        <v>4.5999999999999996</v>
      </c>
      <c r="BD3" s="345">
        <v>2</v>
      </c>
      <c r="BE3" s="346"/>
      <c r="BF3" s="341">
        <v>-4.55</v>
      </c>
      <c r="BG3" s="347">
        <v>1</v>
      </c>
      <c r="BH3" s="343"/>
      <c r="BI3" s="344">
        <v>-7</v>
      </c>
      <c r="BJ3" s="348">
        <v>0</v>
      </c>
      <c r="BK3" s="346"/>
      <c r="BL3" s="341">
        <v>-7</v>
      </c>
      <c r="BM3" s="347">
        <v>0</v>
      </c>
      <c r="BN3" s="343"/>
      <c r="BO3" s="344">
        <v>-7</v>
      </c>
      <c r="BP3" s="348">
        <v>0</v>
      </c>
      <c r="BQ3" s="346"/>
      <c r="BR3" s="341">
        <v>-7</v>
      </c>
      <c r="BS3" s="347">
        <v>0</v>
      </c>
      <c r="BT3" s="343"/>
      <c r="BU3" s="344">
        <v>-7</v>
      </c>
      <c r="BV3" s="345">
        <v>0</v>
      </c>
      <c r="BW3" s="346"/>
      <c r="BX3" s="344">
        <f t="shared" si="5"/>
        <v>-97.927499999999981</v>
      </c>
      <c r="BY3" s="345">
        <f t="shared" si="6"/>
        <v>11</v>
      </c>
      <c r="BZ3" s="346">
        <f t="shared" si="7"/>
        <v>5</v>
      </c>
      <c r="CA3" s="56"/>
      <c r="DZ3" s="57"/>
      <c r="EA3" s="57"/>
      <c r="EH3" s="54"/>
      <c r="EI3" s="54"/>
    </row>
    <row r="4" spans="1:139" x14ac:dyDescent="0.2">
      <c r="A4" s="351">
        <f t="shared" si="0"/>
        <v>22</v>
      </c>
      <c r="B4" s="351">
        <f t="shared" si="1"/>
        <v>44</v>
      </c>
      <c r="C4" s="351">
        <v>18</v>
      </c>
      <c r="D4" s="402" t="str">
        <f>INDEX(Players!B:B,MATCH(E4,Players!F:F,0))</f>
        <v>C</v>
      </c>
      <c r="E4" s="337" t="s">
        <v>463</v>
      </c>
      <c r="F4" s="349">
        <f t="shared" si="2"/>
        <v>16.682619269619266</v>
      </c>
      <c r="G4" s="62">
        <f t="shared" si="3"/>
        <v>29</v>
      </c>
      <c r="H4" s="349">
        <v>-5.1538461538461533</v>
      </c>
      <c r="I4" s="158">
        <v>1</v>
      </c>
      <c r="J4" s="612">
        <f>INDEX(Players!A:A,MATCH(E4,Players!F:F,0))</f>
        <v>-27.57</v>
      </c>
      <c r="K4" s="339">
        <f t="shared" si="8"/>
        <v>10</v>
      </c>
      <c r="L4" s="340"/>
      <c r="M4" s="340">
        <f>INDEX(Table!L:L,MATCH(E4,Table!F:F,0))</f>
        <v>7.875</v>
      </c>
      <c r="N4" s="339">
        <f t="shared" si="9"/>
        <v>17.875</v>
      </c>
      <c r="O4" s="612">
        <f t="shared" si="4"/>
        <v>-9.6950000000000003</v>
      </c>
      <c r="P4" s="341">
        <v>-3.05</v>
      </c>
      <c r="Q4" s="342">
        <v>2</v>
      </c>
      <c r="R4" s="343"/>
      <c r="S4" s="344">
        <v>-5.7</v>
      </c>
      <c r="T4" s="345">
        <v>1</v>
      </c>
      <c r="U4" s="346"/>
      <c r="V4" s="341">
        <v>-5.375</v>
      </c>
      <c r="W4" s="347">
        <v>1</v>
      </c>
      <c r="X4" s="343"/>
      <c r="Y4" s="344">
        <v>-5.0999999999999996</v>
      </c>
      <c r="Z4" s="345">
        <v>1</v>
      </c>
      <c r="AA4" s="346"/>
      <c r="AB4" s="341">
        <v>-5.384615384615385</v>
      </c>
      <c r="AC4" s="347">
        <v>1</v>
      </c>
      <c r="AD4" s="343"/>
      <c r="AE4" s="344">
        <v>-3.3</v>
      </c>
      <c r="AF4" s="345">
        <v>1</v>
      </c>
      <c r="AG4" s="346"/>
      <c r="AH4" s="341">
        <v>10.619999999999997</v>
      </c>
      <c r="AI4" s="347">
        <v>2</v>
      </c>
      <c r="AJ4" s="343"/>
      <c r="AK4" s="344">
        <v>26.58</v>
      </c>
      <c r="AL4" s="345">
        <v>3</v>
      </c>
      <c r="AM4" s="346">
        <v>5</v>
      </c>
      <c r="AN4" s="341">
        <v>3.3900000000000006</v>
      </c>
      <c r="AO4" s="347">
        <v>2</v>
      </c>
      <c r="AP4" s="343"/>
      <c r="AQ4" s="344">
        <v>-4.75</v>
      </c>
      <c r="AR4" s="345">
        <v>1</v>
      </c>
      <c r="AS4" s="346"/>
      <c r="AT4" s="341">
        <v>-7</v>
      </c>
      <c r="AU4" s="347">
        <v>0</v>
      </c>
      <c r="AV4" s="343"/>
      <c r="AW4" s="344">
        <v>3.129999999999999</v>
      </c>
      <c r="AX4" s="345">
        <v>2</v>
      </c>
      <c r="AY4" s="346"/>
      <c r="AZ4" s="341">
        <v>-5.7</v>
      </c>
      <c r="BA4" s="347">
        <v>1</v>
      </c>
      <c r="BB4" s="343"/>
      <c r="BC4" s="344">
        <v>-3.758</v>
      </c>
      <c r="BD4" s="345">
        <v>2</v>
      </c>
      <c r="BE4" s="346"/>
      <c r="BF4" s="341">
        <v>-5.5555555555555554</v>
      </c>
      <c r="BG4" s="347">
        <v>1</v>
      </c>
      <c r="BH4" s="343"/>
      <c r="BI4" s="344">
        <v>34.336000000000006</v>
      </c>
      <c r="BJ4" s="348">
        <v>3</v>
      </c>
      <c r="BK4" s="346">
        <v>5</v>
      </c>
      <c r="BL4" s="341">
        <v>-3.9</v>
      </c>
      <c r="BM4" s="347">
        <v>1</v>
      </c>
      <c r="BN4" s="343"/>
      <c r="BO4" s="344">
        <v>-5.6363636363636367</v>
      </c>
      <c r="BP4" s="348">
        <v>1</v>
      </c>
      <c r="BQ4" s="346"/>
      <c r="BR4" s="341">
        <v>7.99</v>
      </c>
      <c r="BS4" s="347">
        <v>2</v>
      </c>
      <c r="BT4" s="343"/>
      <c r="BU4" s="344">
        <v>-5.1538461538461533</v>
      </c>
      <c r="BV4" s="345">
        <v>1</v>
      </c>
      <c r="BW4" s="346"/>
      <c r="BX4" s="344">
        <f t="shared" si="5"/>
        <v>16.682619269619266</v>
      </c>
      <c r="BY4" s="345">
        <f t="shared" si="6"/>
        <v>29</v>
      </c>
      <c r="BZ4" s="346">
        <f t="shared" si="7"/>
        <v>10</v>
      </c>
      <c r="CA4" s="56"/>
      <c r="DZ4" s="57"/>
      <c r="EA4" s="57"/>
      <c r="EH4" s="54"/>
      <c r="EI4" s="54"/>
    </row>
    <row r="5" spans="1:139" x14ac:dyDescent="0.2">
      <c r="A5" s="351">
        <f t="shared" si="0"/>
        <v>8</v>
      </c>
      <c r="B5" s="351">
        <f t="shared" si="1"/>
        <v>11</v>
      </c>
      <c r="C5" s="351">
        <v>12</v>
      </c>
      <c r="D5" s="402" t="str">
        <f>INDEX(Players!B:B,MATCH(E5,Players!F:F,0))</f>
        <v>A</v>
      </c>
      <c r="E5" s="337" t="s">
        <v>367</v>
      </c>
      <c r="F5" s="349">
        <f t="shared" si="2"/>
        <v>52.29999999999999</v>
      </c>
      <c r="G5" s="62">
        <f t="shared" si="3"/>
        <v>18</v>
      </c>
      <c r="H5" s="349">
        <v>11.36</v>
      </c>
      <c r="I5" s="158">
        <v>2</v>
      </c>
      <c r="J5" s="612">
        <f>INDEX(Players!A:A,MATCH(E5,Players!F:F,0))</f>
        <v>73.84</v>
      </c>
      <c r="K5" s="339">
        <f t="shared" si="8"/>
        <v>15</v>
      </c>
      <c r="L5" s="340"/>
      <c r="M5" s="340">
        <f>INDEX(Table!L:L,MATCH(E5,Table!F:F,0))</f>
        <v>84.375</v>
      </c>
      <c r="N5" s="339">
        <f t="shared" si="9"/>
        <v>99.375</v>
      </c>
      <c r="O5" s="612">
        <f t="shared" si="4"/>
        <v>173.215</v>
      </c>
      <c r="P5" s="341">
        <v>-3</v>
      </c>
      <c r="Q5" s="342">
        <v>0</v>
      </c>
      <c r="R5" s="343"/>
      <c r="S5" s="344">
        <v>-3.4</v>
      </c>
      <c r="T5" s="345">
        <v>1</v>
      </c>
      <c r="U5" s="346"/>
      <c r="V5" s="341">
        <v>-7</v>
      </c>
      <c r="W5" s="347">
        <v>0</v>
      </c>
      <c r="X5" s="343"/>
      <c r="Y5" s="344">
        <v>-7</v>
      </c>
      <c r="Z5" s="345">
        <v>0</v>
      </c>
      <c r="AA5" s="346"/>
      <c r="AB5" s="341">
        <v>77.05</v>
      </c>
      <c r="AC5" s="347">
        <v>3</v>
      </c>
      <c r="AD5" s="343">
        <v>10</v>
      </c>
      <c r="AE5" s="344">
        <v>-7</v>
      </c>
      <c r="AF5" s="345">
        <v>0</v>
      </c>
      <c r="AG5" s="346"/>
      <c r="AH5" s="341">
        <v>-7</v>
      </c>
      <c r="AI5" s="347">
        <v>0</v>
      </c>
      <c r="AJ5" s="343"/>
      <c r="AK5" s="344">
        <v>10.479999999999997</v>
      </c>
      <c r="AL5" s="345">
        <v>2</v>
      </c>
      <c r="AM5" s="346"/>
      <c r="AN5" s="341">
        <v>-7</v>
      </c>
      <c r="AO5" s="347">
        <v>0</v>
      </c>
      <c r="AP5" s="343"/>
      <c r="AQ5" s="344">
        <v>-7</v>
      </c>
      <c r="AR5" s="345">
        <v>0</v>
      </c>
      <c r="AS5" s="346"/>
      <c r="AT5" s="341">
        <v>-7</v>
      </c>
      <c r="AU5" s="347">
        <v>0</v>
      </c>
      <c r="AV5" s="343"/>
      <c r="AW5" s="344">
        <v>-3.8</v>
      </c>
      <c r="AX5" s="345">
        <v>1</v>
      </c>
      <c r="AY5" s="346"/>
      <c r="AZ5" s="341">
        <v>12.7</v>
      </c>
      <c r="BA5" s="347">
        <v>2</v>
      </c>
      <c r="BB5" s="343"/>
      <c r="BC5" s="344">
        <v>-3.7</v>
      </c>
      <c r="BD5" s="345">
        <v>1</v>
      </c>
      <c r="BE5" s="346"/>
      <c r="BF5" s="341">
        <v>-7</v>
      </c>
      <c r="BG5" s="347">
        <v>0</v>
      </c>
      <c r="BH5" s="343"/>
      <c r="BI5" s="344">
        <v>-5.6</v>
      </c>
      <c r="BJ5" s="348">
        <v>1</v>
      </c>
      <c r="BK5" s="346"/>
      <c r="BL5" s="341">
        <v>-3.7</v>
      </c>
      <c r="BM5" s="347">
        <v>1</v>
      </c>
      <c r="BN5" s="343"/>
      <c r="BO5" s="344">
        <v>9.8500000000000014</v>
      </c>
      <c r="BP5" s="348">
        <v>2</v>
      </c>
      <c r="BQ5" s="346"/>
      <c r="BR5" s="341">
        <v>10.059999999999999</v>
      </c>
      <c r="BS5" s="347">
        <v>2</v>
      </c>
      <c r="BT5" s="343">
        <v>5</v>
      </c>
      <c r="BU5" s="344">
        <v>11.36</v>
      </c>
      <c r="BV5" s="345">
        <v>2</v>
      </c>
      <c r="BW5" s="346"/>
      <c r="BX5" s="344">
        <f t="shared" si="5"/>
        <v>52.29999999999999</v>
      </c>
      <c r="BY5" s="345">
        <f t="shared" si="6"/>
        <v>18</v>
      </c>
      <c r="BZ5" s="346">
        <f t="shared" si="7"/>
        <v>15</v>
      </c>
      <c r="CA5" s="56"/>
      <c r="DZ5" s="57"/>
      <c r="EA5" s="57"/>
      <c r="EH5" s="54"/>
      <c r="EI5" s="54"/>
    </row>
    <row r="6" spans="1:139" x14ac:dyDescent="0.2">
      <c r="A6" s="351">
        <f t="shared" si="0"/>
        <v>11</v>
      </c>
      <c r="B6" s="351">
        <f t="shared" si="1"/>
        <v>16</v>
      </c>
      <c r="C6" s="351">
        <v>8</v>
      </c>
      <c r="D6" s="402" t="str">
        <f>INDEX(Players!B:B,MATCH(E6,Players!F:F,0))</f>
        <v>B</v>
      </c>
      <c r="E6" s="337" t="s">
        <v>338</v>
      </c>
      <c r="F6" s="349">
        <f t="shared" si="2"/>
        <v>34.242795815295821</v>
      </c>
      <c r="G6" s="62">
        <f t="shared" si="3"/>
        <v>32</v>
      </c>
      <c r="H6" s="349">
        <v>2.2300000000000004</v>
      </c>
      <c r="I6" s="158">
        <v>2</v>
      </c>
      <c r="J6" s="612">
        <f>INDEX(Players!A:A,MATCH(E6,Players!F:F,0))</f>
        <v>-31.355</v>
      </c>
      <c r="K6" s="339">
        <f t="shared" si="8"/>
        <v>10</v>
      </c>
      <c r="L6" s="340">
        <v>5</v>
      </c>
      <c r="M6" s="340">
        <f>INDEX(Table!L:L,MATCH(E6,Table!F:F,0))</f>
        <v>40.5</v>
      </c>
      <c r="N6" s="339">
        <f t="shared" si="9"/>
        <v>55.5</v>
      </c>
      <c r="O6" s="612">
        <f t="shared" si="4"/>
        <v>24.145</v>
      </c>
      <c r="P6" s="341">
        <v>-5.5</v>
      </c>
      <c r="Q6" s="342">
        <v>1</v>
      </c>
      <c r="R6" s="343"/>
      <c r="S6" s="344">
        <v>-7</v>
      </c>
      <c r="T6" s="345">
        <v>0</v>
      </c>
      <c r="U6" s="346"/>
      <c r="V6" s="341">
        <v>11.146250000000002</v>
      </c>
      <c r="W6" s="347">
        <v>3</v>
      </c>
      <c r="X6" s="343">
        <v>5</v>
      </c>
      <c r="Y6" s="344">
        <v>-7</v>
      </c>
      <c r="Z6" s="345">
        <v>0</v>
      </c>
      <c r="AA6" s="346"/>
      <c r="AB6" s="341">
        <v>-7</v>
      </c>
      <c r="AC6" s="347">
        <v>0</v>
      </c>
      <c r="AD6" s="343"/>
      <c r="AE6" s="344">
        <v>0.29999999999999982</v>
      </c>
      <c r="AF6" s="345">
        <v>2</v>
      </c>
      <c r="AG6" s="346"/>
      <c r="AH6" s="341">
        <v>6.5870129870129865</v>
      </c>
      <c r="AI6" s="347">
        <v>3</v>
      </c>
      <c r="AJ6" s="343"/>
      <c r="AK6" s="344">
        <v>17.23725</v>
      </c>
      <c r="AL6" s="345">
        <v>3</v>
      </c>
      <c r="AM6" s="346"/>
      <c r="AN6" s="341">
        <v>-0.20833333333333304</v>
      </c>
      <c r="AO6" s="347">
        <v>2</v>
      </c>
      <c r="AP6" s="343"/>
      <c r="AQ6" s="344">
        <v>25.702500000000001</v>
      </c>
      <c r="AR6" s="345">
        <v>3</v>
      </c>
      <c r="AS6" s="346">
        <v>5</v>
      </c>
      <c r="AT6" s="341">
        <v>0.2333333333333325</v>
      </c>
      <c r="AU6" s="347">
        <v>2</v>
      </c>
      <c r="AV6" s="343"/>
      <c r="AW6" s="344">
        <v>10.1815</v>
      </c>
      <c r="AX6" s="345">
        <v>3</v>
      </c>
      <c r="AY6" s="346"/>
      <c r="AZ6" s="341">
        <v>-1</v>
      </c>
      <c r="BA6" s="347">
        <v>0</v>
      </c>
      <c r="BB6" s="343"/>
      <c r="BC6" s="344">
        <v>-2.5949999999999998</v>
      </c>
      <c r="BD6" s="345">
        <v>2</v>
      </c>
      <c r="BE6" s="346"/>
      <c r="BF6" s="341">
        <v>-5.2</v>
      </c>
      <c r="BG6" s="347">
        <v>1</v>
      </c>
      <c r="BH6" s="343"/>
      <c r="BI6" s="344">
        <v>-7</v>
      </c>
      <c r="BJ6" s="348">
        <v>0</v>
      </c>
      <c r="BK6" s="346"/>
      <c r="BL6" s="341">
        <v>-1.6444444444444439</v>
      </c>
      <c r="BM6" s="347">
        <v>2</v>
      </c>
      <c r="BN6" s="343"/>
      <c r="BO6" s="344">
        <v>11.772727272727273</v>
      </c>
      <c r="BP6" s="348">
        <v>3</v>
      </c>
      <c r="BQ6" s="346"/>
      <c r="BR6" s="341">
        <v>-7</v>
      </c>
      <c r="BS6" s="347">
        <v>0</v>
      </c>
      <c r="BT6" s="343"/>
      <c r="BU6" s="344">
        <v>2.2300000000000004</v>
      </c>
      <c r="BV6" s="345">
        <v>2</v>
      </c>
      <c r="BW6" s="346"/>
      <c r="BX6" s="344">
        <f t="shared" si="5"/>
        <v>34.242795815295814</v>
      </c>
      <c r="BY6" s="345">
        <f t="shared" si="6"/>
        <v>32</v>
      </c>
      <c r="BZ6" s="346">
        <f t="shared" si="7"/>
        <v>10</v>
      </c>
      <c r="CA6" s="56"/>
      <c r="DZ6" s="57"/>
      <c r="EA6" s="57"/>
      <c r="EH6" s="54"/>
      <c r="EI6" s="54"/>
    </row>
    <row r="7" spans="1:139" x14ac:dyDescent="0.2">
      <c r="A7" s="351">
        <f t="shared" si="0"/>
        <v>58</v>
      </c>
      <c r="B7" s="351">
        <f t="shared" si="1"/>
        <v>38</v>
      </c>
      <c r="C7" s="351">
        <v>57</v>
      </c>
      <c r="D7" s="402" t="str">
        <f>INDEX(Players!B:B,MATCH(E7,Players!F:F,0))</f>
        <v>A</v>
      </c>
      <c r="E7" s="337" t="s">
        <v>332</v>
      </c>
      <c r="F7" s="349">
        <f t="shared" si="2"/>
        <v>-70.111893939393951</v>
      </c>
      <c r="G7" s="62">
        <f t="shared" si="3"/>
        <v>23</v>
      </c>
      <c r="H7" s="349">
        <v>-4.625</v>
      </c>
      <c r="I7" s="158">
        <v>1</v>
      </c>
      <c r="J7" s="612">
        <f>INDEX(Players!A:A,MATCH(E7,Players!F:F,0))</f>
        <v>206.965</v>
      </c>
      <c r="K7" s="339">
        <f t="shared" si="8"/>
        <v>0</v>
      </c>
      <c r="L7" s="340"/>
      <c r="M7" s="340">
        <f>INDEX(Table!L:L,MATCH(E7,Table!F:F,0))</f>
        <v>0</v>
      </c>
      <c r="N7" s="339">
        <f t="shared" si="9"/>
        <v>0</v>
      </c>
      <c r="O7" s="612">
        <f t="shared" si="4"/>
        <v>206.965</v>
      </c>
      <c r="P7" s="341">
        <v>-0.16000000000000014</v>
      </c>
      <c r="Q7" s="342">
        <v>2</v>
      </c>
      <c r="R7" s="343"/>
      <c r="S7" s="344">
        <v>-7</v>
      </c>
      <c r="T7" s="345">
        <v>0</v>
      </c>
      <c r="U7" s="346"/>
      <c r="V7" s="341">
        <v>1.120000000000001</v>
      </c>
      <c r="W7" s="347">
        <v>2</v>
      </c>
      <c r="X7" s="343"/>
      <c r="Y7" s="344">
        <v>2.7300000000000004</v>
      </c>
      <c r="Z7" s="345">
        <v>2</v>
      </c>
      <c r="AA7" s="346"/>
      <c r="AB7" s="341">
        <v>-4.5999999999999996</v>
      </c>
      <c r="AC7" s="347">
        <v>1</v>
      </c>
      <c r="AD7" s="343"/>
      <c r="AE7" s="344">
        <v>-5.0909090909090908</v>
      </c>
      <c r="AF7" s="345">
        <v>1</v>
      </c>
      <c r="AG7" s="346"/>
      <c r="AH7" s="341">
        <v>-3.1</v>
      </c>
      <c r="AI7" s="347">
        <v>1</v>
      </c>
      <c r="AJ7" s="343"/>
      <c r="AK7" s="344">
        <v>-5.0909090909090908</v>
      </c>
      <c r="AL7" s="345">
        <v>1</v>
      </c>
      <c r="AM7" s="346"/>
      <c r="AN7" s="341">
        <v>-6.666666666666643E-2</v>
      </c>
      <c r="AO7" s="347">
        <v>2</v>
      </c>
      <c r="AP7" s="343"/>
      <c r="AQ7" s="344">
        <v>-5.2</v>
      </c>
      <c r="AR7" s="345">
        <v>1</v>
      </c>
      <c r="AS7" s="346"/>
      <c r="AT7" s="341">
        <v>-4.6500000000000004</v>
      </c>
      <c r="AU7" s="347">
        <v>1</v>
      </c>
      <c r="AV7" s="343"/>
      <c r="AW7" s="344">
        <v>-4.5999999999999996</v>
      </c>
      <c r="AX7" s="345">
        <v>1</v>
      </c>
      <c r="AY7" s="346"/>
      <c r="AZ7" s="341">
        <v>-5.45</v>
      </c>
      <c r="BA7" s="347">
        <v>1</v>
      </c>
      <c r="BB7" s="343"/>
      <c r="BC7" s="344">
        <v>0.66249999999999964</v>
      </c>
      <c r="BD7" s="345">
        <v>2</v>
      </c>
      <c r="BE7" s="346"/>
      <c r="BF7" s="341">
        <v>-4.2</v>
      </c>
      <c r="BG7" s="347">
        <v>1</v>
      </c>
      <c r="BH7" s="343"/>
      <c r="BI7" s="344">
        <v>-7</v>
      </c>
      <c r="BJ7" s="348">
        <v>0</v>
      </c>
      <c r="BK7" s="346"/>
      <c r="BL7" s="341">
        <v>-5.0909090909090908</v>
      </c>
      <c r="BM7" s="347">
        <v>1</v>
      </c>
      <c r="BN7" s="343"/>
      <c r="BO7" s="344">
        <v>-4.5999999999999996</v>
      </c>
      <c r="BP7" s="348">
        <v>1</v>
      </c>
      <c r="BQ7" s="346"/>
      <c r="BR7" s="341">
        <v>-4.0999999999999996</v>
      </c>
      <c r="BS7" s="347">
        <v>1</v>
      </c>
      <c r="BT7" s="343"/>
      <c r="BU7" s="344">
        <v>-4.625</v>
      </c>
      <c r="BV7" s="345">
        <v>1</v>
      </c>
      <c r="BW7" s="346"/>
      <c r="BX7" s="344">
        <f t="shared" si="5"/>
        <v>-70.111893939393937</v>
      </c>
      <c r="BY7" s="345">
        <f t="shared" si="6"/>
        <v>23</v>
      </c>
      <c r="BZ7" s="346">
        <f t="shared" si="7"/>
        <v>0</v>
      </c>
      <c r="CA7" s="56"/>
      <c r="DZ7" s="57"/>
      <c r="EA7" s="57"/>
      <c r="EH7" s="54"/>
      <c r="EI7" s="54"/>
    </row>
    <row r="8" spans="1:139" x14ac:dyDescent="0.2">
      <c r="A8" s="351">
        <f t="shared" si="0"/>
        <v>4</v>
      </c>
      <c r="B8" s="351">
        <f t="shared" si="1"/>
        <v>13</v>
      </c>
      <c r="C8" s="351">
        <v>4</v>
      </c>
      <c r="D8" s="402" t="str">
        <f>INDEX(Players!B:B,MATCH(E8,Players!F:F,0))</f>
        <v>D</v>
      </c>
      <c r="E8" s="337" t="s">
        <v>366</v>
      </c>
      <c r="F8" s="349">
        <f t="shared" si="2"/>
        <v>70.847294372294371</v>
      </c>
      <c r="G8" s="62">
        <f t="shared" si="3"/>
        <v>22</v>
      </c>
      <c r="H8" s="349">
        <v>5.1999999999999993</v>
      </c>
      <c r="I8" s="158">
        <v>2</v>
      </c>
      <c r="J8" s="612">
        <f>INDEX(Players!A:A,MATCH(E8,Players!F:F,0))</f>
        <v>-3.75</v>
      </c>
      <c r="K8" s="339">
        <f t="shared" si="8"/>
        <v>15</v>
      </c>
      <c r="L8" s="340"/>
      <c r="M8" s="340">
        <f>INDEX(Table!L:L,MATCH(E8,Table!F:F,0))</f>
        <v>18.75</v>
      </c>
      <c r="N8" s="339">
        <f t="shared" si="9"/>
        <v>33.75</v>
      </c>
      <c r="O8" s="612">
        <f t="shared" si="4"/>
        <v>30</v>
      </c>
      <c r="P8" s="341">
        <v>-7</v>
      </c>
      <c r="Q8" s="342">
        <v>0</v>
      </c>
      <c r="R8" s="343"/>
      <c r="S8" s="344">
        <v>-4.5999999999999996</v>
      </c>
      <c r="T8" s="345">
        <v>1</v>
      </c>
      <c r="U8" s="346"/>
      <c r="V8" s="341">
        <v>-7</v>
      </c>
      <c r="W8" s="347">
        <v>0</v>
      </c>
      <c r="X8" s="343"/>
      <c r="Y8" s="344">
        <v>25.799999999999997</v>
      </c>
      <c r="Z8" s="345">
        <v>2</v>
      </c>
      <c r="AA8" s="346">
        <v>5</v>
      </c>
      <c r="AB8" s="341">
        <v>-4.3</v>
      </c>
      <c r="AC8" s="347">
        <v>1</v>
      </c>
      <c r="AD8" s="343"/>
      <c r="AE8" s="344">
        <v>-5.666666666666667</v>
      </c>
      <c r="AF8" s="345">
        <v>1</v>
      </c>
      <c r="AG8" s="346"/>
      <c r="AH8" s="341">
        <v>42.914285714285711</v>
      </c>
      <c r="AI8" s="347">
        <v>3</v>
      </c>
      <c r="AJ8" s="343">
        <v>5</v>
      </c>
      <c r="AK8" s="344">
        <v>-3.8</v>
      </c>
      <c r="AL8" s="345">
        <v>1</v>
      </c>
      <c r="AM8" s="346"/>
      <c r="AN8" s="341">
        <v>13.375</v>
      </c>
      <c r="AO8" s="347">
        <v>2</v>
      </c>
      <c r="AP8" s="343"/>
      <c r="AQ8" s="344">
        <v>17.600000000000001</v>
      </c>
      <c r="AR8" s="345">
        <v>2</v>
      </c>
      <c r="AS8" s="346"/>
      <c r="AT8" s="341">
        <v>-7</v>
      </c>
      <c r="AU8" s="347">
        <v>0</v>
      </c>
      <c r="AV8" s="343"/>
      <c r="AW8" s="344">
        <v>-7</v>
      </c>
      <c r="AX8" s="345">
        <v>0</v>
      </c>
      <c r="AY8" s="346"/>
      <c r="AZ8" s="341">
        <v>-5.8571428571428577</v>
      </c>
      <c r="BA8" s="347">
        <v>1</v>
      </c>
      <c r="BB8" s="343"/>
      <c r="BC8" s="344">
        <v>-5.2</v>
      </c>
      <c r="BD8" s="345">
        <v>1</v>
      </c>
      <c r="BE8" s="346"/>
      <c r="BF8" s="341">
        <v>-7</v>
      </c>
      <c r="BG8" s="347">
        <v>0</v>
      </c>
      <c r="BH8" s="343"/>
      <c r="BI8" s="344">
        <v>-4.3</v>
      </c>
      <c r="BJ8" s="348">
        <v>1</v>
      </c>
      <c r="BK8" s="346"/>
      <c r="BL8" s="341">
        <v>-3.5</v>
      </c>
      <c r="BM8" s="347">
        <v>1</v>
      </c>
      <c r="BN8" s="343"/>
      <c r="BO8" s="344">
        <v>45.181818181818187</v>
      </c>
      <c r="BP8" s="348">
        <v>3</v>
      </c>
      <c r="BQ8" s="346">
        <v>5</v>
      </c>
      <c r="BR8" s="341">
        <v>-7</v>
      </c>
      <c r="BS8" s="347">
        <v>0</v>
      </c>
      <c r="BT8" s="343"/>
      <c r="BU8" s="344">
        <v>5.1999999999999993</v>
      </c>
      <c r="BV8" s="345">
        <v>2</v>
      </c>
      <c r="BW8" s="346"/>
      <c r="BX8" s="344">
        <f t="shared" si="5"/>
        <v>70.847294372294385</v>
      </c>
      <c r="BY8" s="345">
        <f t="shared" si="6"/>
        <v>22</v>
      </c>
      <c r="BZ8" s="346">
        <f t="shared" si="7"/>
        <v>15</v>
      </c>
      <c r="CA8" s="56"/>
      <c r="DZ8" s="57"/>
      <c r="EA8" s="57"/>
      <c r="EH8" s="54"/>
      <c r="EI8" s="54"/>
    </row>
    <row r="9" spans="1:139" x14ac:dyDescent="0.2">
      <c r="A9" s="351">
        <f t="shared" si="0"/>
        <v>25</v>
      </c>
      <c r="B9" s="351">
        <f t="shared" si="1"/>
        <v>26</v>
      </c>
      <c r="C9" s="351">
        <v>15</v>
      </c>
      <c r="D9" s="402" t="str">
        <f>INDEX(Players!B:B,MATCH(E9,Players!F:F,0))</f>
        <v>D</v>
      </c>
      <c r="E9" s="337" t="s">
        <v>457</v>
      </c>
      <c r="F9" s="349">
        <f t="shared" si="2"/>
        <v>11.6381691919192</v>
      </c>
      <c r="G9" s="62">
        <f t="shared" si="3"/>
        <v>30</v>
      </c>
      <c r="H9" s="349">
        <v>-1.2777777777777777</v>
      </c>
      <c r="I9" s="158">
        <v>2</v>
      </c>
      <c r="J9" s="612">
        <f>INDEX(Players!A:A,MATCH(E9,Players!F:F,0))</f>
        <v>-40</v>
      </c>
      <c r="K9" s="339">
        <f t="shared" si="8"/>
        <v>10</v>
      </c>
      <c r="L9" s="340">
        <v>25</v>
      </c>
      <c r="M9" s="340">
        <f>INDEX(Table!L:L,MATCH(E9,Table!F:F,0))</f>
        <v>0</v>
      </c>
      <c r="N9" s="339">
        <f t="shared" si="9"/>
        <v>35</v>
      </c>
      <c r="O9" s="612">
        <f t="shared" si="4"/>
        <v>-5</v>
      </c>
      <c r="P9" s="341">
        <v>-7</v>
      </c>
      <c r="Q9" s="342">
        <v>0</v>
      </c>
      <c r="R9" s="343"/>
      <c r="S9" s="344">
        <v>0.66999999999999993</v>
      </c>
      <c r="T9" s="345">
        <v>2</v>
      </c>
      <c r="U9" s="346"/>
      <c r="V9" s="341">
        <v>-5.35</v>
      </c>
      <c r="W9" s="347">
        <v>1</v>
      </c>
      <c r="X9" s="343"/>
      <c r="Y9" s="344">
        <v>-7</v>
      </c>
      <c r="Z9" s="345">
        <v>0</v>
      </c>
      <c r="AA9" s="346"/>
      <c r="AB9" s="341">
        <v>-7</v>
      </c>
      <c r="AC9" s="347">
        <v>0</v>
      </c>
      <c r="AD9" s="343"/>
      <c r="AE9" s="344">
        <v>0.29090909090909101</v>
      </c>
      <c r="AF9" s="345">
        <v>2</v>
      </c>
      <c r="AG9" s="346"/>
      <c r="AH9" s="341">
        <v>-7</v>
      </c>
      <c r="AI9" s="347">
        <v>0</v>
      </c>
      <c r="AJ9" s="343"/>
      <c r="AK9" s="344">
        <v>-7</v>
      </c>
      <c r="AL9" s="345">
        <v>0</v>
      </c>
      <c r="AM9" s="346"/>
      <c r="AN9" s="341">
        <v>17.322916666666668</v>
      </c>
      <c r="AO9" s="347">
        <v>3</v>
      </c>
      <c r="AP9" s="343"/>
      <c r="AQ9" s="344">
        <v>0.125</v>
      </c>
      <c r="AR9" s="345">
        <v>2</v>
      </c>
      <c r="AS9" s="346"/>
      <c r="AT9" s="341">
        <v>-4.8499999999999996</v>
      </c>
      <c r="AU9" s="347">
        <v>1</v>
      </c>
      <c r="AV9" s="343"/>
      <c r="AW9" s="344">
        <v>-1.375</v>
      </c>
      <c r="AX9" s="345">
        <v>2</v>
      </c>
      <c r="AY9" s="346"/>
      <c r="AZ9" s="341">
        <v>-1.45</v>
      </c>
      <c r="BA9" s="347">
        <v>1</v>
      </c>
      <c r="BB9" s="343"/>
      <c r="BC9" s="344">
        <v>16.196666666666669</v>
      </c>
      <c r="BD9" s="345">
        <v>3</v>
      </c>
      <c r="BE9" s="346"/>
      <c r="BF9" s="341">
        <v>10.850000000000001</v>
      </c>
      <c r="BG9" s="347">
        <v>3</v>
      </c>
      <c r="BH9" s="343">
        <v>5</v>
      </c>
      <c r="BI9" s="344">
        <v>-1.1600000000000001</v>
      </c>
      <c r="BJ9" s="348">
        <v>2</v>
      </c>
      <c r="BK9" s="346"/>
      <c r="BL9" s="341">
        <v>15.100000000000001</v>
      </c>
      <c r="BM9" s="347">
        <v>3</v>
      </c>
      <c r="BN9" s="343">
        <v>5</v>
      </c>
      <c r="BO9" s="344">
        <v>8.5454545454545467</v>
      </c>
      <c r="BP9" s="348">
        <v>3</v>
      </c>
      <c r="BQ9" s="346"/>
      <c r="BR9" s="341">
        <v>-7</v>
      </c>
      <c r="BS9" s="347">
        <v>0</v>
      </c>
      <c r="BT9" s="343"/>
      <c r="BU9" s="344">
        <v>-1.2777777777777777</v>
      </c>
      <c r="BV9" s="345">
        <v>2</v>
      </c>
      <c r="BW9" s="346"/>
      <c r="BX9" s="344">
        <f t="shared" si="5"/>
        <v>11.638169191919189</v>
      </c>
      <c r="BY9" s="345">
        <f t="shared" si="6"/>
        <v>30</v>
      </c>
      <c r="BZ9" s="346">
        <f t="shared" si="7"/>
        <v>10</v>
      </c>
      <c r="CA9" s="56"/>
      <c r="DZ9" s="57"/>
      <c r="EA9" s="57"/>
      <c r="EH9" s="54"/>
      <c r="EI9" s="54"/>
    </row>
    <row r="10" spans="1:139" x14ac:dyDescent="0.2">
      <c r="A10" s="351">
        <f t="shared" si="0"/>
        <v>30</v>
      </c>
      <c r="B10" s="351">
        <f t="shared" si="1"/>
        <v>47</v>
      </c>
      <c r="C10" s="351">
        <v>25</v>
      </c>
      <c r="D10" s="402" t="str">
        <f>INDEX(Players!B:B,MATCH(E10,Players!F:F,0))</f>
        <v>A</v>
      </c>
      <c r="E10" s="337" t="s">
        <v>322</v>
      </c>
      <c r="F10" s="349">
        <f t="shared" si="2"/>
        <v>-11.598515928515933</v>
      </c>
      <c r="G10" s="62">
        <f t="shared" si="3"/>
        <v>30</v>
      </c>
      <c r="H10" s="349">
        <v>-7</v>
      </c>
      <c r="I10" s="158">
        <v>0</v>
      </c>
      <c r="J10" s="612">
        <f>INDEX(Players!A:A,MATCH(E10,Players!F:F,0))</f>
        <v>151.35499999999999</v>
      </c>
      <c r="K10" s="339">
        <f t="shared" si="8"/>
        <v>5</v>
      </c>
      <c r="L10" s="340"/>
      <c r="M10" s="340">
        <f>INDEX(Table!L:L,MATCH(E10,Table!F:F,0))</f>
        <v>0</v>
      </c>
      <c r="N10" s="339">
        <f t="shared" si="9"/>
        <v>5</v>
      </c>
      <c r="O10" s="612">
        <f t="shared" si="4"/>
        <v>156.35499999999999</v>
      </c>
      <c r="P10" s="341">
        <v>-4</v>
      </c>
      <c r="Q10" s="342">
        <v>1</v>
      </c>
      <c r="R10" s="343"/>
      <c r="S10" s="344">
        <v>-7</v>
      </c>
      <c r="T10" s="345">
        <v>0</v>
      </c>
      <c r="U10" s="346"/>
      <c r="V10" s="341">
        <v>-5.05</v>
      </c>
      <c r="W10" s="347">
        <v>1</v>
      </c>
      <c r="X10" s="343"/>
      <c r="Y10" s="344">
        <v>-5.5555555555555554</v>
      </c>
      <c r="Z10" s="345">
        <v>1</v>
      </c>
      <c r="AA10" s="346"/>
      <c r="AB10" s="341">
        <v>-5.5</v>
      </c>
      <c r="AC10" s="347">
        <v>1</v>
      </c>
      <c r="AD10" s="343"/>
      <c r="AE10" s="344">
        <v>-1.8974358974358978</v>
      </c>
      <c r="AF10" s="345">
        <v>2</v>
      </c>
      <c r="AG10" s="346"/>
      <c r="AH10" s="341">
        <v>-5.6363636363636367</v>
      </c>
      <c r="AI10" s="347">
        <v>1</v>
      </c>
      <c r="AJ10" s="343"/>
      <c r="AK10" s="344">
        <v>10.90909090909091</v>
      </c>
      <c r="AL10" s="345">
        <v>3</v>
      </c>
      <c r="AM10" s="346"/>
      <c r="AN10" s="341">
        <v>1.5199999999999996</v>
      </c>
      <c r="AO10" s="347">
        <v>2</v>
      </c>
      <c r="AP10" s="343"/>
      <c r="AQ10" s="344">
        <v>8.25</v>
      </c>
      <c r="AR10" s="345">
        <v>3</v>
      </c>
      <c r="AS10" s="346"/>
      <c r="AT10" s="341">
        <v>-1.0909090909090908</v>
      </c>
      <c r="AU10" s="347">
        <v>2</v>
      </c>
      <c r="AV10" s="343"/>
      <c r="AW10" s="344">
        <v>-5.5</v>
      </c>
      <c r="AX10" s="345">
        <v>1</v>
      </c>
      <c r="AY10" s="346"/>
      <c r="AZ10" s="341">
        <v>-5.45</v>
      </c>
      <c r="BA10" s="347">
        <v>1</v>
      </c>
      <c r="BB10" s="343"/>
      <c r="BC10" s="344">
        <v>0.53999999999999915</v>
      </c>
      <c r="BD10" s="345">
        <v>2</v>
      </c>
      <c r="BE10" s="346"/>
      <c r="BF10" s="341">
        <v>-5.384615384615385</v>
      </c>
      <c r="BG10" s="347">
        <v>1</v>
      </c>
      <c r="BH10" s="343"/>
      <c r="BI10" s="344">
        <v>17.739999999999995</v>
      </c>
      <c r="BJ10" s="348">
        <v>3</v>
      </c>
      <c r="BK10" s="346">
        <v>5</v>
      </c>
      <c r="BL10" s="341">
        <v>2.66</v>
      </c>
      <c r="BM10" s="347">
        <v>2</v>
      </c>
      <c r="BN10" s="343"/>
      <c r="BO10" s="344">
        <v>12.847272727272731</v>
      </c>
      <c r="BP10" s="348">
        <v>3</v>
      </c>
      <c r="BQ10" s="346"/>
      <c r="BR10" s="341">
        <v>-7</v>
      </c>
      <c r="BS10" s="347">
        <v>0</v>
      </c>
      <c r="BT10" s="343"/>
      <c r="BU10" s="344">
        <v>-7</v>
      </c>
      <c r="BV10" s="345">
        <v>0</v>
      </c>
      <c r="BW10" s="346"/>
      <c r="BX10" s="344">
        <f t="shared" si="5"/>
        <v>-11.59851592851593</v>
      </c>
      <c r="BY10" s="345">
        <f t="shared" si="6"/>
        <v>30</v>
      </c>
      <c r="BZ10" s="346">
        <f t="shared" si="7"/>
        <v>5</v>
      </c>
      <c r="CA10" s="56"/>
      <c r="DZ10" s="57"/>
      <c r="EA10" s="57"/>
      <c r="EH10" s="54"/>
      <c r="EI10" s="54"/>
    </row>
    <row r="11" spans="1:139" x14ac:dyDescent="0.2">
      <c r="A11" s="351">
        <f t="shared" si="0"/>
        <v>18</v>
      </c>
      <c r="B11" s="351">
        <f t="shared" si="1"/>
        <v>47</v>
      </c>
      <c r="C11" s="351">
        <v>20</v>
      </c>
      <c r="D11" s="402" t="str">
        <f>INDEX(Players!B:B,MATCH(E11,Players!F:F,0))</f>
        <v>D</v>
      </c>
      <c r="E11" s="337" t="s">
        <v>451</v>
      </c>
      <c r="F11" s="349">
        <f t="shared" si="2"/>
        <v>26.22911976911977</v>
      </c>
      <c r="G11" s="62">
        <f t="shared" si="3"/>
        <v>27</v>
      </c>
      <c r="H11" s="349">
        <v>-7</v>
      </c>
      <c r="I11" s="158">
        <v>0</v>
      </c>
      <c r="J11" s="612">
        <f>INDEX(Players!A:A,MATCH(E11,Players!F:F,0))</f>
        <v>-35</v>
      </c>
      <c r="K11" s="339">
        <f t="shared" si="8"/>
        <v>15</v>
      </c>
      <c r="L11" s="340"/>
      <c r="M11" s="340">
        <f>INDEX(Table!L:L,MATCH(E11,Table!F:F,0))</f>
        <v>0</v>
      </c>
      <c r="N11" s="339">
        <f t="shared" si="9"/>
        <v>15</v>
      </c>
      <c r="O11" s="612">
        <f t="shared" si="4"/>
        <v>-20</v>
      </c>
      <c r="P11" s="341">
        <v>-3</v>
      </c>
      <c r="Q11" s="342">
        <v>1</v>
      </c>
      <c r="R11" s="343"/>
      <c r="S11" s="344">
        <v>19.878787878787882</v>
      </c>
      <c r="T11" s="345">
        <v>3</v>
      </c>
      <c r="U11" s="346">
        <v>5</v>
      </c>
      <c r="V11" s="341">
        <v>5.9649999999999999</v>
      </c>
      <c r="W11" s="347">
        <v>2</v>
      </c>
      <c r="X11" s="343"/>
      <c r="Y11" s="344">
        <v>13.9375</v>
      </c>
      <c r="Z11" s="345">
        <v>2</v>
      </c>
      <c r="AA11" s="346">
        <v>5</v>
      </c>
      <c r="AB11" s="341">
        <v>2.25</v>
      </c>
      <c r="AC11" s="347">
        <v>2</v>
      </c>
      <c r="AD11" s="343"/>
      <c r="AE11" s="344">
        <v>2.3199999999999985</v>
      </c>
      <c r="AF11" s="345">
        <v>2</v>
      </c>
      <c r="AG11" s="346"/>
      <c r="AH11" s="341">
        <v>-7</v>
      </c>
      <c r="AI11" s="347">
        <v>0</v>
      </c>
      <c r="AJ11" s="343"/>
      <c r="AK11" s="344">
        <v>1.8599999999999994</v>
      </c>
      <c r="AL11" s="345">
        <v>2</v>
      </c>
      <c r="AM11" s="346"/>
      <c r="AN11" s="341">
        <v>1.4916666666666671</v>
      </c>
      <c r="AO11" s="347">
        <v>2</v>
      </c>
      <c r="AP11" s="343"/>
      <c r="AQ11" s="344">
        <v>-7</v>
      </c>
      <c r="AR11" s="345">
        <v>0</v>
      </c>
      <c r="AS11" s="346"/>
      <c r="AT11" s="341">
        <v>-7</v>
      </c>
      <c r="AU11" s="347">
        <v>0</v>
      </c>
      <c r="AV11" s="343"/>
      <c r="AW11" s="344">
        <v>-5.45</v>
      </c>
      <c r="AX11" s="345">
        <v>1</v>
      </c>
      <c r="AY11" s="346"/>
      <c r="AZ11" s="341">
        <v>-5.8571428571428577</v>
      </c>
      <c r="BA11" s="347">
        <v>1</v>
      </c>
      <c r="BB11" s="343"/>
      <c r="BC11" s="344">
        <v>1.8900000000000006</v>
      </c>
      <c r="BD11" s="345">
        <v>2</v>
      </c>
      <c r="BE11" s="346"/>
      <c r="BF11" s="341">
        <v>-5.5555555555555554</v>
      </c>
      <c r="BG11" s="347">
        <v>1</v>
      </c>
      <c r="BH11" s="343"/>
      <c r="BI11" s="344">
        <v>2.6363636363636367</v>
      </c>
      <c r="BJ11" s="348">
        <v>2</v>
      </c>
      <c r="BK11" s="346"/>
      <c r="BL11" s="341">
        <v>6.8624999999999989</v>
      </c>
      <c r="BM11" s="347">
        <v>2</v>
      </c>
      <c r="BN11" s="343"/>
      <c r="BO11" s="344">
        <v>-7</v>
      </c>
      <c r="BP11" s="348">
        <v>0</v>
      </c>
      <c r="BQ11" s="346"/>
      <c r="BR11" s="341">
        <v>22</v>
      </c>
      <c r="BS11" s="347">
        <v>2</v>
      </c>
      <c r="BT11" s="343">
        <v>5</v>
      </c>
      <c r="BU11" s="344">
        <v>-7</v>
      </c>
      <c r="BV11" s="345">
        <v>0</v>
      </c>
      <c r="BW11" s="346"/>
      <c r="BX11" s="344">
        <f t="shared" si="5"/>
        <v>26.22911976911977</v>
      </c>
      <c r="BY11" s="345">
        <f t="shared" si="6"/>
        <v>27</v>
      </c>
      <c r="BZ11" s="346">
        <f t="shared" si="7"/>
        <v>15</v>
      </c>
      <c r="CA11" s="56"/>
      <c r="DZ11" s="57"/>
      <c r="EA11" s="57"/>
      <c r="EH11" s="54"/>
      <c r="EI11" s="54"/>
    </row>
    <row r="12" spans="1:139" x14ac:dyDescent="0.2">
      <c r="A12" s="351">
        <f t="shared" si="0"/>
        <v>50</v>
      </c>
      <c r="B12" s="351">
        <f t="shared" si="1"/>
        <v>47</v>
      </c>
      <c r="C12" s="351">
        <v>42</v>
      </c>
      <c r="D12" s="402" t="str">
        <f>INDEX(Players!B:B,MATCH(E12,Players!F:F,0))</f>
        <v>B</v>
      </c>
      <c r="E12" s="337" t="s">
        <v>355</v>
      </c>
      <c r="F12" s="349">
        <f t="shared" si="2"/>
        <v>-43.795000000000002</v>
      </c>
      <c r="G12" s="62">
        <f t="shared" si="3"/>
        <v>19</v>
      </c>
      <c r="H12" s="349">
        <v>-7</v>
      </c>
      <c r="I12" s="158">
        <v>0</v>
      </c>
      <c r="J12" s="612">
        <f>INDEX(Players!A:A,MATCH(E12,Players!F:F,0))</f>
        <v>47.775000000000006</v>
      </c>
      <c r="K12" s="339">
        <f t="shared" si="8"/>
        <v>5</v>
      </c>
      <c r="L12" s="340"/>
      <c r="M12" s="340">
        <f>INDEX(Table!L:L,MATCH(E12,Table!F:F,0))</f>
        <v>0</v>
      </c>
      <c r="N12" s="339">
        <f t="shared" si="9"/>
        <v>5</v>
      </c>
      <c r="O12" s="612">
        <f t="shared" si="4"/>
        <v>52.775000000000006</v>
      </c>
      <c r="P12" s="341">
        <v>-3</v>
      </c>
      <c r="Q12" s="342">
        <v>1</v>
      </c>
      <c r="R12" s="343"/>
      <c r="S12" s="344">
        <v>-7</v>
      </c>
      <c r="T12" s="345">
        <v>0</v>
      </c>
      <c r="U12" s="346"/>
      <c r="V12" s="341">
        <v>-7</v>
      </c>
      <c r="W12" s="347">
        <v>0</v>
      </c>
      <c r="X12" s="343"/>
      <c r="Y12" s="344">
        <v>2.125</v>
      </c>
      <c r="Z12" s="345">
        <v>2</v>
      </c>
      <c r="AA12" s="346"/>
      <c r="AB12" s="341">
        <v>-3.5</v>
      </c>
      <c r="AC12" s="347">
        <v>1</v>
      </c>
      <c r="AD12" s="343"/>
      <c r="AE12" s="344">
        <v>-4.7</v>
      </c>
      <c r="AF12" s="345">
        <v>1</v>
      </c>
      <c r="AG12" s="346"/>
      <c r="AH12" s="341">
        <v>-7</v>
      </c>
      <c r="AI12" s="347">
        <v>0</v>
      </c>
      <c r="AJ12" s="343"/>
      <c r="AK12" s="344">
        <v>-4.9000000000000004</v>
      </c>
      <c r="AL12" s="345">
        <v>1</v>
      </c>
      <c r="AM12" s="346"/>
      <c r="AN12" s="341">
        <v>3.3900000000000006</v>
      </c>
      <c r="AO12" s="347">
        <v>2</v>
      </c>
      <c r="AP12" s="343"/>
      <c r="AQ12" s="344">
        <v>-7</v>
      </c>
      <c r="AR12" s="345">
        <v>0</v>
      </c>
      <c r="AS12" s="346"/>
      <c r="AT12" s="341">
        <v>4.6000000000000014</v>
      </c>
      <c r="AU12" s="347">
        <v>2</v>
      </c>
      <c r="AV12" s="343">
        <v>5</v>
      </c>
      <c r="AW12" s="344">
        <v>-7</v>
      </c>
      <c r="AX12" s="345">
        <v>0</v>
      </c>
      <c r="AY12" s="346"/>
      <c r="AZ12" s="341">
        <v>-7</v>
      </c>
      <c r="BA12" s="347">
        <v>0</v>
      </c>
      <c r="BB12" s="343"/>
      <c r="BC12" s="344">
        <v>3.0400000000000009</v>
      </c>
      <c r="BD12" s="345">
        <v>2</v>
      </c>
      <c r="BE12" s="346"/>
      <c r="BF12" s="341">
        <v>7.58</v>
      </c>
      <c r="BG12" s="347">
        <v>2</v>
      </c>
      <c r="BH12" s="343"/>
      <c r="BI12" s="344">
        <v>5.0200000000000014</v>
      </c>
      <c r="BJ12" s="348">
        <v>2</v>
      </c>
      <c r="BK12" s="346"/>
      <c r="BL12" s="341">
        <v>7.4</v>
      </c>
      <c r="BM12" s="347">
        <v>2</v>
      </c>
      <c r="BN12" s="343"/>
      <c r="BO12" s="344">
        <v>-4.8499999999999996</v>
      </c>
      <c r="BP12" s="348">
        <v>1</v>
      </c>
      <c r="BQ12" s="346"/>
      <c r="BR12" s="341">
        <v>-7</v>
      </c>
      <c r="BS12" s="347">
        <v>0</v>
      </c>
      <c r="BT12" s="343"/>
      <c r="BU12" s="344">
        <v>-7</v>
      </c>
      <c r="BV12" s="345">
        <v>0</v>
      </c>
      <c r="BW12" s="346"/>
      <c r="BX12" s="344">
        <f t="shared" si="5"/>
        <v>-43.795000000000002</v>
      </c>
      <c r="BY12" s="345">
        <f t="shared" si="6"/>
        <v>19</v>
      </c>
      <c r="BZ12" s="346">
        <f t="shared" si="7"/>
        <v>5</v>
      </c>
      <c r="CA12" s="56"/>
      <c r="DZ12" s="57"/>
      <c r="EA12" s="57"/>
      <c r="EH12" s="54"/>
      <c r="EI12" s="54"/>
    </row>
    <row r="13" spans="1:139" x14ac:dyDescent="0.2">
      <c r="A13" s="351">
        <f t="shared" si="0"/>
        <v>45</v>
      </c>
      <c r="B13" s="351">
        <f t="shared" si="1"/>
        <v>4</v>
      </c>
      <c r="C13" s="351">
        <v>55</v>
      </c>
      <c r="D13" s="402" t="str">
        <f>INDEX(Players!B:B,MATCH(E13,Players!F:F,0))</f>
        <v>D</v>
      </c>
      <c r="E13" s="337" t="s">
        <v>361</v>
      </c>
      <c r="F13" s="349">
        <f t="shared" si="2"/>
        <v>-34.732847222222219</v>
      </c>
      <c r="G13" s="62">
        <f t="shared" si="3"/>
        <v>22</v>
      </c>
      <c r="H13" s="349">
        <v>25.969374999999999</v>
      </c>
      <c r="I13" s="158">
        <v>3</v>
      </c>
      <c r="J13" s="612">
        <f>INDEX(Players!A:A,MATCH(E13,Players!F:F,0))</f>
        <v>-12.939999999999998</v>
      </c>
      <c r="K13" s="339">
        <f t="shared" si="8"/>
        <v>2.5</v>
      </c>
      <c r="L13" s="340"/>
      <c r="M13" s="340">
        <f>INDEX(Table!L:L,MATCH(E13,Table!F:F,0))</f>
        <v>0</v>
      </c>
      <c r="N13" s="339">
        <f t="shared" si="9"/>
        <v>2.5</v>
      </c>
      <c r="O13" s="612">
        <f t="shared" si="4"/>
        <v>-10.439999999999998</v>
      </c>
      <c r="P13" s="341">
        <v>1.5199999999999996</v>
      </c>
      <c r="Q13" s="342">
        <v>2</v>
      </c>
      <c r="R13" s="343"/>
      <c r="S13" s="344">
        <v>-7</v>
      </c>
      <c r="T13" s="345">
        <v>0</v>
      </c>
      <c r="U13" s="346"/>
      <c r="V13" s="341">
        <v>-7</v>
      </c>
      <c r="W13" s="347">
        <v>0</v>
      </c>
      <c r="X13" s="343"/>
      <c r="Y13" s="344">
        <v>0.4375</v>
      </c>
      <c r="Z13" s="345">
        <v>2</v>
      </c>
      <c r="AA13" s="346"/>
      <c r="AB13" s="341">
        <v>-1.5</v>
      </c>
      <c r="AC13" s="347">
        <v>1</v>
      </c>
      <c r="AD13" s="343"/>
      <c r="AE13" s="344">
        <v>-4.0999999999999996</v>
      </c>
      <c r="AF13" s="345">
        <v>1</v>
      </c>
      <c r="AG13" s="346"/>
      <c r="AH13" s="341">
        <v>1.75</v>
      </c>
      <c r="AI13" s="347">
        <v>2</v>
      </c>
      <c r="AJ13" s="343"/>
      <c r="AK13" s="344">
        <v>-7</v>
      </c>
      <c r="AL13" s="345">
        <v>0</v>
      </c>
      <c r="AM13" s="346"/>
      <c r="AN13" s="341">
        <v>2.7777777777778567E-2</v>
      </c>
      <c r="AO13" s="347">
        <v>2</v>
      </c>
      <c r="AP13" s="343"/>
      <c r="AQ13" s="344">
        <v>-4.9000000000000004</v>
      </c>
      <c r="AR13" s="345">
        <v>1</v>
      </c>
      <c r="AS13" s="346"/>
      <c r="AT13" s="341">
        <v>-4.5</v>
      </c>
      <c r="AU13" s="347">
        <v>1</v>
      </c>
      <c r="AV13" s="343"/>
      <c r="AW13" s="344">
        <v>-4.5999999999999996</v>
      </c>
      <c r="AX13" s="345">
        <v>1</v>
      </c>
      <c r="AY13" s="346"/>
      <c r="AZ13" s="341">
        <v>-4.9000000000000004</v>
      </c>
      <c r="BA13" s="347">
        <v>1</v>
      </c>
      <c r="BB13" s="343"/>
      <c r="BC13" s="344">
        <v>-3.7</v>
      </c>
      <c r="BD13" s="345">
        <v>1</v>
      </c>
      <c r="BE13" s="346"/>
      <c r="BF13" s="341">
        <v>-7</v>
      </c>
      <c r="BG13" s="347">
        <v>0</v>
      </c>
      <c r="BH13" s="343"/>
      <c r="BI13" s="344">
        <v>-7</v>
      </c>
      <c r="BJ13" s="348">
        <v>0</v>
      </c>
      <c r="BK13" s="346"/>
      <c r="BL13" s="341">
        <v>2.5124999999999993</v>
      </c>
      <c r="BM13" s="347">
        <v>2</v>
      </c>
      <c r="BN13" s="343"/>
      <c r="BO13" s="344">
        <v>-0.75</v>
      </c>
      <c r="BP13" s="348">
        <v>2</v>
      </c>
      <c r="BQ13" s="346"/>
      <c r="BR13" s="341">
        <v>-3</v>
      </c>
      <c r="BS13" s="347">
        <v>0</v>
      </c>
      <c r="BT13" s="343"/>
      <c r="BU13" s="344">
        <v>25.969374999999999</v>
      </c>
      <c r="BV13" s="345">
        <v>3</v>
      </c>
      <c r="BW13" s="346">
        <v>2.5</v>
      </c>
      <c r="BX13" s="344">
        <f t="shared" si="5"/>
        <v>-34.732847222222219</v>
      </c>
      <c r="BY13" s="345">
        <f t="shared" si="6"/>
        <v>22</v>
      </c>
      <c r="BZ13" s="346">
        <f t="shared" si="7"/>
        <v>2.5</v>
      </c>
      <c r="CA13" s="56"/>
      <c r="DZ13" s="57"/>
      <c r="EA13" s="57"/>
      <c r="EH13" s="54"/>
      <c r="EI13" s="54"/>
    </row>
    <row r="14" spans="1:139" x14ac:dyDescent="0.2">
      <c r="A14" s="351">
        <f t="shared" si="0"/>
        <v>21</v>
      </c>
      <c r="B14" s="351">
        <f t="shared" si="1"/>
        <v>12</v>
      </c>
      <c r="C14" s="351">
        <v>22</v>
      </c>
      <c r="D14" s="402" t="str">
        <f>INDEX(Players!B:B,MATCH(E14,Players!F:F,0))</f>
        <v>C</v>
      </c>
      <c r="E14" s="337" t="s">
        <v>354</v>
      </c>
      <c r="F14" s="349">
        <f t="shared" si="2"/>
        <v>18.934010381153236</v>
      </c>
      <c r="G14" s="62">
        <f t="shared" si="3"/>
        <v>40</v>
      </c>
      <c r="H14" s="349">
        <v>6.5199999999999978</v>
      </c>
      <c r="I14" s="158">
        <v>2</v>
      </c>
      <c r="J14" s="612">
        <f>INDEX(Players!A:A,MATCH(E14,Players!F:F,0))</f>
        <v>-55</v>
      </c>
      <c r="K14" s="339">
        <f t="shared" si="8"/>
        <v>5</v>
      </c>
      <c r="L14" s="340"/>
      <c r="M14" s="340">
        <f>INDEX(Table!L:L,MATCH(E14,Table!F:F,0))</f>
        <v>13.5</v>
      </c>
      <c r="N14" s="339">
        <f t="shared" si="9"/>
        <v>18.5</v>
      </c>
      <c r="O14" s="612">
        <f t="shared" si="4"/>
        <v>-36.5</v>
      </c>
      <c r="P14" s="341">
        <v>-5.3</v>
      </c>
      <c r="Q14" s="342">
        <v>1</v>
      </c>
      <c r="R14" s="343"/>
      <c r="S14" s="344">
        <v>-0.44444444444444464</v>
      </c>
      <c r="T14" s="345">
        <v>2</v>
      </c>
      <c r="U14" s="346"/>
      <c r="V14" s="341">
        <v>-0.93333333333333357</v>
      </c>
      <c r="W14" s="347">
        <v>2</v>
      </c>
      <c r="X14" s="343"/>
      <c r="Y14" s="344">
        <v>3.3636363636363633</v>
      </c>
      <c r="Z14" s="345">
        <v>3</v>
      </c>
      <c r="AA14" s="346"/>
      <c r="AB14" s="341">
        <v>-0.91111111111111143</v>
      </c>
      <c r="AC14" s="347">
        <v>2</v>
      </c>
      <c r="AD14" s="343"/>
      <c r="AE14" s="344">
        <v>1</v>
      </c>
      <c r="AF14" s="345">
        <v>2</v>
      </c>
      <c r="AG14" s="346"/>
      <c r="AH14" s="341">
        <v>11.836734693877549</v>
      </c>
      <c r="AI14" s="347">
        <v>3</v>
      </c>
      <c r="AJ14" s="343">
        <v>5</v>
      </c>
      <c r="AK14" s="344">
        <v>-1.1818181818181817</v>
      </c>
      <c r="AL14" s="345">
        <v>2</v>
      </c>
      <c r="AM14" s="346"/>
      <c r="AN14" s="341">
        <v>9.3148148148148167</v>
      </c>
      <c r="AO14" s="347">
        <v>3</v>
      </c>
      <c r="AP14" s="343"/>
      <c r="AQ14" s="344">
        <v>7</v>
      </c>
      <c r="AR14" s="345">
        <v>3</v>
      </c>
      <c r="AS14" s="346"/>
      <c r="AT14" s="341">
        <v>-5.2727272727272725</v>
      </c>
      <c r="AU14" s="347">
        <v>1</v>
      </c>
      <c r="AV14" s="343"/>
      <c r="AW14" s="344">
        <v>0.375</v>
      </c>
      <c r="AX14" s="345">
        <v>2</v>
      </c>
      <c r="AY14" s="346"/>
      <c r="AZ14" s="341">
        <v>8.9392857142857132</v>
      </c>
      <c r="BA14" s="347">
        <v>3</v>
      </c>
      <c r="BB14" s="343"/>
      <c r="BC14" s="344">
        <v>-2.71</v>
      </c>
      <c r="BD14" s="345">
        <v>2</v>
      </c>
      <c r="BE14" s="346"/>
      <c r="BF14" s="341">
        <v>-1.6444444444444439</v>
      </c>
      <c r="BG14" s="347">
        <v>2</v>
      </c>
      <c r="BH14" s="343"/>
      <c r="BI14" s="344">
        <v>-5.6</v>
      </c>
      <c r="BJ14" s="348">
        <v>1</v>
      </c>
      <c r="BK14" s="346"/>
      <c r="BL14" s="341">
        <v>-7</v>
      </c>
      <c r="BM14" s="347">
        <v>0</v>
      </c>
      <c r="BN14" s="343"/>
      <c r="BO14" s="344">
        <v>-5.0909090909090908</v>
      </c>
      <c r="BP14" s="348">
        <v>1</v>
      </c>
      <c r="BQ14" s="346"/>
      <c r="BR14" s="341">
        <v>6.6733266733266738</v>
      </c>
      <c r="BS14" s="347">
        <v>3</v>
      </c>
      <c r="BT14" s="343"/>
      <c r="BU14" s="344">
        <v>6.5199999999999978</v>
      </c>
      <c r="BV14" s="345">
        <v>2</v>
      </c>
      <c r="BW14" s="346"/>
      <c r="BX14" s="344">
        <f t="shared" si="5"/>
        <v>18.934010381153232</v>
      </c>
      <c r="BY14" s="345">
        <f t="shared" si="6"/>
        <v>40</v>
      </c>
      <c r="BZ14" s="346">
        <f t="shared" si="7"/>
        <v>5</v>
      </c>
      <c r="CA14" s="56"/>
      <c r="DZ14" s="57"/>
      <c r="EA14" s="57"/>
      <c r="EH14" s="54"/>
      <c r="EI14" s="54"/>
    </row>
    <row r="15" spans="1:139" x14ac:dyDescent="0.2">
      <c r="A15" s="351">
        <f t="shared" si="0"/>
        <v>9</v>
      </c>
      <c r="B15" s="351">
        <f t="shared" si="1"/>
        <v>2</v>
      </c>
      <c r="C15" s="351">
        <v>17</v>
      </c>
      <c r="D15" s="402" t="str">
        <f>INDEX(Players!B:B,MATCH(E15,Players!F:F,0))</f>
        <v>A</v>
      </c>
      <c r="E15" s="337" t="s">
        <v>363</v>
      </c>
      <c r="F15" s="349">
        <f t="shared" si="2"/>
        <v>43.498000000000005</v>
      </c>
      <c r="G15" s="62">
        <f t="shared" si="3"/>
        <v>28</v>
      </c>
      <c r="H15" s="349">
        <v>30.272500000000001</v>
      </c>
      <c r="I15" s="158">
        <v>3</v>
      </c>
      <c r="J15" s="612">
        <f>INDEX(Players!A:A,MATCH(E15,Players!F:F,0))</f>
        <v>24.045000000000002</v>
      </c>
      <c r="K15" s="339">
        <f t="shared" si="8"/>
        <v>25</v>
      </c>
      <c r="L15" s="340"/>
      <c r="M15" s="340">
        <f>INDEX(Table!L:L,MATCH(E15,Table!F:F,0))</f>
        <v>60.75</v>
      </c>
      <c r="N15" s="339">
        <f t="shared" si="9"/>
        <v>85.75</v>
      </c>
      <c r="O15" s="612">
        <f t="shared" si="4"/>
        <v>109.795</v>
      </c>
      <c r="P15" s="341">
        <v>3.7300000000000004</v>
      </c>
      <c r="Q15" s="342">
        <v>2</v>
      </c>
      <c r="R15" s="343"/>
      <c r="S15" s="344">
        <v>-4.5999999999999996</v>
      </c>
      <c r="T15" s="345">
        <v>1</v>
      </c>
      <c r="U15" s="346"/>
      <c r="V15" s="341">
        <v>30.015999999999998</v>
      </c>
      <c r="W15" s="347">
        <v>3</v>
      </c>
      <c r="X15" s="343">
        <v>10</v>
      </c>
      <c r="Y15" s="344">
        <v>28.481999999999999</v>
      </c>
      <c r="Z15" s="345">
        <v>3</v>
      </c>
      <c r="AA15" s="346">
        <v>10</v>
      </c>
      <c r="AB15" s="341">
        <v>1.28125</v>
      </c>
      <c r="AC15" s="347">
        <v>2</v>
      </c>
      <c r="AD15" s="343"/>
      <c r="AE15" s="344">
        <v>-3.8</v>
      </c>
      <c r="AF15" s="345">
        <v>1</v>
      </c>
      <c r="AG15" s="346"/>
      <c r="AH15" s="341">
        <v>-4.125</v>
      </c>
      <c r="AI15" s="347">
        <v>1</v>
      </c>
      <c r="AJ15" s="343"/>
      <c r="AK15" s="344">
        <v>-7</v>
      </c>
      <c r="AL15" s="345">
        <v>0</v>
      </c>
      <c r="AM15" s="346"/>
      <c r="AN15" s="341">
        <v>4.9812499999999993</v>
      </c>
      <c r="AO15" s="347">
        <v>2</v>
      </c>
      <c r="AP15" s="343"/>
      <c r="AQ15" s="344">
        <v>3.0500000000000007</v>
      </c>
      <c r="AR15" s="345">
        <v>2</v>
      </c>
      <c r="AS15" s="346"/>
      <c r="AT15" s="341">
        <v>-4.6500000000000004</v>
      </c>
      <c r="AU15" s="347">
        <v>1</v>
      </c>
      <c r="AV15" s="343"/>
      <c r="AW15" s="344">
        <v>-4.5999999999999996</v>
      </c>
      <c r="AX15" s="345">
        <v>1</v>
      </c>
      <c r="AY15" s="346"/>
      <c r="AZ15" s="341">
        <v>2.3850000000000016</v>
      </c>
      <c r="BA15" s="347">
        <v>2</v>
      </c>
      <c r="BB15" s="343"/>
      <c r="BC15" s="344">
        <v>-4.8499999999999996</v>
      </c>
      <c r="BD15" s="345">
        <v>1</v>
      </c>
      <c r="BE15" s="346"/>
      <c r="BF15" s="341">
        <v>-7</v>
      </c>
      <c r="BG15" s="347">
        <v>0</v>
      </c>
      <c r="BH15" s="343"/>
      <c r="BI15" s="344">
        <v>-7</v>
      </c>
      <c r="BJ15" s="348">
        <v>0</v>
      </c>
      <c r="BK15" s="346"/>
      <c r="BL15" s="341">
        <v>-4.375</v>
      </c>
      <c r="BM15" s="347">
        <v>1</v>
      </c>
      <c r="BN15" s="343"/>
      <c r="BO15" s="344">
        <v>-4.5999999999999996</v>
      </c>
      <c r="BP15" s="348">
        <v>1</v>
      </c>
      <c r="BQ15" s="346"/>
      <c r="BR15" s="341">
        <v>-4.0999999999999996</v>
      </c>
      <c r="BS15" s="347">
        <v>1</v>
      </c>
      <c r="BT15" s="343"/>
      <c r="BU15" s="344">
        <v>30.272500000000001</v>
      </c>
      <c r="BV15" s="345">
        <v>3</v>
      </c>
      <c r="BW15" s="346">
        <v>5</v>
      </c>
      <c r="BX15" s="344">
        <f t="shared" si="5"/>
        <v>43.49799999999999</v>
      </c>
      <c r="BY15" s="345">
        <f t="shared" si="6"/>
        <v>28</v>
      </c>
      <c r="BZ15" s="346">
        <f t="shared" si="7"/>
        <v>25</v>
      </c>
      <c r="CA15" s="56"/>
      <c r="DZ15" s="57"/>
      <c r="EA15" s="57"/>
      <c r="EH15" s="54"/>
      <c r="EI15" s="54"/>
    </row>
    <row r="16" spans="1:139" x14ac:dyDescent="0.2">
      <c r="A16" s="351">
        <f t="shared" si="0"/>
        <v>41</v>
      </c>
      <c r="B16" s="351">
        <f t="shared" si="1"/>
        <v>47</v>
      </c>
      <c r="C16" s="351">
        <v>35</v>
      </c>
      <c r="D16" s="402" t="str">
        <f>INDEX(Players!B:B,MATCH(E16,Players!F:F,0))</f>
        <v>C</v>
      </c>
      <c r="E16" s="337" t="s">
        <v>358</v>
      </c>
      <c r="F16" s="349">
        <f t="shared" si="2"/>
        <v>-31.544999999999995</v>
      </c>
      <c r="G16" s="62">
        <f t="shared" si="3"/>
        <v>16</v>
      </c>
      <c r="H16" s="349">
        <v>-7</v>
      </c>
      <c r="I16" s="158">
        <v>0</v>
      </c>
      <c r="J16" s="612">
        <f>INDEX(Players!A:A,MATCH(E16,Players!F:F,0))</f>
        <v>-20.28</v>
      </c>
      <c r="K16" s="339">
        <f t="shared" si="8"/>
        <v>5</v>
      </c>
      <c r="L16" s="340"/>
      <c r="M16" s="340">
        <f>INDEX(Table!L:L,MATCH(E16,Table!F:F,0))</f>
        <v>0</v>
      </c>
      <c r="N16" s="339">
        <f t="shared" si="9"/>
        <v>5</v>
      </c>
      <c r="O16" s="612">
        <f t="shared" si="4"/>
        <v>-15.280000000000001</v>
      </c>
      <c r="P16" s="341">
        <v>-3</v>
      </c>
      <c r="Q16" s="342">
        <v>1</v>
      </c>
      <c r="R16" s="343"/>
      <c r="S16" s="344">
        <v>-2</v>
      </c>
      <c r="T16" s="345">
        <v>1</v>
      </c>
      <c r="U16" s="346"/>
      <c r="V16" s="341">
        <v>5.6900000000000013</v>
      </c>
      <c r="W16" s="347">
        <v>2</v>
      </c>
      <c r="X16" s="343"/>
      <c r="Y16" s="344">
        <v>-7</v>
      </c>
      <c r="Z16" s="345">
        <v>0</v>
      </c>
      <c r="AA16" s="346"/>
      <c r="AB16" s="341">
        <v>-3.6</v>
      </c>
      <c r="AC16" s="347">
        <v>1</v>
      </c>
      <c r="AD16" s="343"/>
      <c r="AE16" s="344">
        <v>16.5</v>
      </c>
      <c r="AF16" s="345">
        <v>2</v>
      </c>
      <c r="AG16" s="346">
        <v>5</v>
      </c>
      <c r="AH16" s="341">
        <v>-4.125</v>
      </c>
      <c r="AI16" s="347">
        <v>1</v>
      </c>
      <c r="AJ16" s="343"/>
      <c r="AK16" s="344">
        <v>-7</v>
      </c>
      <c r="AL16" s="345">
        <v>0</v>
      </c>
      <c r="AM16" s="346"/>
      <c r="AN16" s="341">
        <v>17</v>
      </c>
      <c r="AO16" s="347">
        <v>2</v>
      </c>
      <c r="AP16" s="343"/>
      <c r="AQ16" s="344">
        <v>-4</v>
      </c>
      <c r="AR16" s="345">
        <v>1</v>
      </c>
      <c r="AS16" s="346"/>
      <c r="AT16" s="341">
        <v>-7</v>
      </c>
      <c r="AU16" s="347">
        <v>0</v>
      </c>
      <c r="AV16" s="343"/>
      <c r="AW16" s="344">
        <v>-7</v>
      </c>
      <c r="AX16" s="345">
        <v>0</v>
      </c>
      <c r="AY16" s="346"/>
      <c r="AZ16" s="341">
        <v>-7</v>
      </c>
      <c r="BA16" s="347">
        <v>0</v>
      </c>
      <c r="BB16" s="343"/>
      <c r="BC16" s="344">
        <v>-4</v>
      </c>
      <c r="BD16" s="345">
        <v>1</v>
      </c>
      <c r="BE16" s="346"/>
      <c r="BF16" s="341">
        <v>-7</v>
      </c>
      <c r="BG16" s="347">
        <v>0</v>
      </c>
      <c r="BH16" s="343"/>
      <c r="BI16" s="344">
        <v>-3.5</v>
      </c>
      <c r="BJ16" s="348">
        <v>1</v>
      </c>
      <c r="BK16" s="346"/>
      <c r="BL16" s="341">
        <v>7.99</v>
      </c>
      <c r="BM16" s="347">
        <v>2</v>
      </c>
      <c r="BN16" s="343"/>
      <c r="BO16" s="344">
        <v>1.5</v>
      </c>
      <c r="BP16" s="348">
        <v>1</v>
      </c>
      <c r="BQ16" s="346"/>
      <c r="BR16" s="341">
        <v>-7</v>
      </c>
      <c r="BS16" s="347">
        <v>0</v>
      </c>
      <c r="BT16" s="343"/>
      <c r="BU16" s="344">
        <v>-7</v>
      </c>
      <c r="BV16" s="345">
        <v>0</v>
      </c>
      <c r="BW16" s="346"/>
      <c r="BX16" s="344">
        <f t="shared" si="5"/>
        <v>-31.544999999999998</v>
      </c>
      <c r="BY16" s="345">
        <f t="shared" si="6"/>
        <v>16</v>
      </c>
      <c r="BZ16" s="346">
        <f t="shared" si="7"/>
        <v>5</v>
      </c>
      <c r="CA16" s="56"/>
      <c r="DZ16" s="57"/>
      <c r="EA16" s="57"/>
      <c r="EH16" s="54"/>
      <c r="EI16" s="54"/>
    </row>
    <row r="17" spans="1:139" x14ac:dyDescent="0.2">
      <c r="A17" s="351">
        <f t="shared" si="0"/>
        <v>20</v>
      </c>
      <c r="B17" s="351">
        <f t="shared" si="1"/>
        <v>30</v>
      </c>
      <c r="C17" s="351">
        <v>13</v>
      </c>
      <c r="D17" s="402" t="str">
        <f>INDEX(Players!B:B,MATCH(E17,Players!F:F,0))</f>
        <v>D</v>
      </c>
      <c r="E17" s="337" t="s">
        <v>335</v>
      </c>
      <c r="F17" s="349">
        <f t="shared" si="2"/>
        <v>20.147486402486422</v>
      </c>
      <c r="G17" s="62">
        <f t="shared" si="3"/>
        <v>29</v>
      </c>
      <c r="H17" s="349">
        <v>-2.5999999999999996</v>
      </c>
      <c r="I17" s="158">
        <v>1</v>
      </c>
      <c r="J17" s="612">
        <f>INDEX(Players!A:A,MATCH(E17,Players!F:F,0))</f>
        <v>-35</v>
      </c>
      <c r="K17" s="339">
        <f t="shared" si="8"/>
        <v>15</v>
      </c>
      <c r="L17" s="340"/>
      <c r="M17" s="340">
        <f>INDEX(Table!L:L,MATCH(E17,Table!F:F,0))</f>
        <v>0</v>
      </c>
      <c r="N17" s="339">
        <f t="shared" si="9"/>
        <v>15</v>
      </c>
      <c r="O17" s="612">
        <f t="shared" si="4"/>
        <v>-20</v>
      </c>
      <c r="P17" s="341">
        <v>-1</v>
      </c>
      <c r="Q17" s="342">
        <v>2</v>
      </c>
      <c r="R17" s="343"/>
      <c r="S17" s="344">
        <v>-7</v>
      </c>
      <c r="T17" s="345">
        <v>0</v>
      </c>
      <c r="U17" s="346"/>
      <c r="V17" s="341">
        <v>2.5600000000000005</v>
      </c>
      <c r="W17" s="347">
        <v>2</v>
      </c>
      <c r="X17" s="343"/>
      <c r="Y17" s="344">
        <v>-5.25</v>
      </c>
      <c r="Z17" s="345">
        <v>1</v>
      </c>
      <c r="AA17" s="346"/>
      <c r="AB17" s="341">
        <v>0.82692307692307665</v>
      </c>
      <c r="AC17" s="347">
        <v>2</v>
      </c>
      <c r="AD17" s="343"/>
      <c r="AE17" s="344">
        <v>-1.4449999999999994</v>
      </c>
      <c r="AF17" s="345">
        <v>2</v>
      </c>
      <c r="AG17" s="346"/>
      <c r="AH17" s="341">
        <v>-4.75</v>
      </c>
      <c r="AI17" s="347">
        <v>1</v>
      </c>
      <c r="AJ17" s="343"/>
      <c r="AK17" s="344">
        <v>19.003846153846155</v>
      </c>
      <c r="AL17" s="345">
        <v>3</v>
      </c>
      <c r="AM17" s="346">
        <v>5</v>
      </c>
      <c r="AN17" s="341">
        <v>-1.7777777777777777</v>
      </c>
      <c r="AO17" s="347">
        <v>2</v>
      </c>
      <c r="AP17" s="343"/>
      <c r="AQ17" s="344">
        <v>39.146666666666675</v>
      </c>
      <c r="AR17" s="345">
        <v>3</v>
      </c>
      <c r="AS17" s="346">
        <v>10</v>
      </c>
      <c r="AT17" s="341">
        <v>-7</v>
      </c>
      <c r="AU17" s="347">
        <v>0</v>
      </c>
      <c r="AV17" s="343"/>
      <c r="AW17" s="344">
        <v>2.7100000000000009</v>
      </c>
      <c r="AX17" s="345">
        <v>2</v>
      </c>
      <c r="AY17" s="346"/>
      <c r="AZ17" s="341">
        <v>-4.5999999999999996</v>
      </c>
      <c r="BA17" s="347">
        <v>1</v>
      </c>
      <c r="BB17" s="343"/>
      <c r="BC17" s="344">
        <v>-5.2</v>
      </c>
      <c r="BD17" s="345">
        <v>1</v>
      </c>
      <c r="BE17" s="346"/>
      <c r="BF17" s="341">
        <v>-5.5555555555555554</v>
      </c>
      <c r="BG17" s="347">
        <v>1</v>
      </c>
      <c r="BH17" s="343"/>
      <c r="BI17" s="344">
        <v>9.64</v>
      </c>
      <c r="BJ17" s="348">
        <v>2</v>
      </c>
      <c r="BK17" s="346"/>
      <c r="BL17" s="341">
        <v>4.7111111111111121</v>
      </c>
      <c r="BM17" s="347">
        <v>2</v>
      </c>
      <c r="BN17" s="343"/>
      <c r="BO17" s="344">
        <v>-5.2727272727272725</v>
      </c>
      <c r="BP17" s="348">
        <v>1</v>
      </c>
      <c r="BQ17" s="346"/>
      <c r="BR17" s="341">
        <v>-7</v>
      </c>
      <c r="BS17" s="347">
        <v>0</v>
      </c>
      <c r="BT17" s="343"/>
      <c r="BU17" s="344">
        <v>-2.5999999999999996</v>
      </c>
      <c r="BV17" s="345">
        <v>1</v>
      </c>
      <c r="BW17" s="346"/>
      <c r="BX17" s="344">
        <f t="shared" si="5"/>
        <v>20.147486402486415</v>
      </c>
      <c r="BY17" s="345">
        <f t="shared" si="6"/>
        <v>29</v>
      </c>
      <c r="BZ17" s="346">
        <f t="shared" si="7"/>
        <v>15</v>
      </c>
      <c r="CA17" s="56"/>
      <c r="DZ17" s="57"/>
      <c r="EA17" s="57"/>
      <c r="EH17" s="54"/>
      <c r="EI17" s="54"/>
    </row>
    <row r="18" spans="1:139" x14ac:dyDescent="0.2">
      <c r="A18" s="351">
        <f t="shared" si="0"/>
        <v>62</v>
      </c>
      <c r="B18" s="351">
        <f t="shared" si="1"/>
        <v>47</v>
      </c>
      <c r="C18" s="351">
        <v>62</v>
      </c>
      <c r="D18" s="402" t="str">
        <f>INDEX(Players!B:B,MATCH(E18,Players!F:F,0))</f>
        <v>D</v>
      </c>
      <c r="E18" s="337" t="s">
        <v>465</v>
      </c>
      <c r="F18" s="349">
        <f t="shared" si="2"/>
        <v>-78.55</v>
      </c>
      <c r="G18" s="62">
        <f t="shared" si="3"/>
        <v>8</v>
      </c>
      <c r="H18" s="349">
        <v>-7</v>
      </c>
      <c r="I18" s="158">
        <v>0</v>
      </c>
      <c r="J18" s="612">
        <f>INDEX(Players!A:A,MATCH(E18,Players!F:F,0))</f>
        <v>-35</v>
      </c>
      <c r="K18" s="339">
        <f t="shared" si="8"/>
        <v>0</v>
      </c>
      <c r="L18" s="340"/>
      <c r="M18" s="340">
        <f>INDEX(Table!L:L,MATCH(E18,Table!F:F,0))</f>
        <v>0</v>
      </c>
      <c r="N18" s="339">
        <f t="shared" si="9"/>
        <v>0</v>
      </c>
      <c r="O18" s="612">
        <f t="shared" si="4"/>
        <v>-35</v>
      </c>
      <c r="P18" s="341">
        <v>-7</v>
      </c>
      <c r="Q18" s="342">
        <v>0</v>
      </c>
      <c r="R18" s="343"/>
      <c r="S18" s="344">
        <v>-7</v>
      </c>
      <c r="T18" s="345">
        <v>0</v>
      </c>
      <c r="U18" s="346"/>
      <c r="V18" s="341">
        <v>-7</v>
      </c>
      <c r="W18" s="347">
        <v>0</v>
      </c>
      <c r="X18" s="343"/>
      <c r="Y18" s="344">
        <v>-1.5</v>
      </c>
      <c r="Z18" s="345">
        <v>1</v>
      </c>
      <c r="AA18" s="346"/>
      <c r="AB18" s="341">
        <v>-7</v>
      </c>
      <c r="AC18" s="347">
        <v>0</v>
      </c>
      <c r="AD18" s="343"/>
      <c r="AE18" s="344">
        <v>-7</v>
      </c>
      <c r="AF18" s="345">
        <v>0</v>
      </c>
      <c r="AG18" s="346"/>
      <c r="AH18" s="341">
        <v>-7</v>
      </c>
      <c r="AI18" s="347">
        <v>0</v>
      </c>
      <c r="AJ18" s="343"/>
      <c r="AK18" s="344">
        <v>-7</v>
      </c>
      <c r="AL18" s="345">
        <v>0</v>
      </c>
      <c r="AM18" s="346"/>
      <c r="AN18" s="341">
        <v>-1.5</v>
      </c>
      <c r="AO18" s="347">
        <v>1</v>
      </c>
      <c r="AP18" s="343"/>
      <c r="AQ18" s="344">
        <v>-7</v>
      </c>
      <c r="AR18" s="345">
        <v>0</v>
      </c>
      <c r="AS18" s="346"/>
      <c r="AT18" s="341">
        <v>-7</v>
      </c>
      <c r="AU18" s="347">
        <v>0</v>
      </c>
      <c r="AV18" s="343"/>
      <c r="AW18" s="344">
        <v>-3</v>
      </c>
      <c r="AX18" s="345">
        <v>1</v>
      </c>
      <c r="AY18" s="346"/>
      <c r="AZ18" s="341">
        <v>-3.8</v>
      </c>
      <c r="BA18" s="347">
        <v>1</v>
      </c>
      <c r="BB18" s="343"/>
      <c r="BC18" s="344">
        <v>-7</v>
      </c>
      <c r="BD18" s="345">
        <v>0</v>
      </c>
      <c r="BE18" s="346"/>
      <c r="BF18" s="341">
        <v>-7</v>
      </c>
      <c r="BG18" s="347">
        <v>0</v>
      </c>
      <c r="BH18" s="343"/>
      <c r="BI18" s="344">
        <v>-3.5</v>
      </c>
      <c r="BJ18" s="348">
        <v>1</v>
      </c>
      <c r="BK18" s="346"/>
      <c r="BL18" s="341">
        <v>-7</v>
      </c>
      <c r="BM18" s="347">
        <v>0</v>
      </c>
      <c r="BN18" s="343"/>
      <c r="BO18" s="344">
        <v>25.75</v>
      </c>
      <c r="BP18" s="348">
        <v>2</v>
      </c>
      <c r="BQ18" s="346"/>
      <c r="BR18" s="341">
        <v>0</v>
      </c>
      <c r="BS18" s="347">
        <v>1</v>
      </c>
      <c r="BT18" s="343"/>
      <c r="BU18" s="344">
        <v>-7</v>
      </c>
      <c r="BV18" s="345">
        <v>0</v>
      </c>
      <c r="BW18" s="346"/>
      <c r="BX18" s="344">
        <f t="shared" si="5"/>
        <v>-78.55</v>
      </c>
      <c r="BY18" s="345">
        <f t="shared" si="6"/>
        <v>8</v>
      </c>
      <c r="BZ18" s="346">
        <f t="shared" si="7"/>
        <v>0</v>
      </c>
      <c r="CA18" s="56"/>
      <c r="DZ18" s="57"/>
      <c r="EA18" s="57"/>
      <c r="EH18" s="54"/>
      <c r="EI18" s="54"/>
    </row>
    <row r="19" spans="1:139" x14ac:dyDescent="0.2">
      <c r="A19" s="351">
        <f t="shared" si="0"/>
        <v>33</v>
      </c>
      <c r="B19" s="351">
        <f t="shared" si="1"/>
        <v>20</v>
      </c>
      <c r="C19" s="351">
        <v>30</v>
      </c>
      <c r="D19" s="402" t="str">
        <f>INDEX(Players!B:B,MATCH(E19,Players!F:F,0))</f>
        <v>C</v>
      </c>
      <c r="E19" s="337" t="s">
        <v>452</v>
      </c>
      <c r="F19" s="349">
        <f t="shared" si="2"/>
        <v>-14.056619658119665</v>
      </c>
      <c r="G19" s="62">
        <f t="shared" si="3"/>
        <v>30</v>
      </c>
      <c r="H19" s="349">
        <v>1.25</v>
      </c>
      <c r="I19" s="158">
        <v>2</v>
      </c>
      <c r="J19" s="612">
        <f>INDEX(Players!A:A,MATCH(E19,Players!F:F,0))</f>
        <v>3.3500000000000014</v>
      </c>
      <c r="K19" s="339">
        <f t="shared" si="8"/>
        <v>10</v>
      </c>
      <c r="L19" s="340"/>
      <c r="M19" s="340">
        <f>INDEX(Table!L:L,MATCH(E19,Table!F:F,0))</f>
        <v>3.375</v>
      </c>
      <c r="N19" s="339">
        <f t="shared" si="9"/>
        <v>13.375</v>
      </c>
      <c r="O19" s="612">
        <f t="shared" si="4"/>
        <v>16.725000000000001</v>
      </c>
      <c r="P19" s="341">
        <v>0.84999999999999964</v>
      </c>
      <c r="Q19" s="342">
        <v>2</v>
      </c>
      <c r="R19" s="343"/>
      <c r="S19" s="344">
        <v>-4.9000000000000004</v>
      </c>
      <c r="T19" s="345">
        <v>1</v>
      </c>
      <c r="U19" s="346"/>
      <c r="V19" s="341">
        <v>-5.05</v>
      </c>
      <c r="W19" s="347">
        <v>1</v>
      </c>
      <c r="X19" s="343"/>
      <c r="Y19" s="344">
        <v>-5</v>
      </c>
      <c r="Z19" s="345">
        <v>1</v>
      </c>
      <c r="AA19" s="346"/>
      <c r="AB19" s="341">
        <v>-4.625</v>
      </c>
      <c r="AC19" s="347">
        <v>1</v>
      </c>
      <c r="AD19" s="343"/>
      <c r="AE19" s="344">
        <v>0.6307692307692303</v>
      </c>
      <c r="AF19" s="345">
        <v>2</v>
      </c>
      <c r="AG19" s="346"/>
      <c r="AH19" s="341">
        <v>-4.95</v>
      </c>
      <c r="AI19" s="347">
        <v>1</v>
      </c>
      <c r="AJ19" s="343"/>
      <c r="AK19" s="344">
        <v>-7</v>
      </c>
      <c r="AL19" s="345">
        <v>0</v>
      </c>
      <c r="AM19" s="346"/>
      <c r="AN19" s="341">
        <v>0.12000000000000011</v>
      </c>
      <c r="AO19" s="347">
        <v>2</v>
      </c>
      <c r="AP19" s="343"/>
      <c r="AQ19" s="344">
        <v>-5.45</v>
      </c>
      <c r="AR19" s="345">
        <v>1</v>
      </c>
      <c r="AS19" s="346"/>
      <c r="AT19" s="341">
        <v>-5</v>
      </c>
      <c r="AU19" s="347">
        <v>1</v>
      </c>
      <c r="AV19" s="343"/>
      <c r="AW19" s="344">
        <v>-5.45</v>
      </c>
      <c r="AX19" s="345">
        <v>1</v>
      </c>
      <c r="AY19" s="346"/>
      <c r="AZ19" s="341">
        <v>2.3850000000000016</v>
      </c>
      <c r="BA19" s="347">
        <v>2</v>
      </c>
      <c r="BB19" s="343"/>
      <c r="BC19" s="344">
        <v>22.744</v>
      </c>
      <c r="BD19" s="345">
        <v>3</v>
      </c>
      <c r="BE19" s="346">
        <v>5</v>
      </c>
      <c r="BF19" s="341">
        <v>-0.78888888888888964</v>
      </c>
      <c r="BG19" s="347">
        <v>2</v>
      </c>
      <c r="BH19" s="343"/>
      <c r="BI19" s="344">
        <v>16.722500000000004</v>
      </c>
      <c r="BJ19" s="348">
        <v>3</v>
      </c>
      <c r="BK19" s="346">
        <v>5</v>
      </c>
      <c r="BL19" s="341">
        <v>-5.4</v>
      </c>
      <c r="BM19" s="347">
        <v>1</v>
      </c>
      <c r="BN19" s="343"/>
      <c r="BO19" s="344">
        <v>0.50499999999999901</v>
      </c>
      <c r="BP19" s="348">
        <v>2</v>
      </c>
      <c r="BQ19" s="346"/>
      <c r="BR19" s="341">
        <v>-5.65</v>
      </c>
      <c r="BS19" s="347">
        <v>1</v>
      </c>
      <c r="BT19" s="343"/>
      <c r="BU19" s="344">
        <v>1.25</v>
      </c>
      <c r="BV19" s="345">
        <v>2</v>
      </c>
      <c r="BW19" s="346"/>
      <c r="BX19" s="344">
        <f t="shared" si="5"/>
        <v>-14.056619658119656</v>
      </c>
      <c r="BY19" s="345">
        <f t="shared" si="6"/>
        <v>30</v>
      </c>
      <c r="BZ19" s="346">
        <f t="shared" si="7"/>
        <v>10</v>
      </c>
      <c r="CA19" s="56"/>
      <c r="DZ19" s="57"/>
      <c r="EA19" s="57"/>
      <c r="EH19" s="54"/>
      <c r="EI19" s="54"/>
    </row>
    <row r="20" spans="1:139" x14ac:dyDescent="0.2">
      <c r="A20" s="351">
        <f t="shared" si="0"/>
        <v>40</v>
      </c>
      <c r="B20" s="351">
        <f t="shared" si="1"/>
        <v>24</v>
      </c>
      <c r="C20" s="351">
        <v>43</v>
      </c>
      <c r="D20" s="402" t="str">
        <f>INDEX(Players!B:B,MATCH(E20,Players!F:F,0))</f>
        <v>C</v>
      </c>
      <c r="E20" s="337" t="s">
        <v>455</v>
      </c>
      <c r="F20" s="349">
        <f t="shared" si="2"/>
        <v>-29.921057969807979</v>
      </c>
      <c r="G20" s="62">
        <f t="shared" si="3"/>
        <v>30</v>
      </c>
      <c r="H20" s="349">
        <v>-0.125</v>
      </c>
      <c r="I20" s="158">
        <v>2</v>
      </c>
      <c r="J20" s="612">
        <f>INDEX(Players!A:A,MATCH(E20,Players!F:F,0))</f>
        <v>-24.33</v>
      </c>
      <c r="K20" s="339">
        <f t="shared" si="8"/>
        <v>2.5</v>
      </c>
      <c r="L20" s="340">
        <v>15</v>
      </c>
      <c r="M20" s="340">
        <f>INDEX(Table!L:L,MATCH(E20,Table!F:F,0))</f>
        <v>0</v>
      </c>
      <c r="N20" s="339">
        <f t="shared" si="9"/>
        <v>17.5</v>
      </c>
      <c r="O20" s="612">
        <f t="shared" si="4"/>
        <v>-6.8299999999999983</v>
      </c>
      <c r="P20" s="341">
        <v>-7</v>
      </c>
      <c r="Q20" s="342">
        <v>0</v>
      </c>
      <c r="R20" s="343"/>
      <c r="S20" s="344">
        <v>-5.2727272727272725</v>
      </c>
      <c r="T20" s="345">
        <v>1</v>
      </c>
      <c r="U20" s="346"/>
      <c r="V20" s="341">
        <v>-5.8181818181818183</v>
      </c>
      <c r="W20" s="347">
        <v>1</v>
      </c>
      <c r="X20" s="343"/>
      <c r="Y20" s="344">
        <v>-1.4615384615384617</v>
      </c>
      <c r="Z20" s="345">
        <v>2</v>
      </c>
      <c r="AA20" s="346"/>
      <c r="AB20" s="341">
        <v>-5.8181818181818183</v>
      </c>
      <c r="AC20" s="347">
        <v>1</v>
      </c>
      <c r="AD20" s="343"/>
      <c r="AE20" s="344">
        <v>-5.8571428571428577</v>
      </c>
      <c r="AF20" s="345">
        <v>1</v>
      </c>
      <c r="AG20" s="346"/>
      <c r="AH20" s="341">
        <v>3.2624999999999993</v>
      </c>
      <c r="AI20" s="347">
        <v>2</v>
      </c>
      <c r="AJ20" s="343"/>
      <c r="AK20" s="344">
        <v>18.232307692307689</v>
      </c>
      <c r="AL20" s="345">
        <v>3</v>
      </c>
      <c r="AM20" s="346">
        <v>2.5</v>
      </c>
      <c r="AN20" s="341">
        <v>-5.5555555555555554</v>
      </c>
      <c r="AO20" s="347">
        <v>1</v>
      </c>
      <c r="AP20" s="343"/>
      <c r="AQ20" s="344">
        <v>-5.4</v>
      </c>
      <c r="AR20" s="345">
        <v>1</v>
      </c>
      <c r="AS20" s="346"/>
      <c r="AT20" s="341">
        <v>-4.6500000000000004</v>
      </c>
      <c r="AU20" s="347">
        <v>1</v>
      </c>
      <c r="AV20" s="343"/>
      <c r="AW20" s="344">
        <v>-5.7</v>
      </c>
      <c r="AX20" s="345">
        <v>1</v>
      </c>
      <c r="AY20" s="346"/>
      <c r="AZ20" s="341">
        <v>-4.6500000000000004</v>
      </c>
      <c r="BA20" s="347">
        <v>1</v>
      </c>
      <c r="BB20" s="343"/>
      <c r="BC20" s="344">
        <v>1.8900000000000006</v>
      </c>
      <c r="BD20" s="345">
        <v>2</v>
      </c>
      <c r="BE20" s="346"/>
      <c r="BF20" s="341">
        <v>-2.1333333333333337</v>
      </c>
      <c r="BG20" s="347">
        <v>2</v>
      </c>
      <c r="BH20" s="343"/>
      <c r="BI20" s="344">
        <v>6.625</v>
      </c>
      <c r="BJ20" s="348">
        <v>2</v>
      </c>
      <c r="BK20" s="346"/>
      <c r="BL20" s="341">
        <v>0.43636363636363562</v>
      </c>
      <c r="BM20" s="347">
        <v>2</v>
      </c>
      <c r="BN20" s="343"/>
      <c r="BO20" s="344">
        <v>-1.3818181818181809</v>
      </c>
      <c r="BP20" s="348">
        <v>2</v>
      </c>
      <c r="BQ20" s="346"/>
      <c r="BR20" s="341">
        <v>0.45624999999999982</v>
      </c>
      <c r="BS20" s="347">
        <v>2</v>
      </c>
      <c r="BT20" s="343"/>
      <c r="BU20" s="344">
        <v>-0.125</v>
      </c>
      <c r="BV20" s="345">
        <v>2</v>
      </c>
      <c r="BW20" s="346"/>
      <c r="BX20" s="344">
        <f t="shared" si="5"/>
        <v>-29.921057969807975</v>
      </c>
      <c r="BY20" s="345">
        <f t="shared" si="6"/>
        <v>30</v>
      </c>
      <c r="BZ20" s="346">
        <f t="shared" si="7"/>
        <v>2.5</v>
      </c>
      <c r="CA20" s="56"/>
      <c r="DZ20" s="57"/>
      <c r="EA20" s="57"/>
      <c r="EH20" s="54"/>
      <c r="EI20" s="54"/>
    </row>
    <row r="21" spans="1:139" x14ac:dyDescent="0.2">
      <c r="A21" s="351">
        <f t="shared" si="0"/>
        <v>15</v>
      </c>
      <c r="B21" s="351">
        <f t="shared" si="1"/>
        <v>42</v>
      </c>
      <c r="C21" s="351">
        <v>14</v>
      </c>
      <c r="D21" s="402" t="str">
        <f>INDEX(Players!B:B,MATCH(E21,Players!F:F,0))</f>
        <v>D</v>
      </c>
      <c r="E21" s="337" t="s">
        <v>540</v>
      </c>
      <c r="F21" s="349">
        <f t="shared" si="2"/>
        <v>27.408375000000003</v>
      </c>
      <c r="G21" s="62">
        <f t="shared" si="3"/>
        <v>27</v>
      </c>
      <c r="H21" s="349">
        <v>-4.8</v>
      </c>
      <c r="I21" s="158">
        <v>1</v>
      </c>
      <c r="J21" s="612">
        <f>INDEX(Players!A:A,MATCH(E21,Players!F:F,0))</f>
        <v>0</v>
      </c>
      <c r="K21" s="339">
        <f t="shared" si="8"/>
        <v>15</v>
      </c>
      <c r="L21" s="340"/>
      <c r="M21" s="340">
        <f>INDEX(Table!L:L,MATCH(E21,Table!F:F,0))</f>
        <v>0</v>
      </c>
      <c r="N21" s="339">
        <f t="shared" si="9"/>
        <v>15</v>
      </c>
      <c r="O21" s="612">
        <f t="shared" si="4"/>
        <v>15</v>
      </c>
      <c r="P21" s="341">
        <v>20</v>
      </c>
      <c r="Q21" s="342">
        <v>3</v>
      </c>
      <c r="R21" s="343">
        <v>5</v>
      </c>
      <c r="S21" s="344">
        <v>-7</v>
      </c>
      <c r="T21" s="345">
        <v>0</v>
      </c>
      <c r="U21" s="346"/>
      <c r="V21" s="341">
        <v>-3.5</v>
      </c>
      <c r="W21" s="347">
        <v>1</v>
      </c>
      <c r="X21" s="343"/>
      <c r="Y21" s="344">
        <v>-7</v>
      </c>
      <c r="Z21" s="345">
        <v>0</v>
      </c>
      <c r="AA21" s="346"/>
      <c r="AB21" s="341">
        <v>-4.5999999999999996</v>
      </c>
      <c r="AC21" s="347">
        <v>1</v>
      </c>
      <c r="AD21" s="343"/>
      <c r="AE21" s="344">
        <v>7.48</v>
      </c>
      <c r="AF21" s="345">
        <v>2</v>
      </c>
      <c r="AG21" s="346"/>
      <c r="AH21" s="341">
        <v>-4</v>
      </c>
      <c r="AI21" s="347">
        <v>1</v>
      </c>
      <c r="AJ21" s="343"/>
      <c r="AK21" s="344">
        <v>-7</v>
      </c>
      <c r="AL21" s="345">
        <v>0</v>
      </c>
      <c r="AM21" s="346"/>
      <c r="AN21" s="341">
        <v>18.18</v>
      </c>
      <c r="AO21" s="347">
        <v>3</v>
      </c>
      <c r="AP21" s="343">
        <v>5</v>
      </c>
      <c r="AQ21" s="344">
        <v>8.9000000000000021</v>
      </c>
      <c r="AR21" s="345">
        <v>3</v>
      </c>
      <c r="AS21" s="346"/>
      <c r="AT21" s="341">
        <v>0.74000000000000021</v>
      </c>
      <c r="AU21" s="347">
        <v>2</v>
      </c>
      <c r="AV21" s="343"/>
      <c r="AW21" s="344">
        <v>27.350875000000002</v>
      </c>
      <c r="AX21" s="345">
        <v>3</v>
      </c>
      <c r="AY21" s="346">
        <v>5</v>
      </c>
      <c r="AZ21" s="341">
        <v>-7</v>
      </c>
      <c r="BA21" s="347">
        <v>0</v>
      </c>
      <c r="BB21" s="343"/>
      <c r="BC21" s="344">
        <v>-4.9000000000000004</v>
      </c>
      <c r="BD21" s="345">
        <v>1</v>
      </c>
      <c r="BE21" s="346"/>
      <c r="BF21" s="341">
        <v>-7</v>
      </c>
      <c r="BG21" s="347">
        <v>0</v>
      </c>
      <c r="BH21" s="343"/>
      <c r="BI21" s="344">
        <v>-7</v>
      </c>
      <c r="BJ21" s="348">
        <v>0</v>
      </c>
      <c r="BK21" s="346"/>
      <c r="BL21" s="341">
        <v>1.6074999999999982</v>
      </c>
      <c r="BM21" s="347">
        <v>2</v>
      </c>
      <c r="BN21" s="343"/>
      <c r="BO21" s="344">
        <v>3.7300000000000004</v>
      </c>
      <c r="BP21" s="348">
        <v>2</v>
      </c>
      <c r="BQ21" s="346"/>
      <c r="BR21" s="341">
        <v>3.2199999999999989</v>
      </c>
      <c r="BS21" s="347">
        <v>2</v>
      </c>
      <c r="BT21" s="343"/>
      <c r="BU21" s="344">
        <v>-4.8</v>
      </c>
      <c r="BV21" s="345">
        <v>1</v>
      </c>
      <c r="BW21" s="346"/>
      <c r="BX21" s="344">
        <f t="shared" si="5"/>
        <v>27.408374999999999</v>
      </c>
      <c r="BY21" s="345">
        <f t="shared" si="6"/>
        <v>27</v>
      </c>
      <c r="BZ21" s="346">
        <f t="shared" si="7"/>
        <v>15</v>
      </c>
      <c r="CA21" s="56"/>
      <c r="DZ21" s="57"/>
      <c r="EA21" s="57"/>
      <c r="EH21" s="54"/>
      <c r="EI21" s="54"/>
    </row>
    <row r="22" spans="1:139" x14ac:dyDescent="0.2">
      <c r="A22" s="351">
        <f t="shared" si="0"/>
        <v>1</v>
      </c>
      <c r="B22" s="351">
        <f t="shared" si="1"/>
        <v>28</v>
      </c>
      <c r="C22" s="351">
        <v>2</v>
      </c>
      <c r="D22" s="402" t="str">
        <f>INDEX(Players!B:B,MATCH(E22,Players!F:F,0))</f>
        <v>B</v>
      </c>
      <c r="E22" s="337" t="s">
        <v>343</v>
      </c>
      <c r="F22" s="349">
        <f t="shared" si="2"/>
        <v>104.605065759404</v>
      </c>
      <c r="G22" s="62">
        <f t="shared" si="3"/>
        <v>22</v>
      </c>
      <c r="H22" s="349">
        <v>-1.8888888888888893</v>
      </c>
      <c r="I22" s="158">
        <v>2</v>
      </c>
      <c r="J22" s="612">
        <f>INDEX(Players!A:A,MATCH(E22,Players!F:F,0))</f>
        <v>63.75</v>
      </c>
      <c r="K22" s="339">
        <f t="shared" si="8"/>
        <v>25</v>
      </c>
      <c r="L22" s="340"/>
      <c r="M22" s="340">
        <f>INDEX(Table!L:L,MATCH(E22,Table!F:F,0))</f>
        <v>78.75</v>
      </c>
      <c r="N22" s="339">
        <f t="shared" si="9"/>
        <v>103.75</v>
      </c>
      <c r="O22" s="612">
        <f t="shared" si="4"/>
        <v>167.5</v>
      </c>
      <c r="P22" s="341">
        <v>-4.1538461538461533</v>
      </c>
      <c r="Q22" s="342">
        <v>1</v>
      </c>
      <c r="R22" s="343"/>
      <c r="S22" s="344">
        <v>-7</v>
      </c>
      <c r="T22" s="345">
        <v>0</v>
      </c>
      <c r="U22" s="346"/>
      <c r="V22" s="341">
        <v>-7</v>
      </c>
      <c r="W22" s="347">
        <v>0</v>
      </c>
      <c r="X22" s="343"/>
      <c r="Y22" s="344">
        <v>-3.7</v>
      </c>
      <c r="Z22" s="345">
        <v>1</v>
      </c>
      <c r="AA22" s="346"/>
      <c r="AB22" s="341">
        <v>-7</v>
      </c>
      <c r="AC22" s="347">
        <v>0</v>
      </c>
      <c r="AD22" s="343"/>
      <c r="AE22" s="344">
        <v>-7</v>
      </c>
      <c r="AF22" s="345">
        <v>0</v>
      </c>
      <c r="AG22" s="346"/>
      <c r="AH22" s="341">
        <v>75.16</v>
      </c>
      <c r="AI22" s="347">
        <v>3</v>
      </c>
      <c r="AJ22" s="343">
        <v>10</v>
      </c>
      <c r="AK22" s="344">
        <v>-7</v>
      </c>
      <c r="AL22" s="345">
        <v>0</v>
      </c>
      <c r="AM22" s="346"/>
      <c r="AN22" s="341">
        <v>66.981250000000003</v>
      </c>
      <c r="AO22" s="347">
        <v>3</v>
      </c>
      <c r="AP22" s="343">
        <v>10</v>
      </c>
      <c r="AQ22" s="344">
        <v>-3.2</v>
      </c>
      <c r="AR22" s="345">
        <v>1</v>
      </c>
      <c r="AS22" s="346"/>
      <c r="AT22" s="341">
        <v>-4.5</v>
      </c>
      <c r="AU22" s="347">
        <v>1</v>
      </c>
      <c r="AV22" s="343"/>
      <c r="AW22" s="344">
        <v>-4.9000000000000004</v>
      </c>
      <c r="AX22" s="345">
        <v>1</v>
      </c>
      <c r="AY22" s="346"/>
      <c r="AZ22" s="341">
        <v>-7</v>
      </c>
      <c r="BA22" s="347">
        <v>0</v>
      </c>
      <c r="BB22" s="343"/>
      <c r="BC22" s="344">
        <v>2.6750000000000007</v>
      </c>
      <c r="BD22" s="345">
        <v>2</v>
      </c>
      <c r="BE22" s="346"/>
      <c r="BF22" s="341">
        <v>-7</v>
      </c>
      <c r="BG22" s="347">
        <v>0</v>
      </c>
      <c r="BH22" s="343"/>
      <c r="BI22" s="344">
        <v>-5.2727272727272725</v>
      </c>
      <c r="BJ22" s="348">
        <v>1</v>
      </c>
      <c r="BK22" s="346"/>
      <c r="BL22" s="341">
        <v>-7</v>
      </c>
      <c r="BM22" s="347">
        <v>0</v>
      </c>
      <c r="BN22" s="343"/>
      <c r="BO22" s="344">
        <v>40.058823529411761</v>
      </c>
      <c r="BP22" s="348">
        <v>3</v>
      </c>
      <c r="BQ22" s="346">
        <v>5</v>
      </c>
      <c r="BR22" s="341">
        <v>3.3454545454545439</v>
      </c>
      <c r="BS22" s="347">
        <v>3</v>
      </c>
      <c r="BT22" s="343"/>
      <c r="BU22" s="344">
        <v>-1.8888888888888893</v>
      </c>
      <c r="BV22" s="345">
        <v>2</v>
      </c>
      <c r="BW22" s="346"/>
      <c r="BX22" s="344">
        <f t="shared" si="5"/>
        <v>104.60506575940397</v>
      </c>
      <c r="BY22" s="345">
        <f t="shared" si="6"/>
        <v>22</v>
      </c>
      <c r="BZ22" s="346">
        <f t="shared" si="7"/>
        <v>25</v>
      </c>
      <c r="CA22" s="56"/>
      <c r="DZ22" s="57"/>
      <c r="EA22" s="57"/>
      <c r="EH22" s="54"/>
      <c r="EI22" s="54"/>
    </row>
    <row r="23" spans="1:139" x14ac:dyDescent="0.2">
      <c r="A23" s="351">
        <f t="shared" si="0"/>
        <v>2</v>
      </c>
      <c r="B23" s="351">
        <f t="shared" si="1"/>
        <v>47</v>
      </c>
      <c r="C23" s="351">
        <v>1</v>
      </c>
      <c r="D23" s="402" t="str">
        <f>INDEX(Players!B:B,MATCH(E23,Players!F:F,0))</f>
        <v>D</v>
      </c>
      <c r="E23" s="337" t="s">
        <v>458</v>
      </c>
      <c r="F23" s="349">
        <f t="shared" si="2"/>
        <v>89.756249999999994</v>
      </c>
      <c r="G23" s="62">
        <f t="shared" si="3"/>
        <v>21</v>
      </c>
      <c r="H23" s="349">
        <v>-7</v>
      </c>
      <c r="I23" s="158">
        <v>0</v>
      </c>
      <c r="J23" s="612">
        <f>INDEX(Players!A:A,MATCH(E23,Players!F:F,0))</f>
        <v>-40</v>
      </c>
      <c r="K23" s="339">
        <f t="shared" si="8"/>
        <v>10</v>
      </c>
      <c r="L23" s="340"/>
      <c r="M23" s="340">
        <f>INDEX(Table!L:L,MATCH(E23,Table!F:F,0))</f>
        <v>26.25</v>
      </c>
      <c r="N23" s="339">
        <f t="shared" si="9"/>
        <v>36.25</v>
      </c>
      <c r="O23" s="612">
        <f t="shared" si="4"/>
        <v>-3.75</v>
      </c>
      <c r="P23" s="341">
        <v>-7</v>
      </c>
      <c r="Q23" s="342">
        <v>0</v>
      </c>
      <c r="R23" s="343"/>
      <c r="S23" s="344">
        <v>-4.7</v>
      </c>
      <c r="T23" s="345">
        <v>1</v>
      </c>
      <c r="U23" s="346"/>
      <c r="V23" s="341">
        <v>-3.4</v>
      </c>
      <c r="W23" s="347">
        <v>1</v>
      </c>
      <c r="X23" s="343"/>
      <c r="Y23" s="344">
        <v>-1.5</v>
      </c>
      <c r="Z23" s="345">
        <v>1</v>
      </c>
      <c r="AA23" s="346"/>
      <c r="AB23" s="341">
        <v>-7</v>
      </c>
      <c r="AC23" s="347">
        <v>0</v>
      </c>
      <c r="AD23" s="343"/>
      <c r="AE23" s="344">
        <v>13</v>
      </c>
      <c r="AF23" s="345">
        <v>2</v>
      </c>
      <c r="AG23" s="346">
        <v>5</v>
      </c>
      <c r="AH23" s="341">
        <v>7.5</v>
      </c>
      <c r="AI23" s="347">
        <v>2</v>
      </c>
      <c r="AJ23" s="343"/>
      <c r="AK23" s="344">
        <v>3.3900000000000006</v>
      </c>
      <c r="AL23" s="345">
        <v>2</v>
      </c>
      <c r="AM23" s="346"/>
      <c r="AN23" s="341">
        <v>4.9812499999999993</v>
      </c>
      <c r="AO23" s="347">
        <v>2</v>
      </c>
      <c r="AP23" s="343"/>
      <c r="AQ23" s="344">
        <v>-4.5999999999999996</v>
      </c>
      <c r="AR23" s="345">
        <v>1</v>
      </c>
      <c r="AS23" s="346"/>
      <c r="AT23" s="341">
        <v>-3.25</v>
      </c>
      <c r="AU23" s="347">
        <v>1</v>
      </c>
      <c r="AV23" s="343"/>
      <c r="AW23" s="344">
        <v>-3.8</v>
      </c>
      <c r="AX23" s="345">
        <v>1</v>
      </c>
      <c r="AY23" s="346"/>
      <c r="AZ23" s="341">
        <v>-7</v>
      </c>
      <c r="BA23" s="347">
        <v>0</v>
      </c>
      <c r="BB23" s="343"/>
      <c r="BC23" s="344">
        <v>-4.4000000000000004</v>
      </c>
      <c r="BD23" s="345">
        <v>1</v>
      </c>
      <c r="BE23" s="346"/>
      <c r="BF23" s="341">
        <v>-3.8</v>
      </c>
      <c r="BG23" s="347">
        <v>1</v>
      </c>
      <c r="BH23" s="343"/>
      <c r="BI23" s="344">
        <v>4.6750000000000007</v>
      </c>
      <c r="BJ23" s="348">
        <v>2</v>
      </c>
      <c r="BK23" s="346"/>
      <c r="BL23" s="341">
        <v>-7</v>
      </c>
      <c r="BM23" s="347">
        <v>0</v>
      </c>
      <c r="BN23" s="343"/>
      <c r="BO23" s="344">
        <v>127.66</v>
      </c>
      <c r="BP23" s="348">
        <v>3</v>
      </c>
      <c r="BQ23" s="346">
        <v>5</v>
      </c>
      <c r="BR23" s="341">
        <v>-7</v>
      </c>
      <c r="BS23" s="347">
        <v>0</v>
      </c>
      <c r="BT23" s="343"/>
      <c r="BU23" s="344">
        <v>-7</v>
      </c>
      <c r="BV23" s="345">
        <v>0</v>
      </c>
      <c r="BW23" s="346"/>
      <c r="BX23" s="344">
        <f t="shared" si="5"/>
        <v>89.756249999999994</v>
      </c>
      <c r="BY23" s="345">
        <f t="shared" si="6"/>
        <v>21</v>
      </c>
      <c r="BZ23" s="346">
        <f t="shared" si="7"/>
        <v>10</v>
      </c>
      <c r="CA23" s="56"/>
      <c r="DZ23" s="57"/>
      <c r="EA23" s="57"/>
      <c r="EH23" s="54"/>
      <c r="EI23" s="54"/>
    </row>
    <row r="24" spans="1:139" x14ac:dyDescent="0.2">
      <c r="A24" s="351">
        <f t="shared" si="0"/>
        <v>7</v>
      </c>
      <c r="B24" s="351">
        <f t="shared" si="1"/>
        <v>21</v>
      </c>
      <c r="C24" s="351">
        <v>6</v>
      </c>
      <c r="D24" s="402" t="str">
        <f>INDEX(Players!B:B,MATCH(E24,Players!F:F,0))</f>
        <v>D</v>
      </c>
      <c r="E24" s="337" t="s">
        <v>453</v>
      </c>
      <c r="F24" s="349">
        <f t="shared" si="2"/>
        <v>53.518704545454547</v>
      </c>
      <c r="G24" s="62">
        <f t="shared" si="3"/>
        <v>39</v>
      </c>
      <c r="H24" s="349">
        <v>0.66249999999999964</v>
      </c>
      <c r="I24" s="158">
        <v>2</v>
      </c>
      <c r="J24" s="612">
        <f>INDEX(Players!A:A,MATCH(E24,Players!F:F,0))</f>
        <v>-40</v>
      </c>
      <c r="K24" s="339">
        <f t="shared" si="8"/>
        <v>20</v>
      </c>
      <c r="L24" s="340"/>
      <c r="M24" s="340">
        <f>INDEX(Table!L:L,MATCH(E24,Table!F:F,0))</f>
        <v>13.5</v>
      </c>
      <c r="N24" s="339">
        <f t="shared" si="9"/>
        <v>33.5</v>
      </c>
      <c r="O24" s="612">
        <f t="shared" si="4"/>
        <v>-6.5</v>
      </c>
      <c r="P24" s="341">
        <v>-5.8</v>
      </c>
      <c r="Q24" s="342">
        <v>1</v>
      </c>
      <c r="R24" s="343"/>
      <c r="S24" s="344">
        <v>-4.9000000000000004</v>
      </c>
      <c r="T24" s="345">
        <v>1</v>
      </c>
      <c r="U24" s="346"/>
      <c r="V24" s="341">
        <v>-5.0909090909090908</v>
      </c>
      <c r="W24" s="347">
        <v>1</v>
      </c>
      <c r="X24" s="343"/>
      <c r="Y24" s="344">
        <v>11.494444444444444</v>
      </c>
      <c r="Z24" s="345">
        <v>3</v>
      </c>
      <c r="AA24" s="346">
        <v>5</v>
      </c>
      <c r="AB24" s="341">
        <v>5.3333333333333339</v>
      </c>
      <c r="AC24" s="347">
        <v>3</v>
      </c>
      <c r="AD24" s="343"/>
      <c r="AE24" s="344">
        <v>-1.4449999999999994</v>
      </c>
      <c r="AF24" s="345">
        <v>2</v>
      </c>
      <c r="AG24" s="346"/>
      <c r="AH24" s="341">
        <v>-1.3818181818181809</v>
      </c>
      <c r="AI24" s="347">
        <v>2</v>
      </c>
      <c r="AJ24" s="343"/>
      <c r="AK24" s="344">
        <v>-2.84375</v>
      </c>
      <c r="AL24" s="345">
        <v>2</v>
      </c>
      <c r="AM24" s="346"/>
      <c r="AN24" s="341">
        <v>-5.7777777777777777</v>
      </c>
      <c r="AO24" s="347">
        <v>1</v>
      </c>
      <c r="AP24" s="343"/>
      <c r="AQ24" s="344">
        <v>7.2999999999999972</v>
      </c>
      <c r="AR24" s="345">
        <v>3</v>
      </c>
      <c r="AS24" s="346"/>
      <c r="AT24" s="341">
        <v>-1.1818181818181817</v>
      </c>
      <c r="AU24" s="347">
        <v>2</v>
      </c>
      <c r="AV24" s="343"/>
      <c r="AW24" s="344">
        <v>-2.3214285714285721</v>
      </c>
      <c r="AX24" s="345">
        <v>2</v>
      </c>
      <c r="AY24" s="346"/>
      <c r="AZ24" s="341">
        <v>11.762500000000003</v>
      </c>
      <c r="BA24" s="347">
        <v>3</v>
      </c>
      <c r="BB24" s="343"/>
      <c r="BC24" s="344">
        <v>-1</v>
      </c>
      <c r="BD24" s="345">
        <v>2</v>
      </c>
      <c r="BE24" s="346"/>
      <c r="BF24" s="341">
        <v>11.521666666666668</v>
      </c>
      <c r="BG24" s="347">
        <v>3</v>
      </c>
      <c r="BH24" s="343">
        <v>5</v>
      </c>
      <c r="BI24" s="344">
        <v>51.681999999999995</v>
      </c>
      <c r="BJ24" s="348">
        <v>3</v>
      </c>
      <c r="BK24" s="346">
        <v>10</v>
      </c>
      <c r="BL24" s="341">
        <v>-3.9</v>
      </c>
      <c r="BM24" s="347">
        <v>1</v>
      </c>
      <c r="BN24" s="343"/>
      <c r="BO24" s="344">
        <v>-5.4285714285714288</v>
      </c>
      <c r="BP24" s="348">
        <v>1</v>
      </c>
      <c r="BQ24" s="346"/>
      <c r="BR24" s="341">
        <v>-5.1666666666666661</v>
      </c>
      <c r="BS24" s="347">
        <v>1</v>
      </c>
      <c r="BT24" s="343"/>
      <c r="BU24" s="344">
        <v>0.66249999999999964</v>
      </c>
      <c r="BV24" s="345">
        <v>2</v>
      </c>
      <c r="BW24" s="346"/>
      <c r="BX24" s="344">
        <f t="shared" si="5"/>
        <v>53.518704545454547</v>
      </c>
      <c r="BY24" s="345">
        <f t="shared" si="6"/>
        <v>39</v>
      </c>
      <c r="BZ24" s="346">
        <f t="shared" si="7"/>
        <v>20</v>
      </c>
      <c r="CA24" s="56"/>
      <c r="DZ24" s="57"/>
      <c r="EA24" s="57"/>
      <c r="EH24" s="54"/>
      <c r="EI24" s="54"/>
    </row>
    <row r="25" spans="1:139" x14ac:dyDescent="0.2">
      <c r="A25" s="351">
        <f t="shared" si="0"/>
        <v>55</v>
      </c>
      <c r="B25" s="351">
        <f t="shared" si="1"/>
        <v>30</v>
      </c>
      <c r="C25" s="351">
        <v>51</v>
      </c>
      <c r="D25" s="402" t="str">
        <f>INDEX(Players!B:B,MATCH(E25,Players!F:F,0))</f>
        <v>A</v>
      </c>
      <c r="E25" s="337" t="s">
        <v>327</v>
      </c>
      <c r="F25" s="349">
        <f t="shared" si="2"/>
        <v>-57.225776445776447</v>
      </c>
      <c r="G25" s="62">
        <f t="shared" si="3"/>
        <v>23</v>
      </c>
      <c r="H25" s="349">
        <v>-2.5999999999999996</v>
      </c>
      <c r="I25" s="158">
        <v>1</v>
      </c>
      <c r="J25" s="612">
        <f>INDEX(Players!A:A,MATCH(E25,Players!F:F,0))</f>
        <v>-20</v>
      </c>
      <c r="K25" s="339">
        <f t="shared" si="8"/>
        <v>0</v>
      </c>
      <c r="L25" s="340"/>
      <c r="M25" s="340">
        <f>INDEX(Table!L:L,MATCH(E25,Table!F:F,0))</f>
        <v>0</v>
      </c>
      <c r="N25" s="339">
        <f t="shared" si="9"/>
        <v>0</v>
      </c>
      <c r="O25" s="612">
        <f t="shared" si="4"/>
        <v>-20</v>
      </c>
      <c r="P25" s="341">
        <v>-7</v>
      </c>
      <c r="Q25" s="342">
        <v>0</v>
      </c>
      <c r="R25" s="343"/>
      <c r="S25" s="344">
        <v>-4.5999999999999996</v>
      </c>
      <c r="T25" s="345">
        <v>1</v>
      </c>
      <c r="U25" s="346"/>
      <c r="V25" s="341">
        <v>-4.8</v>
      </c>
      <c r="W25" s="347">
        <v>1</v>
      </c>
      <c r="X25" s="343"/>
      <c r="Y25" s="344">
        <v>9.7222222222222214</v>
      </c>
      <c r="Z25" s="345">
        <v>3</v>
      </c>
      <c r="AA25" s="346"/>
      <c r="AB25" s="341">
        <v>-4.9000000000000004</v>
      </c>
      <c r="AC25" s="347">
        <v>1</v>
      </c>
      <c r="AD25" s="343"/>
      <c r="AE25" s="344">
        <v>4.2181818181818187</v>
      </c>
      <c r="AF25" s="345">
        <v>2</v>
      </c>
      <c r="AG25" s="346"/>
      <c r="AH25" s="341">
        <v>2.0749999999999993</v>
      </c>
      <c r="AI25" s="347">
        <v>2</v>
      </c>
      <c r="AJ25" s="343"/>
      <c r="AK25" s="344">
        <v>-0.86713286713286752</v>
      </c>
      <c r="AL25" s="345">
        <v>2</v>
      </c>
      <c r="AM25" s="346"/>
      <c r="AN25" s="341">
        <v>-0.20833333333333304</v>
      </c>
      <c r="AO25" s="347">
        <v>2</v>
      </c>
      <c r="AP25" s="343"/>
      <c r="AQ25" s="344">
        <v>-7</v>
      </c>
      <c r="AR25" s="345">
        <v>0</v>
      </c>
      <c r="AS25" s="346"/>
      <c r="AT25" s="341">
        <v>-7</v>
      </c>
      <c r="AU25" s="347">
        <v>0</v>
      </c>
      <c r="AV25" s="343"/>
      <c r="AW25" s="344">
        <v>-0.58000000000000007</v>
      </c>
      <c r="AX25" s="345">
        <v>2</v>
      </c>
      <c r="AY25" s="346"/>
      <c r="AZ25" s="341">
        <v>-3.0714285714285712</v>
      </c>
      <c r="BA25" s="347">
        <v>2</v>
      </c>
      <c r="BB25" s="343"/>
      <c r="BC25" s="344">
        <v>-7</v>
      </c>
      <c r="BD25" s="345">
        <v>0</v>
      </c>
      <c r="BE25" s="346"/>
      <c r="BF25" s="341">
        <v>-1.7142857142857144</v>
      </c>
      <c r="BG25" s="347">
        <v>2</v>
      </c>
      <c r="BH25" s="343"/>
      <c r="BI25" s="344">
        <v>-5.0999999999999996</v>
      </c>
      <c r="BJ25" s="348">
        <v>1</v>
      </c>
      <c r="BK25" s="346"/>
      <c r="BL25" s="341">
        <v>-2.8</v>
      </c>
      <c r="BM25" s="347">
        <v>1</v>
      </c>
      <c r="BN25" s="343"/>
      <c r="BO25" s="344">
        <v>-7</v>
      </c>
      <c r="BP25" s="348">
        <v>0</v>
      </c>
      <c r="BQ25" s="346"/>
      <c r="BR25" s="341">
        <v>-7</v>
      </c>
      <c r="BS25" s="347">
        <v>0</v>
      </c>
      <c r="BT25" s="343"/>
      <c r="BU25" s="344">
        <v>-2.5999999999999996</v>
      </c>
      <c r="BV25" s="345">
        <v>1</v>
      </c>
      <c r="BW25" s="346"/>
      <c r="BX25" s="344">
        <f t="shared" si="5"/>
        <v>-57.22577644577644</v>
      </c>
      <c r="BY25" s="345">
        <f t="shared" si="6"/>
        <v>23</v>
      </c>
      <c r="BZ25" s="346">
        <f t="shared" si="7"/>
        <v>0</v>
      </c>
      <c r="CA25" s="56"/>
      <c r="DZ25" s="57"/>
      <c r="EA25" s="57"/>
      <c r="EH25" s="54"/>
      <c r="EI25" s="54"/>
    </row>
    <row r="26" spans="1:139" x14ac:dyDescent="0.2">
      <c r="A26" s="351">
        <f t="shared" si="0"/>
        <v>10</v>
      </c>
      <c r="B26" s="351">
        <f t="shared" si="1"/>
        <v>47</v>
      </c>
      <c r="C26" s="351">
        <v>9</v>
      </c>
      <c r="D26" s="402" t="str">
        <f>INDEX(Players!B:B,MATCH(E26,Players!F:F,0))</f>
        <v>D</v>
      </c>
      <c r="E26" s="337" t="s">
        <v>349</v>
      </c>
      <c r="F26" s="349">
        <f t="shared" si="2"/>
        <v>38.544367706367709</v>
      </c>
      <c r="G26" s="62">
        <f t="shared" si="3"/>
        <v>37</v>
      </c>
      <c r="H26" s="349">
        <v>-7</v>
      </c>
      <c r="I26" s="158">
        <v>0</v>
      </c>
      <c r="J26" s="612">
        <f>INDEX(Players!A:A,MATCH(E26,Players!F:F,0))</f>
        <v>-0.625</v>
      </c>
      <c r="K26" s="339">
        <f t="shared" si="8"/>
        <v>5</v>
      </c>
      <c r="L26" s="340"/>
      <c r="M26" s="340">
        <f>INDEX(Table!L:L,MATCH(E26,Table!F:F,0))</f>
        <v>9</v>
      </c>
      <c r="N26" s="339">
        <f t="shared" si="9"/>
        <v>14</v>
      </c>
      <c r="O26" s="612">
        <f t="shared" si="4"/>
        <v>13.375</v>
      </c>
      <c r="P26" s="341">
        <v>4.8888888888888893</v>
      </c>
      <c r="Q26" s="342">
        <v>2</v>
      </c>
      <c r="R26" s="343"/>
      <c r="S26" s="344">
        <v>-0.22250000000000014</v>
      </c>
      <c r="T26" s="345">
        <v>2</v>
      </c>
      <c r="U26" s="346"/>
      <c r="V26" s="341">
        <v>-0.18250000000000099</v>
      </c>
      <c r="W26" s="347">
        <v>2</v>
      </c>
      <c r="X26" s="343"/>
      <c r="Y26" s="344">
        <v>2.7555555555555564</v>
      </c>
      <c r="Z26" s="345">
        <v>2</v>
      </c>
      <c r="AA26" s="346"/>
      <c r="AB26" s="341">
        <v>8.3461538461538467</v>
      </c>
      <c r="AC26" s="347">
        <v>3</v>
      </c>
      <c r="AD26" s="343"/>
      <c r="AE26" s="344">
        <v>6.9173789173789171</v>
      </c>
      <c r="AF26" s="345">
        <v>3</v>
      </c>
      <c r="AG26" s="346"/>
      <c r="AH26" s="341">
        <v>-5.4285714285714288</v>
      </c>
      <c r="AI26" s="347">
        <v>1</v>
      </c>
      <c r="AJ26" s="343"/>
      <c r="AK26" s="344">
        <v>14.242999999999999</v>
      </c>
      <c r="AL26" s="345">
        <v>3</v>
      </c>
      <c r="AM26" s="346"/>
      <c r="AN26" s="341">
        <v>-7</v>
      </c>
      <c r="AO26" s="347">
        <v>0</v>
      </c>
      <c r="AP26" s="343"/>
      <c r="AQ26" s="344">
        <v>17.5</v>
      </c>
      <c r="AR26" s="345">
        <v>3</v>
      </c>
      <c r="AS26" s="346"/>
      <c r="AT26" s="341">
        <v>-4.1538461538461533</v>
      </c>
      <c r="AU26" s="347">
        <v>1</v>
      </c>
      <c r="AV26" s="343"/>
      <c r="AW26" s="344">
        <v>-1.625</v>
      </c>
      <c r="AX26" s="345">
        <v>2</v>
      </c>
      <c r="AY26" s="346"/>
      <c r="AZ26" s="341">
        <v>-9.4999999999998863E-2</v>
      </c>
      <c r="BA26" s="347">
        <v>2</v>
      </c>
      <c r="BB26" s="343"/>
      <c r="BC26" s="344">
        <v>2.9800000000000004</v>
      </c>
      <c r="BD26" s="345">
        <v>2</v>
      </c>
      <c r="BE26" s="346"/>
      <c r="BF26" s="341">
        <v>-5.4</v>
      </c>
      <c r="BG26" s="347">
        <v>1</v>
      </c>
      <c r="BH26" s="343"/>
      <c r="BI26" s="344">
        <v>-7</v>
      </c>
      <c r="BJ26" s="348">
        <v>0</v>
      </c>
      <c r="BK26" s="346"/>
      <c r="BL26" s="341">
        <v>8.5244444444444465</v>
      </c>
      <c r="BM26" s="347">
        <v>3</v>
      </c>
      <c r="BN26" s="343"/>
      <c r="BO26" s="344">
        <v>-1.5</v>
      </c>
      <c r="BP26" s="348">
        <v>2</v>
      </c>
      <c r="BQ26" s="346"/>
      <c r="BR26" s="341">
        <v>11.99636363636364</v>
      </c>
      <c r="BS26" s="347">
        <v>3</v>
      </c>
      <c r="BT26" s="343">
        <v>5</v>
      </c>
      <c r="BU26" s="344">
        <v>-7</v>
      </c>
      <c r="BV26" s="345">
        <v>0</v>
      </c>
      <c r="BW26" s="346"/>
      <c r="BX26" s="344">
        <f t="shared" si="5"/>
        <v>38.544367706367709</v>
      </c>
      <c r="BY26" s="345">
        <f t="shared" si="6"/>
        <v>37</v>
      </c>
      <c r="BZ26" s="346">
        <f t="shared" si="7"/>
        <v>5</v>
      </c>
      <c r="CA26" s="56"/>
      <c r="DZ26" s="57"/>
      <c r="EA26" s="57"/>
      <c r="EH26" s="54"/>
      <c r="EI26" s="54"/>
    </row>
    <row r="27" spans="1:139" x14ac:dyDescent="0.2">
      <c r="A27" s="351">
        <f t="shared" si="0"/>
        <v>19</v>
      </c>
      <c r="B27" s="351">
        <f t="shared" si="1"/>
        <v>47</v>
      </c>
      <c r="C27" s="351">
        <v>49</v>
      </c>
      <c r="D27" s="402" t="str">
        <f>INDEX(Players!B:B,MATCH(E27,Players!F:F,0))</f>
        <v>D</v>
      </c>
      <c r="E27" s="337" t="s">
        <v>464</v>
      </c>
      <c r="F27" s="349">
        <f t="shared" si="2"/>
        <v>24.725984532828271</v>
      </c>
      <c r="G27" s="62">
        <f t="shared" si="3"/>
        <v>27</v>
      </c>
      <c r="H27" s="349">
        <v>-7</v>
      </c>
      <c r="I27" s="158">
        <v>0</v>
      </c>
      <c r="J27" s="612">
        <f>INDEX(Players!A:A,MATCH(E27,Players!F:F,0))</f>
        <v>-40</v>
      </c>
      <c r="K27" s="339">
        <f t="shared" si="8"/>
        <v>10</v>
      </c>
      <c r="L27" s="340"/>
      <c r="M27" s="340">
        <f>INDEX(Table!L:L,MATCH(E27,Table!F:F,0))</f>
        <v>0</v>
      </c>
      <c r="N27" s="339">
        <f t="shared" si="9"/>
        <v>10</v>
      </c>
      <c r="O27" s="612">
        <f t="shared" si="4"/>
        <v>-30</v>
      </c>
      <c r="P27" s="341">
        <v>2.16015625</v>
      </c>
      <c r="Q27" s="342">
        <v>3</v>
      </c>
      <c r="R27" s="343"/>
      <c r="S27" s="344">
        <v>-2.8888888888888893</v>
      </c>
      <c r="T27" s="345">
        <v>2</v>
      </c>
      <c r="U27" s="346"/>
      <c r="V27" s="341">
        <v>-5.7</v>
      </c>
      <c r="W27" s="347">
        <v>1</v>
      </c>
      <c r="X27" s="343"/>
      <c r="Y27" s="344">
        <v>-7</v>
      </c>
      <c r="Z27" s="345">
        <v>0</v>
      </c>
      <c r="AA27" s="346"/>
      <c r="AB27" s="341">
        <v>-5.5555555555555554</v>
      </c>
      <c r="AC27" s="347">
        <v>1</v>
      </c>
      <c r="AD27" s="343"/>
      <c r="AE27" s="344">
        <v>-7</v>
      </c>
      <c r="AF27" s="345">
        <v>0</v>
      </c>
      <c r="AG27" s="346"/>
      <c r="AH27" s="341">
        <v>-5.3</v>
      </c>
      <c r="AI27" s="347">
        <v>1</v>
      </c>
      <c r="AJ27" s="343"/>
      <c r="AK27" s="344">
        <v>-7</v>
      </c>
      <c r="AL27" s="345">
        <v>0</v>
      </c>
      <c r="AM27" s="346"/>
      <c r="AN27" s="341">
        <v>-7</v>
      </c>
      <c r="AO27" s="347">
        <v>0</v>
      </c>
      <c r="AP27" s="343"/>
      <c r="AQ27" s="344">
        <v>-1.5</v>
      </c>
      <c r="AR27" s="345">
        <v>2</v>
      </c>
      <c r="AS27" s="346"/>
      <c r="AT27" s="341">
        <v>-2</v>
      </c>
      <c r="AU27" s="347">
        <v>2</v>
      </c>
      <c r="AV27" s="343"/>
      <c r="AW27" s="344">
        <v>1.6099999999999994</v>
      </c>
      <c r="AX27" s="345">
        <v>2</v>
      </c>
      <c r="AY27" s="346"/>
      <c r="AZ27" s="341">
        <v>1.75</v>
      </c>
      <c r="BA27" s="347">
        <v>2</v>
      </c>
      <c r="BB27" s="343"/>
      <c r="BC27" s="344">
        <v>2.0800000000000018</v>
      </c>
      <c r="BD27" s="345">
        <v>2</v>
      </c>
      <c r="BE27" s="346"/>
      <c r="BF27" s="341">
        <v>9</v>
      </c>
      <c r="BG27" s="347">
        <v>3</v>
      </c>
      <c r="BH27" s="343"/>
      <c r="BI27" s="344">
        <v>-0.5600000000000005</v>
      </c>
      <c r="BJ27" s="348">
        <v>2</v>
      </c>
      <c r="BK27" s="346"/>
      <c r="BL27" s="341">
        <v>-7</v>
      </c>
      <c r="BM27" s="347">
        <v>0</v>
      </c>
      <c r="BN27" s="343"/>
      <c r="BO27" s="344">
        <v>-5.2727272727272725</v>
      </c>
      <c r="BP27" s="348">
        <v>1</v>
      </c>
      <c r="BQ27" s="346"/>
      <c r="BR27" s="341">
        <v>78.902999999999992</v>
      </c>
      <c r="BS27" s="347">
        <v>3</v>
      </c>
      <c r="BT27" s="343">
        <v>10</v>
      </c>
      <c r="BU27" s="344">
        <v>-7</v>
      </c>
      <c r="BV27" s="345">
        <v>0</v>
      </c>
      <c r="BW27" s="346"/>
      <c r="BX27" s="344">
        <f t="shared" si="5"/>
        <v>24.725984532828278</v>
      </c>
      <c r="BY27" s="345">
        <f t="shared" si="6"/>
        <v>27</v>
      </c>
      <c r="BZ27" s="346">
        <f t="shared" si="7"/>
        <v>10</v>
      </c>
      <c r="CA27" s="56"/>
      <c r="DZ27" s="57"/>
      <c r="EA27" s="57"/>
      <c r="EH27" s="54"/>
      <c r="EI27" s="54"/>
    </row>
    <row r="28" spans="1:139" x14ac:dyDescent="0.2">
      <c r="A28" s="351">
        <f t="shared" si="0"/>
        <v>43</v>
      </c>
      <c r="B28" s="351">
        <f t="shared" si="1"/>
        <v>6</v>
      </c>
      <c r="C28" s="351">
        <v>54</v>
      </c>
      <c r="D28" s="402" t="str">
        <f>INDEX(Players!B:B,MATCH(E28,Players!F:F,0))</f>
        <v>C</v>
      </c>
      <c r="E28" s="337" t="s">
        <v>359</v>
      </c>
      <c r="F28" s="349">
        <f t="shared" si="2"/>
        <v>-32.429848484848485</v>
      </c>
      <c r="G28" s="62">
        <f t="shared" si="3"/>
        <v>19</v>
      </c>
      <c r="H28" s="349">
        <v>23.32</v>
      </c>
      <c r="I28" s="158">
        <v>2</v>
      </c>
      <c r="J28" s="612">
        <f>INDEX(Players!A:A,MATCH(E28,Players!F:F,0))</f>
        <v>-40</v>
      </c>
      <c r="K28" s="339">
        <f t="shared" si="8"/>
        <v>0</v>
      </c>
      <c r="L28" s="340"/>
      <c r="M28" s="340">
        <f>INDEX(Table!L:L,MATCH(E28,Table!F:F,0))</f>
        <v>0</v>
      </c>
      <c r="N28" s="339">
        <f t="shared" si="9"/>
        <v>0</v>
      </c>
      <c r="O28" s="612">
        <f t="shared" si="4"/>
        <v>-40</v>
      </c>
      <c r="P28" s="341">
        <v>-7</v>
      </c>
      <c r="Q28" s="342">
        <v>0</v>
      </c>
      <c r="R28" s="343"/>
      <c r="S28" s="344">
        <v>-3.4</v>
      </c>
      <c r="T28" s="345">
        <v>1</v>
      </c>
      <c r="U28" s="346"/>
      <c r="V28" s="341">
        <v>-7</v>
      </c>
      <c r="W28" s="347">
        <v>0</v>
      </c>
      <c r="X28" s="343"/>
      <c r="Y28" s="344">
        <v>2.7300000000000004</v>
      </c>
      <c r="Z28" s="345">
        <v>2</v>
      </c>
      <c r="AA28" s="346"/>
      <c r="AB28" s="341">
        <v>10.450000000000003</v>
      </c>
      <c r="AC28" s="347">
        <v>2</v>
      </c>
      <c r="AD28" s="343"/>
      <c r="AE28" s="344">
        <v>4.2550000000000008</v>
      </c>
      <c r="AF28" s="345">
        <v>2</v>
      </c>
      <c r="AG28" s="346"/>
      <c r="AH28" s="341">
        <v>-7</v>
      </c>
      <c r="AI28" s="347">
        <v>0</v>
      </c>
      <c r="AJ28" s="343"/>
      <c r="AK28" s="344">
        <v>-5.2727272727272725</v>
      </c>
      <c r="AL28" s="345">
        <v>1</v>
      </c>
      <c r="AM28" s="346"/>
      <c r="AN28" s="341">
        <v>-6.666666666666643E-2</v>
      </c>
      <c r="AO28" s="347">
        <v>2</v>
      </c>
      <c r="AP28" s="343"/>
      <c r="AQ28" s="344">
        <v>-7</v>
      </c>
      <c r="AR28" s="345">
        <v>0</v>
      </c>
      <c r="AS28" s="346"/>
      <c r="AT28" s="341">
        <v>-5.2727272727272725</v>
      </c>
      <c r="AU28" s="347">
        <v>1</v>
      </c>
      <c r="AV28" s="343"/>
      <c r="AW28" s="344">
        <v>-4.5999999999999996</v>
      </c>
      <c r="AX28" s="345">
        <v>1</v>
      </c>
      <c r="AY28" s="346"/>
      <c r="AZ28" s="341">
        <v>9</v>
      </c>
      <c r="BA28" s="347">
        <v>2</v>
      </c>
      <c r="BB28" s="343"/>
      <c r="BC28" s="344">
        <v>-5.2</v>
      </c>
      <c r="BD28" s="345">
        <v>1</v>
      </c>
      <c r="BE28" s="346"/>
      <c r="BF28" s="341">
        <v>-7</v>
      </c>
      <c r="BG28" s="347">
        <v>0</v>
      </c>
      <c r="BH28" s="343"/>
      <c r="BI28" s="344">
        <v>-5.2727272727272725</v>
      </c>
      <c r="BJ28" s="348">
        <v>1</v>
      </c>
      <c r="BK28" s="346"/>
      <c r="BL28" s="341">
        <v>-7</v>
      </c>
      <c r="BM28" s="347">
        <v>0</v>
      </c>
      <c r="BN28" s="343"/>
      <c r="BO28" s="344">
        <v>-7</v>
      </c>
      <c r="BP28" s="348">
        <v>0</v>
      </c>
      <c r="BQ28" s="346"/>
      <c r="BR28" s="341">
        <v>-4.0999999999999996</v>
      </c>
      <c r="BS28" s="347">
        <v>1</v>
      </c>
      <c r="BT28" s="343"/>
      <c r="BU28" s="344">
        <v>23.32</v>
      </c>
      <c r="BV28" s="345">
        <v>2</v>
      </c>
      <c r="BW28" s="346"/>
      <c r="BX28" s="344">
        <f t="shared" si="5"/>
        <v>-32.429848484848478</v>
      </c>
      <c r="BY28" s="345">
        <f t="shared" si="6"/>
        <v>19</v>
      </c>
      <c r="BZ28" s="346">
        <f t="shared" si="7"/>
        <v>0</v>
      </c>
      <c r="CA28" s="56"/>
      <c r="DZ28" s="57"/>
      <c r="EA28" s="57"/>
      <c r="EH28" s="54"/>
      <c r="EI28" s="54"/>
    </row>
    <row r="29" spans="1:139" x14ac:dyDescent="0.2">
      <c r="A29" s="351">
        <f t="shared" si="0"/>
        <v>52</v>
      </c>
      <c r="B29" s="351">
        <f t="shared" si="1"/>
        <v>47</v>
      </c>
      <c r="C29" s="351">
        <v>47</v>
      </c>
      <c r="D29" s="402" t="str">
        <f>INDEX(Players!B:B,MATCH(E29,Players!F:F,0))</f>
        <v>D</v>
      </c>
      <c r="E29" s="337" t="s">
        <v>392</v>
      </c>
      <c r="F29" s="349">
        <f t="shared" si="2"/>
        <v>-49.935681818181813</v>
      </c>
      <c r="G29" s="62">
        <f t="shared" si="3"/>
        <v>15</v>
      </c>
      <c r="H29" s="349">
        <v>-7</v>
      </c>
      <c r="I29" s="158">
        <v>0</v>
      </c>
      <c r="J29" s="612">
        <f>INDEX(Players!A:A,MATCH(E29,Players!F:F,0))</f>
        <v>-30</v>
      </c>
      <c r="K29" s="339">
        <f t="shared" si="8"/>
        <v>5</v>
      </c>
      <c r="L29" s="340"/>
      <c r="M29" s="340">
        <f>INDEX(Table!L:L,MATCH(E29,Table!F:F,0))</f>
        <v>0</v>
      </c>
      <c r="N29" s="339">
        <f t="shared" si="9"/>
        <v>5</v>
      </c>
      <c r="O29" s="612">
        <f t="shared" si="4"/>
        <v>-25</v>
      </c>
      <c r="P29" s="341">
        <v>-7</v>
      </c>
      <c r="Q29" s="342">
        <v>0</v>
      </c>
      <c r="R29" s="343"/>
      <c r="S29" s="344">
        <v>-7</v>
      </c>
      <c r="T29" s="345">
        <v>0</v>
      </c>
      <c r="U29" s="346"/>
      <c r="V29" s="341">
        <v>3.8125</v>
      </c>
      <c r="W29" s="347">
        <v>2</v>
      </c>
      <c r="X29" s="343"/>
      <c r="Y29" s="344">
        <v>-5.8181818181818183</v>
      </c>
      <c r="Z29" s="345">
        <v>1</v>
      </c>
      <c r="AA29" s="346"/>
      <c r="AB29" s="341">
        <v>8.2799999999999994</v>
      </c>
      <c r="AC29" s="347">
        <v>2</v>
      </c>
      <c r="AD29" s="343"/>
      <c r="AE29" s="344">
        <v>-7</v>
      </c>
      <c r="AF29" s="345">
        <v>0</v>
      </c>
      <c r="AG29" s="346"/>
      <c r="AH29" s="341">
        <v>-2</v>
      </c>
      <c r="AI29" s="347">
        <v>1</v>
      </c>
      <c r="AJ29" s="343"/>
      <c r="AK29" s="344">
        <v>17.919999999999998</v>
      </c>
      <c r="AL29" s="345">
        <v>2</v>
      </c>
      <c r="AM29" s="346"/>
      <c r="AN29" s="341">
        <v>-3.6</v>
      </c>
      <c r="AO29" s="347">
        <v>1</v>
      </c>
      <c r="AP29" s="343"/>
      <c r="AQ29" s="344">
        <v>-7</v>
      </c>
      <c r="AR29" s="345">
        <v>0</v>
      </c>
      <c r="AS29" s="346"/>
      <c r="AT29" s="341">
        <v>-7</v>
      </c>
      <c r="AU29" s="347">
        <v>0</v>
      </c>
      <c r="AV29" s="343"/>
      <c r="AW29" s="344">
        <v>-7</v>
      </c>
      <c r="AX29" s="345">
        <v>0</v>
      </c>
      <c r="AY29" s="346"/>
      <c r="AZ29" s="341">
        <v>-7</v>
      </c>
      <c r="BA29" s="347">
        <v>0</v>
      </c>
      <c r="BB29" s="343"/>
      <c r="BC29" s="344">
        <v>-7</v>
      </c>
      <c r="BD29" s="345">
        <v>0</v>
      </c>
      <c r="BE29" s="346"/>
      <c r="BF29" s="341">
        <v>-1.75</v>
      </c>
      <c r="BG29" s="347">
        <v>1</v>
      </c>
      <c r="BH29" s="343"/>
      <c r="BI29" s="344">
        <v>-4.3</v>
      </c>
      <c r="BJ29" s="348">
        <v>1</v>
      </c>
      <c r="BK29" s="346"/>
      <c r="BL29" s="341">
        <v>8.7199999999999989</v>
      </c>
      <c r="BM29" s="347">
        <v>2</v>
      </c>
      <c r="BN29" s="343">
        <v>5</v>
      </c>
      <c r="BO29" s="344">
        <v>-4.3</v>
      </c>
      <c r="BP29" s="348">
        <v>1</v>
      </c>
      <c r="BQ29" s="346"/>
      <c r="BR29" s="341">
        <v>-3.9</v>
      </c>
      <c r="BS29" s="347">
        <v>1</v>
      </c>
      <c r="BT29" s="343"/>
      <c r="BU29" s="344">
        <v>-7</v>
      </c>
      <c r="BV29" s="345">
        <v>0</v>
      </c>
      <c r="BW29" s="346"/>
      <c r="BX29" s="344">
        <f t="shared" si="5"/>
        <v>-49.935681818181827</v>
      </c>
      <c r="BY29" s="345">
        <f t="shared" si="6"/>
        <v>15</v>
      </c>
      <c r="BZ29" s="346">
        <f t="shared" si="7"/>
        <v>5</v>
      </c>
      <c r="CA29" s="56"/>
      <c r="DZ29" s="57"/>
      <c r="EA29" s="57"/>
      <c r="EH29" s="54"/>
      <c r="EI29" s="54"/>
    </row>
    <row r="30" spans="1:139" x14ac:dyDescent="0.2">
      <c r="A30" s="351">
        <f t="shared" si="0"/>
        <v>42</v>
      </c>
      <c r="B30" s="351">
        <f t="shared" si="1"/>
        <v>15</v>
      </c>
      <c r="C30" s="351">
        <v>40</v>
      </c>
      <c r="D30" s="402" t="str">
        <f>INDEX(Players!B:B,MATCH(E30,Players!F:F,0))</f>
        <v>B</v>
      </c>
      <c r="E30" s="337" t="s">
        <v>323</v>
      </c>
      <c r="F30" s="349">
        <f t="shared" si="2"/>
        <v>-32.410000000000004</v>
      </c>
      <c r="G30" s="62">
        <f t="shared" si="3"/>
        <v>20</v>
      </c>
      <c r="H30" s="349">
        <v>2.4000000000000004</v>
      </c>
      <c r="I30" s="158">
        <v>2</v>
      </c>
      <c r="J30" s="612">
        <f>INDEX(Players!A:A,MATCH(E30,Players!F:F,0))</f>
        <v>65.349999999999994</v>
      </c>
      <c r="K30" s="339">
        <f t="shared" si="8"/>
        <v>10</v>
      </c>
      <c r="L30" s="340"/>
      <c r="M30" s="340">
        <f>INDEX(Table!L:L,MATCH(E30,Table!F:F,0))</f>
        <v>0</v>
      </c>
      <c r="N30" s="339">
        <f t="shared" si="9"/>
        <v>10</v>
      </c>
      <c r="O30" s="612">
        <f t="shared" si="4"/>
        <v>75.349999999999994</v>
      </c>
      <c r="P30" s="341">
        <v>-4</v>
      </c>
      <c r="Q30" s="342">
        <v>1</v>
      </c>
      <c r="R30" s="343"/>
      <c r="S30" s="344">
        <v>-7</v>
      </c>
      <c r="T30" s="345">
        <v>0</v>
      </c>
      <c r="U30" s="346"/>
      <c r="V30" s="341">
        <v>3.9999999999999982</v>
      </c>
      <c r="W30" s="347">
        <v>2</v>
      </c>
      <c r="X30" s="343"/>
      <c r="Y30" s="344">
        <v>-7</v>
      </c>
      <c r="Z30" s="345">
        <v>0</v>
      </c>
      <c r="AA30" s="346"/>
      <c r="AB30" s="341">
        <v>10.039999999999999</v>
      </c>
      <c r="AC30" s="347">
        <v>2</v>
      </c>
      <c r="AD30" s="343"/>
      <c r="AE30" s="344">
        <v>5.9499999999999993</v>
      </c>
      <c r="AF30" s="345">
        <v>2</v>
      </c>
      <c r="AG30" s="346"/>
      <c r="AH30" s="341">
        <v>-4</v>
      </c>
      <c r="AI30" s="347">
        <v>1</v>
      </c>
      <c r="AJ30" s="343"/>
      <c r="AK30" s="344">
        <v>-7</v>
      </c>
      <c r="AL30" s="345">
        <v>0</v>
      </c>
      <c r="AM30" s="346"/>
      <c r="AN30" s="341">
        <v>-3</v>
      </c>
      <c r="AO30" s="347">
        <v>1</v>
      </c>
      <c r="AP30" s="343"/>
      <c r="AQ30" s="344">
        <v>-4.5999999999999996</v>
      </c>
      <c r="AR30" s="345">
        <v>1</v>
      </c>
      <c r="AS30" s="346"/>
      <c r="AT30" s="341">
        <v>-4.8499999999999996</v>
      </c>
      <c r="AU30" s="347">
        <v>1</v>
      </c>
      <c r="AV30" s="343"/>
      <c r="AW30" s="344">
        <v>-7</v>
      </c>
      <c r="AX30" s="345">
        <v>0</v>
      </c>
      <c r="AY30" s="346"/>
      <c r="AZ30" s="341">
        <v>-5.15</v>
      </c>
      <c r="BA30" s="347">
        <v>1</v>
      </c>
      <c r="BB30" s="343"/>
      <c r="BC30" s="344">
        <v>-3.6</v>
      </c>
      <c r="BD30" s="345">
        <v>1</v>
      </c>
      <c r="BE30" s="346"/>
      <c r="BF30" s="341">
        <v>13.9375</v>
      </c>
      <c r="BG30" s="347">
        <v>2</v>
      </c>
      <c r="BH30" s="343">
        <v>10</v>
      </c>
      <c r="BI30" s="344">
        <v>-3.1</v>
      </c>
      <c r="BJ30" s="348">
        <v>1</v>
      </c>
      <c r="BK30" s="346"/>
      <c r="BL30" s="341">
        <v>5.5625</v>
      </c>
      <c r="BM30" s="347">
        <v>2</v>
      </c>
      <c r="BN30" s="343"/>
      <c r="BO30" s="344">
        <v>-7</v>
      </c>
      <c r="BP30" s="348">
        <v>0</v>
      </c>
      <c r="BQ30" s="346"/>
      <c r="BR30" s="341">
        <v>-7</v>
      </c>
      <c r="BS30" s="347">
        <v>0</v>
      </c>
      <c r="BT30" s="343"/>
      <c r="BU30" s="344">
        <v>2.4000000000000004</v>
      </c>
      <c r="BV30" s="345">
        <v>2</v>
      </c>
      <c r="BW30" s="346"/>
      <c r="BX30" s="344">
        <f t="shared" si="5"/>
        <v>-32.410000000000004</v>
      </c>
      <c r="BY30" s="345">
        <f t="shared" si="6"/>
        <v>20</v>
      </c>
      <c r="BZ30" s="346">
        <f t="shared" si="7"/>
        <v>10</v>
      </c>
      <c r="CA30" s="56"/>
      <c r="DZ30" s="57"/>
      <c r="EA30" s="57"/>
      <c r="EH30" s="54"/>
      <c r="EI30" s="54"/>
    </row>
    <row r="31" spans="1:139" x14ac:dyDescent="0.2">
      <c r="A31" s="351">
        <f t="shared" si="0"/>
        <v>16</v>
      </c>
      <c r="B31" s="351">
        <f t="shared" si="1"/>
        <v>4</v>
      </c>
      <c r="C31" s="351">
        <v>21</v>
      </c>
      <c r="D31" s="402" t="str">
        <f>INDEX(Players!B:B,MATCH(E31,Players!F:F,0))</f>
        <v>C</v>
      </c>
      <c r="E31" s="337" t="s">
        <v>339</v>
      </c>
      <c r="F31" s="349">
        <f t="shared" si="2"/>
        <v>26.998430555555551</v>
      </c>
      <c r="G31" s="62">
        <f t="shared" si="3"/>
        <v>23</v>
      </c>
      <c r="H31" s="349">
        <v>25.969374999999999</v>
      </c>
      <c r="I31" s="158">
        <v>3</v>
      </c>
      <c r="J31" s="612">
        <f>INDEX(Players!A:A,MATCH(E31,Players!F:F,0))</f>
        <v>10.125</v>
      </c>
      <c r="K31" s="339">
        <f t="shared" si="8"/>
        <v>17.5</v>
      </c>
      <c r="L31" s="340"/>
      <c r="M31" s="340">
        <f>INDEX(Table!L:L,MATCH(E31,Table!F:F,0))</f>
        <v>20.25</v>
      </c>
      <c r="N31" s="339">
        <f t="shared" si="9"/>
        <v>37.75</v>
      </c>
      <c r="O31" s="612">
        <f t="shared" si="4"/>
        <v>47.875</v>
      </c>
      <c r="P31" s="341">
        <v>3.1999999999999993</v>
      </c>
      <c r="Q31" s="342">
        <v>2</v>
      </c>
      <c r="R31" s="343"/>
      <c r="S31" s="344">
        <v>5.9399999999999995</v>
      </c>
      <c r="T31" s="345">
        <v>2</v>
      </c>
      <c r="U31" s="346"/>
      <c r="V31" s="341">
        <v>-7</v>
      </c>
      <c r="W31" s="347">
        <v>0</v>
      </c>
      <c r="X31" s="343"/>
      <c r="Y31" s="344">
        <v>-7</v>
      </c>
      <c r="Z31" s="345">
        <v>0</v>
      </c>
      <c r="AA31" s="346"/>
      <c r="AB31" s="341">
        <v>11.555555555555554</v>
      </c>
      <c r="AC31" s="347">
        <v>3</v>
      </c>
      <c r="AD31" s="343"/>
      <c r="AE31" s="344">
        <v>8.5</v>
      </c>
      <c r="AF31" s="345">
        <v>2</v>
      </c>
      <c r="AG31" s="346"/>
      <c r="AH31" s="341">
        <v>-4.75</v>
      </c>
      <c r="AI31" s="347">
        <v>1</v>
      </c>
      <c r="AJ31" s="343"/>
      <c r="AK31" s="344">
        <v>-7</v>
      </c>
      <c r="AL31" s="345">
        <v>0</v>
      </c>
      <c r="AM31" s="346"/>
      <c r="AN31" s="341">
        <v>-7</v>
      </c>
      <c r="AO31" s="347">
        <v>0</v>
      </c>
      <c r="AP31" s="343"/>
      <c r="AQ31" s="344">
        <v>-4.95</v>
      </c>
      <c r="AR31" s="345">
        <v>1</v>
      </c>
      <c r="AS31" s="346"/>
      <c r="AT31" s="341">
        <v>8.8625000000000007</v>
      </c>
      <c r="AU31" s="347">
        <v>2</v>
      </c>
      <c r="AV31" s="343">
        <v>5</v>
      </c>
      <c r="AW31" s="344">
        <v>-4.5999999999999996</v>
      </c>
      <c r="AX31" s="345">
        <v>1</v>
      </c>
      <c r="AY31" s="346"/>
      <c r="AZ31" s="341">
        <v>39.771000000000001</v>
      </c>
      <c r="BA31" s="347">
        <v>3</v>
      </c>
      <c r="BB31" s="343">
        <v>10</v>
      </c>
      <c r="BC31" s="344">
        <v>-4.55</v>
      </c>
      <c r="BD31" s="345">
        <v>1</v>
      </c>
      <c r="BE31" s="346"/>
      <c r="BF31" s="341">
        <v>-4.5</v>
      </c>
      <c r="BG31" s="347">
        <v>1</v>
      </c>
      <c r="BH31" s="343"/>
      <c r="BI31" s="344">
        <v>-4.45</v>
      </c>
      <c r="BJ31" s="348">
        <v>1</v>
      </c>
      <c r="BK31" s="346"/>
      <c r="BL31" s="341">
        <v>-7</v>
      </c>
      <c r="BM31" s="347">
        <v>0</v>
      </c>
      <c r="BN31" s="343"/>
      <c r="BO31" s="344">
        <v>-7</v>
      </c>
      <c r="BP31" s="348">
        <v>0</v>
      </c>
      <c r="BQ31" s="346"/>
      <c r="BR31" s="341">
        <v>-7</v>
      </c>
      <c r="BS31" s="347">
        <v>0</v>
      </c>
      <c r="BT31" s="343"/>
      <c r="BU31" s="344">
        <v>25.969374999999999</v>
      </c>
      <c r="BV31" s="345">
        <v>3</v>
      </c>
      <c r="BW31" s="346">
        <v>2.5</v>
      </c>
      <c r="BX31" s="344">
        <f t="shared" si="5"/>
        <v>26.998430555555554</v>
      </c>
      <c r="BY31" s="345">
        <f t="shared" si="6"/>
        <v>23</v>
      </c>
      <c r="BZ31" s="346">
        <f t="shared" si="7"/>
        <v>17.5</v>
      </c>
      <c r="CA31" s="56"/>
      <c r="DZ31" s="57"/>
      <c r="EA31" s="57"/>
      <c r="EH31" s="54"/>
      <c r="EI31" s="54"/>
    </row>
    <row r="32" spans="1:139" ht="13.2" customHeight="1" x14ac:dyDescent="0.2">
      <c r="A32" s="351">
        <f t="shared" si="0"/>
        <v>51</v>
      </c>
      <c r="B32" s="351">
        <f t="shared" si="1"/>
        <v>47</v>
      </c>
      <c r="C32" s="351">
        <v>44</v>
      </c>
      <c r="D32" s="402" t="str">
        <f>INDEX(Players!B:B,MATCH(E32,Players!F:F,0))</f>
        <v>B</v>
      </c>
      <c r="E32" s="337" t="s">
        <v>329</v>
      </c>
      <c r="F32" s="349">
        <f t="shared" si="2"/>
        <v>-44.324999999999996</v>
      </c>
      <c r="G32" s="62">
        <f t="shared" si="3"/>
        <v>18</v>
      </c>
      <c r="H32" s="349">
        <v>-7</v>
      </c>
      <c r="I32" s="158">
        <v>0</v>
      </c>
      <c r="J32" s="612">
        <f>INDEX(Players!A:A,MATCH(E32,Players!F:F,0))</f>
        <v>-30</v>
      </c>
      <c r="K32" s="339">
        <f t="shared" si="8"/>
        <v>5</v>
      </c>
      <c r="L32" s="340"/>
      <c r="M32" s="340">
        <f>INDEX(Table!L:L,MATCH(E32,Table!F:F,0))</f>
        <v>0</v>
      </c>
      <c r="N32" s="339">
        <f t="shared" si="9"/>
        <v>5</v>
      </c>
      <c r="O32" s="612">
        <f t="shared" si="4"/>
        <v>-25</v>
      </c>
      <c r="P32" s="341">
        <v>6.9600000000000009</v>
      </c>
      <c r="Q32" s="342">
        <v>2</v>
      </c>
      <c r="R32" s="343"/>
      <c r="S32" s="344">
        <v>-4.95</v>
      </c>
      <c r="T32" s="345">
        <v>1</v>
      </c>
      <c r="U32" s="346"/>
      <c r="V32" s="341">
        <v>10.450000000000003</v>
      </c>
      <c r="W32" s="347">
        <v>2</v>
      </c>
      <c r="X32" s="343">
        <v>5</v>
      </c>
      <c r="Y32" s="344">
        <v>-4.3</v>
      </c>
      <c r="Z32" s="345">
        <v>1</v>
      </c>
      <c r="AA32" s="346"/>
      <c r="AB32" s="341">
        <v>9.68</v>
      </c>
      <c r="AC32" s="347">
        <v>2</v>
      </c>
      <c r="AD32" s="343"/>
      <c r="AE32" s="344">
        <v>-3</v>
      </c>
      <c r="AF32" s="345">
        <v>0</v>
      </c>
      <c r="AG32" s="346"/>
      <c r="AH32" s="341">
        <v>3.2850000000000001</v>
      </c>
      <c r="AI32" s="347">
        <v>2</v>
      </c>
      <c r="AJ32" s="343"/>
      <c r="AK32" s="344">
        <v>-7</v>
      </c>
      <c r="AL32" s="345">
        <v>0</v>
      </c>
      <c r="AM32" s="346"/>
      <c r="AN32" s="341">
        <v>0.25</v>
      </c>
      <c r="AO32" s="347">
        <v>2</v>
      </c>
      <c r="AP32" s="343"/>
      <c r="AQ32" s="344">
        <v>-7</v>
      </c>
      <c r="AR32" s="345">
        <v>0</v>
      </c>
      <c r="AS32" s="346"/>
      <c r="AT32" s="341">
        <v>2.8000000000000007</v>
      </c>
      <c r="AU32" s="347">
        <v>2</v>
      </c>
      <c r="AV32" s="343"/>
      <c r="AW32" s="344">
        <v>0.39999999999999991</v>
      </c>
      <c r="AX32" s="345">
        <v>2</v>
      </c>
      <c r="AY32" s="346"/>
      <c r="AZ32" s="341">
        <v>-5.15</v>
      </c>
      <c r="BA32" s="347">
        <v>1</v>
      </c>
      <c r="BB32" s="343"/>
      <c r="BC32" s="344">
        <v>-7</v>
      </c>
      <c r="BD32" s="345">
        <v>0</v>
      </c>
      <c r="BE32" s="346"/>
      <c r="BF32" s="341">
        <v>-7</v>
      </c>
      <c r="BG32" s="347">
        <v>0</v>
      </c>
      <c r="BH32" s="343"/>
      <c r="BI32" s="344">
        <v>-7</v>
      </c>
      <c r="BJ32" s="348">
        <v>0</v>
      </c>
      <c r="BK32" s="346"/>
      <c r="BL32" s="341">
        <v>-4.75</v>
      </c>
      <c r="BM32" s="347">
        <v>1</v>
      </c>
      <c r="BN32" s="343"/>
      <c r="BO32" s="344">
        <v>-7</v>
      </c>
      <c r="BP32" s="348">
        <v>0</v>
      </c>
      <c r="BQ32" s="346"/>
      <c r="BR32" s="341">
        <v>-7</v>
      </c>
      <c r="BS32" s="347">
        <v>0</v>
      </c>
      <c r="BT32" s="343"/>
      <c r="BU32" s="344">
        <v>-7</v>
      </c>
      <c r="BV32" s="345">
        <v>0</v>
      </c>
      <c r="BW32" s="346"/>
      <c r="BX32" s="344">
        <f t="shared" si="5"/>
        <v>-44.325000000000003</v>
      </c>
      <c r="BY32" s="345">
        <f t="shared" si="6"/>
        <v>18</v>
      </c>
      <c r="BZ32" s="346">
        <f t="shared" si="7"/>
        <v>5</v>
      </c>
      <c r="CA32" s="56"/>
      <c r="DZ32" s="57"/>
      <c r="EA32" s="57"/>
      <c r="EH32" s="54"/>
      <c r="EI32" s="54"/>
    </row>
    <row r="33" spans="1:139" x14ac:dyDescent="0.2">
      <c r="A33" s="351">
        <f t="shared" si="0"/>
        <v>59</v>
      </c>
      <c r="B33" s="351">
        <f t="shared" si="1"/>
        <v>32</v>
      </c>
      <c r="C33" s="351">
        <v>60</v>
      </c>
      <c r="D33" s="402" t="str">
        <f>INDEX(Players!B:B,MATCH(E33,Players!F:F,0))</f>
        <v>D</v>
      </c>
      <c r="E33" s="337" t="s">
        <v>459</v>
      </c>
      <c r="F33" s="349">
        <f t="shared" si="2"/>
        <v>-72.214999999999989</v>
      </c>
      <c r="G33" s="62">
        <f t="shared" si="3"/>
        <v>18</v>
      </c>
      <c r="H33" s="349">
        <v>-3</v>
      </c>
      <c r="I33" s="158">
        <v>1</v>
      </c>
      <c r="J33" s="612">
        <f>INDEX(Players!A:A,MATCH(E33,Players!F:F,0))</f>
        <v>-35</v>
      </c>
      <c r="K33" s="339">
        <f t="shared" si="8"/>
        <v>0</v>
      </c>
      <c r="L33" s="340"/>
      <c r="M33" s="340">
        <f>INDEX(Table!L:L,MATCH(E33,Table!F:F,0))</f>
        <v>0</v>
      </c>
      <c r="N33" s="339">
        <f t="shared" si="9"/>
        <v>0</v>
      </c>
      <c r="O33" s="612">
        <f t="shared" si="4"/>
        <v>-35</v>
      </c>
      <c r="P33" s="341">
        <v>-5.2</v>
      </c>
      <c r="Q33" s="342">
        <v>1</v>
      </c>
      <c r="R33" s="343"/>
      <c r="S33" s="344">
        <v>2.0649999999999995</v>
      </c>
      <c r="T33" s="345">
        <v>2</v>
      </c>
      <c r="U33" s="346"/>
      <c r="V33" s="341">
        <v>-7</v>
      </c>
      <c r="W33" s="347">
        <v>0</v>
      </c>
      <c r="X33" s="343"/>
      <c r="Y33" s="344">
        <v>-4.9000000000000004</v>
      </c>
      <c r="Z33" s="345">
        <v>1</v>
      </c>
      <c r="AA33" s="346"/>
      <c r="AB33" s="341">
        <v>-7</v>
      </c>
      <c r="AC33" s="347">
        <v>0</v>
      </c>
      <c r="AD33" s="343"/>
      <c r="AE33" s="344">
        <v>-0.70000000000000018</v>
      </c>
      <c r="AF33" s="345">
        <v>1</v>
      </c>
      <c r="AG33" s="346"/>
      <c r="AH33" s="341">
        <v>-5</v>
      </c>
      <c r="AI33" s="347">
        <v>1</v>
      </c>
      <c r="AJ33" s="343"/>
      <c r="AK33" s="344">
        <v>-4.5999999999999996</v>
      </c>
      <c r="AL33" s="345">
        <v>1</v>
      </c>
      <c r="AM33" s="346"/>
      <c r="AN33" s="341">
        <v>-7</v>
      </c>
      <c r="AO33" s="347">
        <v>0</v>
      </c>
      <c r="AP33" s="343"/>
      <c r="AQ33" s="344">
        <v>-4.9000000000000004</v>
      </c>
      <c r="AR33" s="345">
        <v>1</v>
      </c>
      <c r="AS33" s="346"/>
      <c r="AT33" s="341">
        <v>-7</v>
      </c>
      <c r="AU33" s="347">
        <v>0</v>
      </c>
      <c r="AV33" s="343"/>
      <c r="AW33" s="344">
        <v>1.3800000000000008</v>
      </c>
      <c r="AX33" s="345">
        <v>2</v>
      </c>
      <c r="AY33" s="346"/>
      <c r="AZ33" s="341">
        <v>2.5399999999999991</v>
      </c>
      <c r="BA33" s="347">
        <v>2</v>
      </c>
      <c r="BB33" s="343"/>
      <c r="BC33" s="344">
        <v>-4.5</v>
      </c>
      <c r="BD33" s="345">
        <v>1</v>
      </c>
      <c r="BE33" s="346"/>
      <c r="BF33" s="341">
        <v>-7</v>
      </c>
      <c r="BG33" s="347">
        <v>0</v>
      </c>
      <c r="BH33" s="343"/>
      <c r="BI33" s="344">
        <v>-7</v>
      </c>
      <c r="BJ33" s="348">
        <v>0</v>
      </c>
      <c r="BK33" s="346"/>
      <c r="BL33" s="341">
        <v>0.40000000000000036</v>
      </c>
      <c r="BM33" s="347">
        <v>2</v>
      </c>
      <c r="BN33" s="343"/>
      <c r="BO33" s="344">
        <v>-3.8</v>
      </c>
      <c r="BP33" s="348">
        <v>1</v>
      </c>
      <c r="BQ33" s="346"/>
      <c r="BR33" s="341">
        <v>0</v>
      </c>
      <c r="BS33" s="347">
        <v>1</v>
      </c>
      <c r="BT33" s="343"/>
      <c r="BU33" s="344">
        <v>-3</v>
      </c>
      <c r="BV33" s="345">
        <v>1</v>
      </c>
      <c r="BW33" s="346"/>
      <c r="BX33" s="344">
        <f t="shared" si="5"/>
        <v>-72.215000000000003</v>
      </c>
      <c r="BY33" s="345">
        <f t="shared" si="6"/>
        <v>18</v>
      </c>
      <c r="BZ33" s="346">
        <f t="shared" si="7"/>
        <v>0</v>
      </c>
      <c r="CA33" s="56"/>
      <c r="DZ33" s="57"/>
      <c r="EA33" s="57"/>
      <c r="EH33" s="54"/>
      <c r="EI33" s="54"/>
    </row>
    <row r="34" spans="1:139" x14ac:dyDescent="0.2">
      <c r="A34" s="351">
        <f t="shared" ref="A34:A66" si="10">_xlfn.RANK.EQ(F34,totalscores,0)</f>
        <v>44</v>
      </c>
      <c r="B34" s="351">
        <f t="shared" ref="B34:B61" si="11">_xlfn.RANK.EQ(H34,thisweekscore,0)</f>
        <v>38</v>
      </c>
      <c r="C34" s="351">
        <v>45</v>
      </c>
      <c r="D34" s="402" t="str">
        <f>INDEX(Players!B:B,MATCH(E34,Players!F:F,0))</f>
        <v>B</v>
      </c>
      <c r="E34" s="337" t="s">
        <v>341</v>
      </c>
      <c r="F34" s="349">
        <f t="shared" ref="F34:F61" si="12">+P34+S34+V34+Y34+AB34+AE34+AH34+AK34+AN34+AQ34+AT34+AW34+AZ34+BC34+BF34+BI34+BL34+BO34+BR34+BU34</f>
        <v>-32.487000000000002</v>
      </c>
      <c r="G34" s="62">
        <f t="shared" ref="G34:G61" si="13">+Q34+T34+W34+Z34+AC34+AF34+AI34+AL34+AO34+AR34+AU34+AX34+BA34+BD34+BG34+BJ34+BM34+BP34+BS34+BV34</f>
        <v>17</v>
      </c>
      <c r="H34" s="349">
        <v>-4.625</v>
      </c>
      <c r="I34" s="158">
        <v>1</v>
      </c>
      <c r="J34" s="612">
        <f>INDEX(Players!A:A,MATCH(E34,Players!F:F,0))</f>
        <v>14.545000000000002</v>
      </c>
      <c r="K34" s="339">
        <f t="shared" si="8"/>
        <v>10</v>
      </c>
      <c r="L34" s="340"/>
      <c r="M34" s="340">
        <f>INDEX(Table!L:L,MATCH(E34,Table!F:F,0))</f>
        <v>0</v>
      </c>
      <c r="N34" s="339">
        <f t="shared" si="9"/>
        <v>10</v>
      </c>
      <c r="O34" s="612">
        <f t="shared" ref="O34:O61" si="14">N34+J34</f>
        <v>24.545000000000002</v>
      </c>
      <c r="P34" s="341">
        <v>-7</v>
      </c>
      <c r="Q34" s="342">
        <v>0</v>
      </c>
      <c r="R34" s="343"/>
      <c r="S34" s="344">
        <v>7.3000000000000007</v>
      </c>
      <c r="T34" s="345">
        <v>2</v>
      </c>
      <c r="U34" s="346"/>
      <c r="V34" s="341">
        <v>-4.7</v>
      </c>
      <c r="W34" s="347">
        <v>1</v>
      </c>
      <c r="X34" s="343"/>
      <c r="Y34" s="344">
        <v>-7</v>
      </c>
      <c r="Z34" s="345">
        <v>0</v>
      </c>
      <c r="AA34" s="346"/>
      <c r="AB34" s="341">
        <v>2.5399999999999991</v>
      </c>
      <c r="AC34" s="347">
        <v>2</v>
      </c>
      <c r="AD34" s="343"/>
      <c r="AE34" s="344">
        <v>-7</v>
      </c>
      <c r="AF34" s="345">
        <v>0</v>
      </c>
      <c r="AG34" s="346"/>
      <c r="AH34" s="341">
        <v>-4.125</v>
      </c>
      <c r="AI34" s="347">
        <v>1</v>
      </c>
      <c r="AJ34" s="343"/>
      <c r="AK34" s="344">
        <v>36.268000000000001</v>
      </c>
      <c r="AL34" s="345">
        <v>3</v>
      </c>
      <c r="AM34" s="346">
        <v>10</v>
      </c>
      <c r="AN34" s="341">
        <v>-7</v>
      </c>
      <c r="AO34" s="347">
        <v>0</v>
      </c>
      <c r="AP34" s="343"/>
      <c r="AQ34" s="344">
        <v>-4.75</v>
      </c>
      <c r="AR34" s="345">
        <v>1</v>
      </c>
      <c r="AS34" s="346"/>
      <c r="AT34" s="341">
        <v>-4.6500000000000004</v>
      </c>
      <c r="AU34" s="347">
        <v>1</v>
      </c>
      <c r="AV34" s="343"/>
      <c r="AW34" s="344">
        <v>-7</v>
      </c>
      <c r="AX34" s="345">
        <v>0</v>
      </c>
      <c r="AY34" s="346"/>
      <c r="AZ34" s="341">
        <v>-7</v>
      </c>
      <c r="BA34" s="347">
        <v>0</v>
      </c>
      <c r="BB34" s="343"/>
      <c r="BC34" s="344">
        <v>6.4</v>
      </c>
      <c r="BD34" s="345">
        <v>2</v>
      </c>
      <c r="BE34" s="346"/>
      <c r="BF34" s="341">
        <v>-7</v>
      </c>
      <c r="BG34" s="347">
        <v>0</v>
      </c>
      <c r="BH34" s="343"/>
      <c r="BI34" s="344">
        <v>-7</v>
      </c>
      <c r="BJ34" s="348">
        <v>0</v>
      </c>
      <c r="BK34" s="346"/>
      <c r="BL34" s="341">
        <v>-7</v>
      </c>
      <c r="BM34" s="347">
        <v>0</v>
      </c>
      <c r="BN34" s="343"/>
      <c r="BO34" s="344">
        <v>-4.5999999999999996</v>
      </c>
      <c r="BP34" s="348">
        <v>1</v>
      </c>
      <c r="BQ34" s="346"/>
      <c r="BR34" s="341">
        <v>5.4550000000000001</v>
      </c>
      <c r="BS34" s="347">
        <v>2</v>
      </c>
      <c r="BT34" s="343"/>
      <c r="BU34" s="344">
        <v>-4.625</v>
      </c>
      <c r="BV34" s="345">
        <v>1</v>
      </c>
      <c r="BW34" s="346"/>
      <c r="BX34" s="344">
        <f t="shared" ref="BX34:BX61" si="15">BU34+BR34+BO34+BL34+BI34+BF34+BC34+AZ34+AW34+AT34+AQ34+AN34+AK34+AH34+AE34+AB34+Y34+V34+S34+P34</f>
        <v>-32.486999999999995</v>
      </c>
      <c r="BY34" s="345">
        <f t="shared" ref="BY34:BY61" si="16">BV34+BS34+BP34+BM34+BJ34+BG34+BD34+BA34+AX34+AU34+AR34+AO34+AL34+AI34+AF34+AC34+Z34+W34+T34+Q34</f>
        <v>17</v>
      </c>
      <c r="BZ34" s="346">
        <f t="shared" ref="BZ34:BZ61" si="17">BW34+BT34+BQ34+BN34+BK34+BH34+BE34+BB34+AY34+AV34+AS34+AP34+AM34+AJ34+AG34+AD34+AA34+X34+U34+R34</f>
        <v>10</v>
      </c>
      <c r="CA34" s="56"/>
      <c r="DZ34" s="57"/>
      <c r="EA34" s="57"/>
      <c r="EH34" s="54"/>
      <c r="EI34" s="54"/>
    </row>
    <row r="35" spans="1:139" x14ac:dyDescent="0.2">
      <c r="A35" s="351">
        <f t="shared" si="10"/>
        <v>3</v>
      </c>
      <c r="B35" s="351">
        <f t="shared" si="11"/>
        <v>1</v>
      </c>
      <c r="C35" s="351">
        <v>36</v>
      </c>
      <c r="D35" s="402" t="str">
        <f>INDEX(Players!B:B,MATCH(E35,Players!F:F,0))</f>
        <v>B</v>
      </c>
      <c r="E35" s="337" t="s">
        <v>350</v>
      </c>
      <c r="F35" s="349">
        <f t="shared" si="12"/>
        <v>86.818457431457446</v>
      </c>
      <c r="G35" s="62">
        <f t="shared" si="13"/>
        <v>36</v>
      </c>
      <c r="H35" s="349">
        <v>104.75200000000001</v>
      </c>
      <c r="I35" s="158">
        <v>3</v>
      </c>
      <c r="J35" s="612">
        <f>INDEX(Players!A:A,MATCH(E35,Players!F:F,0))</f>
        <v>-7.3800000000000026</v>
      </c>
      <c r="K35" s="339">
        <f t="shared" si="8"/>
        <v>10</v>
      </c>
      <c r="L35" s="340"/>
      <c r="M35" s="340">
        <f>INDEX(Table!L:L,MATCH(E35,Table!F:F,0))</f>
        <v>56.25</v>
      </c>
      <c r="N35" s="339">
        <f t="shared" si="9"/>
        <v>66.25</v>
      </c>
      <c r="O35" s="612">
        <f t="shared" si="14"/>
        <v>58.87</v>
      </c>
      <c r="P35" s="341">
        <v>3.0000000000000018</v>
      </c>
      <c r="Q35" s="342">
        <v>3</v>
      </c>
      <c r="R35" s="343"/>
      <c r="S35" s="344">
        <v>-4.5999999999999996</v>
      </c>
      <c r="T35" s="345">
        <v>1</v>
      </c>
      <c r="U35" s="346"/>
      <c r="V35" s="341">
        <v>5.1727272727272755</v>
      </c>
      <c r="W35" s="347">
        <v>3</v>
      </c>
      <c r="X35" s="343"/>
      <c r="Y35" s="344">
        <v>-2.3777777777777782</v>
      </c>
      <c r="Z35" s="345">
        <v>2</v>
      </c>
      <c r="AA35" s="346"/>
      <c r="AB35" s="341">
        <v>-5.3333333333333339</v>
      </c>
      <c r="AC35" s="347">
        <v>1</v>
      </c>
      <c r="AD35" s="343"/>
      <c r="AE35" s="344">
        <v>5.9499999999999993</v>
      </c>
      <c r="AF35" s="345">
        <v>2</v>
      </c>
      <c r="AG35" s="346"/>
      <c r="AH35" s="341">
        <v>9.7171428571428571</v>
      </c>
      <c r="AI35" s="347">
        <v>3</v>
      </c>
      <c r="AJ35" s="343"/>
      <c r="AK35" s="344">
        <v>-1.75</v>
      </c>
      <c r="AL35" s="345">
        <v>2</v>
      </c>
      <c r="AM35" s="346"/>
      <c r="AN35" s="341">
        <v>-5.2</v>
      </c>
      <c r="AO35" s="347">
        <v>1</v>
      </c>
      <c r="AP35" s="343"/>
      <c r="AQ35" s="344">
        <v>-1.75</v>
      </c>
      <c r="AR35" s="345">
        <v>2</v>
      </c>
      <c r="AS35" s="346"/>
      <c r="AT35" s="341">
        <v>-4.75</v>
      </c>
      <c r="AU35" s="347">
        <v>1</v>
      </c>
      <c r="AV35" s="343"/>
      <c r="AW35" s="344">
        <v>-2.1349999999999998</v>
      </c>
      <c r="AX35" s="345">
        <v>2</v>
      </c>
      <c r="AY35" s="346"/>
      <c r="AZ35" s="341">
        <v>-7</v>
      </c>
      <c r="BA35" s="347">
        <v>0</v>
      </c>
      <c r="BB35" s="343"/>
      <c r="BC35" s="344">
        <v>-7</v>
      </c>
      <c r="BD35" s="345">
        <v>0</v>
      </c>
      <c r="BE35" s="346"/>
      <c r="BF35" s="341">
        <v>7.6642857142857164</v>
      </c>
      <c r="BG35" s="347">
        <v>3</v>
      </c>
      <c r="BH35" s="343"/>
      <c r="BI35" s="344">
        <v>-2.2400000000000002</v>
      </c>
      <c r="BJ35" s="348">
        <v>2</v>
      </c>
      <c r="BK35" s="346"/>
      <c r="BL35" s="341">
        <v>-1.6444444444444439</v>
      </c>
      <c r="BM35" s="347">
        <v>2</v>
      </c>
      <c r="BN35" s="343"/>
      <c r="BO35" s="344">
        <v>-5.3</v>
      </c>
      <c r="BP35" s="348">
        <v>1</v>
      </c>
      <c r="BQ35" s="346"/>
      <c r="BR35" s="341">
        <v>1.6428571428571423</v>
      </c>
      <c r="BS35" s="347">
        <v>2</v>
      </c>
      <c r="BT35" s="343"/>
      <c r="BU35" s="344">
        <v>104.75200000000001</v>
      </c>
      <c r="BV35" s="345">
        <v>3</v>
      </c>
      <c r="BW35" s="346">
        <v>10</v>
      </c>
      <c r="BX35" s="344">
        <f t="shared" si="15"/>
        <v>86.818457431457446</v>
      </c>
      <c r="BY35" s="345">
        <f t="shared" si="16"/>
        <v>36</v>
      </c>
      <c r="BZ35" s="346">
        <f t="shared" si="17"/>
        <v>10</v>
      </c>
      <c r="CA35" s="56"/>
      <c r="DZ35" s="57"/>
      <c r="EA35" s="57"/>
      <c r="EH35" s="54"/>
      <c r="EI35" s="54"/>
    </row>
    <row r="36" spans="1:139" x14ac:dyDescent="0.2">
      <c r="A36" s="351">
        <f t="shared" si="10"/>
        <v>46</v>
      </c>
      <c r="B36" s="351">
        <f t="shared" si="11"/>
        <v>23</v>
      </c>
      <c r="C36" s="351">
        <v>46</v>
      </c>
      <c r="D36" s="402" t="str">
        <f>INDEX(Players!B:B,MATCH(E36,Players!F:F,0))</f>
        <v>A</v>
      </c>
      <c r="E36" s="337" t="s">
        <v>336</v>
      </c>
      <c r="F36" s="349">
        <f t="shared" si="12"/>
        <v>-37.83735159285159</v>
      </c>
      <c r="G36" s="62">
        <f t="shared" si="13"/>
        <v>33</v>
      </c>
      <c r="H36" s="349">
        <v>0.52500000000000036</v>
      </c>
      <c r="I36" s="158">
        <v>2</v>
      </c>
      <c r="J36" s="612">
        <f>INDEX(Players!A:A,MATCH(E36,Players!F:F,0))</f>
        <v>5.4999999999999716E-2</v>
      </c>
      <c r="K36" s="339">
        <f t="shared" si="8"/>
        <v>5</v>
      </c>
      <c r="L36" s="340"/>
      <c r="M36" s="340">
        <f>INDEX(Table!L:L,MATCH(E36,Table!F:F,0))</f>
        <v>0</v>
      </c>
      <c r="N36" s="339">
        <f t="shared" si="9"/>
        <v>5</v>
      </c>
      <c r="O36" s="612">
        <f t="shared" si="14"/>
        <v>5.0549999999999997</v>
      </c>
      <c r="P36" s="341">
        <v>-2.375</v>
      </c>
      <c r="Q36" s="342">
        <v>2</v>
      </c>
      <c r="R36" s="343"/>
      <c r="S36" s="344">
        <v>-5.45</v>
      </c>
      <c r="T36" s="345">
        <v>1</v>
      </c>
      <c r="U36" s="346"/>
      <c r="V36" s="341">
        <v>-5.15</v>
      </c>
      <c r="W36" s="347">
        <v>1</v>
      </c>
      <c r="X36" s="343"/>
      <c r="Y36" s="344">
        <v>-2.3777777777777782</v>
      </c>
      <c r="Z36" s="345">
        <v>2</v>
      </c>
      <c r="AA36" s="346"/>
      <c r="AB36" s="341">
        <v>-5.0909090909090908</v>
      </c>
      <c r="AC36" s="347">
        <v>1</v>
      </c>
      <c r="AD36" s="343"/>
      <c r="AE36" s="344">
        <v>-2.2962962962962967</v>
      </c>
      <c r="AF36" s="345">
        <v>2</v>
      </c>
      <c r="AG36" s="346"/>
      <c r="AH36" s="341">
        <v>-5.4285714285714288</v>
      </c>
      <c r="AI36" s="347">
        <v>1</v>
      </c>
      <c r="AJ36" s="343"/>
      <c r="AK36" s="344">
        <v>-1.75</v>
      </c>
      <c r="AL36" s="345">
        <v>2</v>
      </c>
      <c r="AM36" s="346"/>
      <c r="AN36" s="341">
        <v>-1.7037037037037024</v>
      </c>
      <c r="AO36" s="347">
        <v>2</v>
      </c>
      <c r="AP36" s="343"/>
      <c r="AQ36" s="344">
        <v>7.6</v>
      </c>
      <c r="AR36" s="345">
        <v>3</v>
      </c>
      <c r="AS36" s="346"/>
      <c r="AT36" s="341">
        <v>-2</v>
      </c>
      <c r="AU36" s="347">
        <v>2</v>
      </c>
      <c r="AV36" s="343"/>
      <c r="AW36" s="344">
        <v>-5.5</v>
      </c>
      <c r="AX36" s="345">
        <v>1</v>
      </c>
      <c r="AY36" s="346"/>
      <c r="AZ36" s="341">
        <v>16.505500000000001</v>
      </c>
      <c r="BA36" s="347">
        <v>3</v>
      </c>
      <c r="BB36" s="343">
        <v>5</v>
      </c>
      <c r="BC36" s="344">
        <v>-5.5</v>
      </c>
      <c r="BD36" s="345">
        <v>1</v>
      </c>
      <c r="BE36" s="346"/>
      <c r="BF36" s="341">
        <v>-5.35</v>
      </c>
      <c r="BG36" s="347">
        <v>1</v>
      </c>
      <c r="BH36" s="343"/>
      <c r="BI36" s="344">
        <v>-7</v>
      </c>
      <c r="BJ36" s="348">
        <v>0</v>
      </c>
      <c r="BK36" s="346"/>
      <c r="BL36" s="341">
        <v>-1.6444444444444439</v>
      </c>
      <c r="BM36" s="347">
        <v>2</v>
      </c>
      <c r="BN36" s="343"/>
      <c r="BO36" s="344">
        <v>-1.4615384615384617</v>
      </c>
      <c r="BP36" s="348">
        <v>2</v>
      </c>
      <c r="BQ36" s="346"/>
      <c r="BR36" s="341">
        <v>-2.3896103896103895</v>
      </c>
      <c r="BS36" s="347">
        <v>2</v>
      </c>
      <c r="BT36" s="343"/>
      <c r="BU36" s="344">
        <v>0.52500000000000036</v>
      </c>
      <c r="BV36" s="345">
        <v>2</v>
      </c>
      <c r="BW36" s="346"/>
      <c r="BX36" s="344">
        <f t="shared" si="15"/>
        <v>-37.83735159285159</v>
      </c>
      <c r="BY36" s="345">
        <f t="shared" si="16"/>
        <v>33</v>
      </c>
      <c r="BZ36" s="346">
        <f t="shared" si="17"/>
        <v>5</v>
      </c>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4"/>
      <c r="EA36" s="54"/>
      <c r="EB36" s="54"/>
      <c r="EC36" s="54"/>
      <c r="ED36" s="54"/>
      <c r="EE36" s="54"/>
      <c r="EF36" s="54"/>
      <c r="EG36" s="54"/>
      <c r="EH36" s="54"/>
      <c r="EI36" s="54"/>
    </row>
    <row r="37" spans="1:139" x14ac:dyDescent="0.2">
      <c r="A37" s="351">
        <f t="shared" si="10"/>
        <v>31</v>
      </c>
      <c r="B37" s="351">
        <f t="shared" si="11"/>
        <v>8</v>
      </c>
      <c r="C37" s="351">
        <v>38</v>
      </c>
      <c r="D37" s="402" t="str">
        <f>INDEX(Players!B:B,MATCH(E37,Players!F:F,0))</f>
        <v>D</v>
      </c>
      <c r="E37" s="337" t="s">
        <v>450</v>
      </c>
      <c r="F37" s="349">
        <f t="shared" si="12"/>
        <v>-12.468846153846155</v>
      </c>
      <c r="G37" s="62">
        <f t="shared" si="13"/>
        <v>20</v>
      </c>
      <c r="H37" s="349">
        <v>15.760000000000002</v>
      </c>
      <c r="I37" s="158">
        <v>2</v>
      </c>
      <c r="J37" s="612">
        <f>INDEX(Players!A:A,MATCH(E37,Players!F:F,0))</f>
        <v>-35</v>
      </c>
      <c r="K37" s="339">
        <f t="shared" si="8"/>
        <v>15</v>
      </c>
      <c r="L37" s="340"/>
      <c r="M37" s="340">
        <f>INDEX(Table!L:L,MATCH(E37,Table!F:F,0))</f>
        <v>0</v>
      </c>
      <c r="N37" s="339">
        <f t="shared" si="9"/>
        <v>15</v>
      </c>
      <c r="O37" s="612">
        <f t="shared" si="14"/>
        <v>-20</v>
      </c>
      <c r="P37" s="341">
        <v>-7</v>
      </c>
      <c r="Q37" s="342">
        <v>0</v>
      </c>
      <c r="R37" s="343"/>
      <c r="S37" s="344">
        <v>-7</v>
      </c>
      <c r="T37" s="345">
        <v>0</v>
      </c>
      <c r="U37" s="346"/>
      <c r="V37" s="341">
        <v>-3.5</v>
      </c>
      <c r="W37" s="347">
        <v>1</v>
      </c>
      <c r="X37" s="343"/>
      <c r="Y37" s="344">
        <v>-7</v>
      </c>
      <c r="Z37" s="345">
        <v>0</v>
      </c>
      <c r="AA37" s="346"/>
      <c r="AB37" s="341">
        <v>18.649999999999999</v>
      </c>
      <c r="AC37" s="347">
        <v>2</v>
      </c>
      <c r="AD37" s="343">
        <v>5</v>
      </c>
      <c r="AE37" s="344">
        <v>13</v>
      </c>
      <c r="AF37" s="345">
        <v>2</v>
      </c>
      <c r="AG37" s="346">
        <v>5</v>
      </c>
      <c r="AH37" s="341">
        <v>-4.3</v>
      </c>
      <c r="AI37" s="347">
        <v>1</v>
      </c>
      <c r="AJ37" s="343"/>
      <c r="AK37" s="344">
        <v>-7</v>
      </c>
      <c r="AL37" s="345">
        <v>0</v>
      </c>
      <c r="AM37" s="346"/>
      <c r="AN37" s="341">
        <v>1.75</v>
      </c>
      <c r="AO37" s="347">
        <v>2</v>
      </c>
      <c r="AP37" s="343"/>
      <c r="AQ37" s="344">
        <v>-4.75</v>
      </c>
      <c r="AR37" s="345">
        <v>1</v>
      </c>
      <c r="AS37" s="346"/>
      <c r="AT37" s="341">
        <v>-4.1538461538461533</v>
      </c>
      <c r="AU37" s="347">
        <v>1</v>
      </c>
      <c r="AV37" s="343"/>
      <c r="AW37" s="344">
        <v>-4.6500000000000004</v>
      </c>
      <c r="AX37" s="345">
        <v>1</v>
      </c>
      <c r="AY37" s="346"/>
      <c r="AZ37" s="341">
        <v>14</v>
      </c>
      <c r="BA37" s="347">
        <v>2</v>
      </c>
      <c r="BB37" s="343">
        <v>5</v>
      </c>
      <c r="BC37" s="344">
        <v>-4</v>
      </c>
      <c r="BD37" s="345">
        <v>1</v>
      </c>
      <c r="BE37" s="346"/>
      <c r="BF37" s="341">
        <v>-3.6</v>
      </c>
      <c r="BG37" s="347">
        <v>1</v>
      </c>
      <c r="BH37" s="343"/>
      <c r="BI37" s="344">
        <v>-3.8</v>
      </c>
      <c r="BJ37" s="348">
        <v>1</v>
      </c>
      <c r="BK37" s="346"/>
      <c r="BL37" s="341">
        <v>-4.375</v>
      </c>
      <c r="BM37" s="347">
        <v>1</v>
      </c>
      <c r="BN37" s="343"/>
      <c r="BO37" s="344">
        <v>-3.5</v>
      </c>
      <c r="BP37" s="348">
        <v>1</v>
      </c>
      <c r="BQ37" s="346"/>
      <c r="BR37" s="341">
        <v>-7</v>
      </c>
      <c r="BS37" s="347">
        <v>0</v>
      </c>
      <c r="BT37" s="343"/>
      <c r="BU37" s="344">
        <v>15.760000000000002</v>
      </c>
      <c r="BV37" s="345">
        <v>2</v>
      </c>
      <c r="BW37" s="346"/>
      <c r="BX37" s="344">
        <f t="shared" si="15"/>
        <v>-12.468846153846155</v>
      </c>
      <c r="BY37" s="345">
        <f t="shared" si="16"/>
        <v>20</v>
      </c>
      <c r="BZ37" s="346">
        <f t="shared" si="17"/>
        <v>15</v>
      </c>
      <c r="CA37" s="56"/>
      <c r="DZ37" s="57"/>
      <c r="EA37" s="57"/>
      <c r="EH37" s="54"/>
      <c r="EI37" s="54"/>
    </row>
    <row r="38" spans="1:139" x14ac:dyDescent="0.2">
      <c r="A38" s="351">
        <f t="shared" si="10"/>
        <v>32</v>
      </c>
      <c r="B38" s="351">
        <f t="shared" si="11"/>
        <v>14</v>
      </c>
      <c r="C38" s="351">
        <v>37</v>
      </c>
      <c r="D38" s="402" t="str">
        <f>INDEX(Players!B:B,MATCH(E38,Players!F:F,0))</f>
        <v>B</v>
      </c>
      <c r="E38" s="337" t="s">
        <v>345</v>
      </c>
      <c r="F38" s="349">
        <f t="shared" si="12"/>
        <v>-13.649393939393946</v>
      </c>
      <c r="G38" s="62">
        <f t="shared" si="13"/>
        <v>26</v>
      </c>
      <c r="H38" s="349">
        <v>3.879999999999999</v>
      </c>
      <c r="I38" s="158">
        <v>2</v>
      </c>
      <c r="J38" s="612">
        <f>INDEX(Players!A:A,MATCH(E38,Players!F:F,0))</f>
        <v>-25</v>
      </c>
      <c r="K38" s="339">
        <f t="shared" si="8"/>
        <v>10</v>
      </c>
      <c r="L38" s="340"/>
      <c r="M38" s="340">
        <f>INDEX(Table!L:L,MATCH(E38,Table!F:F,0))</f>
        <v>0</v>
      </c>
      <c r="N38" s="339">
        <f t="shared" si="9"/>
        <v>10</v>
      </c>
      <c r="O38" s="612">
        <f t="shared" si="14"/>
        <v>-15</v>
      </c>
      <c r="P38" s="341">
        <v>-4.625</v>
      </c>
      <c r="Q38" s="342">
        <v>1</v>
      </c>
      <c r="R38" s="343"/>
      <c r="S38" s="344">
        <v>-4.95</v>
      </c>
      <c r="T38" s="345">
        <v>1</v>
      </c>
      <c r="U38" s="346"/>
      <c r="V38" s="341">
        <v>-4.4000000000000004</v>
      </c>
      <c r="W38" s="347">
        <v>1</v>
      </c>
      <c r="X38" s="343"/>
      <c r="Y38" s="344">
        <v>-5.0999999999999996</v>
      </c>
      <c r="Z38" s="345">
        <v>1</v>
      </c>
      <c r="AA38" s="346"/>
      <c r="AB38" s="341">
        <v>0.99999999999999911</v>
      </c>
      <c r="AC38" s="347">
        <v>2</v>
      </c>
      <c r="AD38" s="343"/>
      <c r="AE38" s="344">
        <v>39.519999999999996</v>
      </c>
      <c r="AF38" s="345">
        <v>3</v>
      </c>
      <c r="AG38" s="346">
        <v>10</v>
      </c>
      <c r="AH38" s="341">
        <v>-4.9000000000000004</v>
      </c>
      <c r="AI38" s="347">
        <v>1</v>
      </c>
      <c r="AJ38" s="343"/>
      <c r="AK38" s="344">
        <v>-7</v>
      </c>
      <c r="AL38" s="345">
        <v>0</v>
      </c>
      <c r="AM38" s="346"/>
      <c r="AN38" s="341">
        <v>1.4250000000000007</v>
      </c>
      <c r="AO38" s="347">
        <v>2</v>
      </c>
      <c r="AP38" s="343"/>
      <c r="AQ38" s="344">
        <v>1.2083333333333339</v>
      </c>
      <c r="AR38" s="345">
        <v>2</v>
      </c>
      <c r="AS38" s="346"/>
      <c r="AT38" s="341">
        <v>-4.5</v>
      </c>
      <c r="AU38" s="347">
        <v>1</v>
      </c>
      <c r="AV38" s="343"/>
      <c r="AW38" s="344">
        <v>-4.8499999999999996</v>
      </c>
      <c r="AX38" s="345">
        <v>1</v>
      </c>
      <c r="AY38" s="346"/>
      <c r="AZ38" s="341">
        <v>-5.2</v>
      </c>
      <c r="BA38" s="347">
        <v>1</v>
      </c>
      <c r="BB38" s="343"/>
      <c r="BC38" s="344">
        <v>-5.0999999999999996</v>
      </c>
      <c r="BD38" s="345">
        <v>1</v>
      </c>
      <c r="BE38" s="346"/>
      <c r="BF38" s="341">
        <v>-7</v>
      </c>
      <c r="BG38" s="347">
        <v>0</v>
      </c>
      <c r="BH38" s="343"/>
      <c r="BI38" s="344">
        <v>-7</v>
      </c>
      <c r="BJ38" s="348">
        <v>0</v>
      </c>
      <c r="BK38" s="346"/>
      <c r="BL38" s="341">
        <v>0.72727272727272751</v>
      </c>
      <c r="BM38" s="347">
        <v>2</v>
      </c>
      <c r="BN38" s="343"/>
      <c r="BO38" s="344">
        <v>0.82000000000000028</v>
      </c>
      <c r="BP38" s="348">
        <v>2</v>
      </c>
      <c r="BQ38" s="346"/>
      <c r="BR38" s="341">
        <v>2.3949999999999996</v>
      </c>
      <c r="BS38" s="347">
        <v>2</v>
      </c>
      <c r="BT38" s="343"/>
      <c r="BU38" s="344">
        <v>3.879999999999999</v>
      </c>
      <c r="BV38" s="345">
        <v>2</v>
      </c>
      <c r="BW38" s="346"/>
      <c r="BX38" s="344">
        <f t="shared" si="15"/>
        <v>-13.649393939393944</v>
      </c>
      <c r="BY38" s="345">
        <f t="shared" si="16"/>
        <v>26</v>
      </c>
      <c r="BZ38" s="346">
        <f t="shared" si="17"/>
        <v>10</v>
      </c>
      <c r="CA38" s="56"/>
      <c r="DZ38" s="57"/>
      <c r="EA38" s="57"/>
      <c r="EH38" s="54"/>
      <c r="EI38" s="54"/>
    </row>
    <row r="39" spans="1:139" x14ac:dyDescent="0.2">
      <c r="A39" s="351">
        <f t="shared" si="10"/>
        <v>48</v>
      </c>
      <c r="B39" s="351">
        <f t="shared" si="11"/>
        <v>9</v>
      </c>
      <c r="C39" s="351">
        <v>52</v>
      </c>
      <c r="D39" s="402" t="str">
        <f>INDEX(Players!B:B,MATCH(E39,Players!F:F,0))</f>
        <v>B</v>
      </c>
      <c r="E39" s="337" t="s">
        <v>337</v>
      </c>
      <c r="F39" s="349">
        <f t="shared" si="12"/>
        <v>-41.575000000000003</v>
      </c>
      <c r="G39" s="62">
        <f t="shared" si="13"/>
        <v>21</v>
      </c>
      <c r="H39" s="349">
        <v>11.8</v>
      </c>
      <c r="I39" s="158">
        <v>2</v>
      </c>
      <c r="J39" s="612">
        <f>INDEX(Players!A:A,MATCH(E39,Players!F:F,0))</f>
        <v>26.25</v>
      </c>
      <c r="K39" s="339">
        <f t="shared" si="8"/>
        <v>0</v>
      </c>
      <c r="L39" s="340"/>
      <c r="M39" s="340">
        <f>INDEX(Table!L:L,MATCH(E39,Table!F:F,0))</f>
        <v>0</v>
      </c>
      <c r="N39" s="339">
        <f t="shared" si="9"/>
        <v>0</v>
      </c>
      <c r="O39" s="612">
        <f t="shared" si="14"/>
        <v>26.25</v>
      </c>
      <c r="P39" s="341">
        <v>-7</v>
      </c>
      <c r="Q39" s="342">
        <v>0</v>
      </c>
      <c r="R39" s="343"/>
      <c r="S39" s="344">
        <v>6.4399999999999977</v>
      </c>
      <c r="T39" s="345">
        <v>2</v>
      </c>
      <c r="U39" s="346"/>
      <c r="V39" s="341">
        <v>-7</v>
      </c>
      <c r="W39" s="347">
        <v>0</v>
      </c>
      <c r="X39" s="343"/>
      <c r="Y39" s="344">
        <v>-4.625</v>
      </c>
      <c r="Z39" s="345">
        <v>1</v>
      </c>
      <c r="AA39" s="346"/>
      <c r="AB39" s="341">
        <v>-4.625</v>
      </c>
      <c r="AC39" s="347">
        <v>1</v>
      </c>
      <c r="AD39" s="343"/>
      <c r="AE39" s="344">
        <v>-4.7</v>
      </c>
      <c r="AF39" s="345">
        <v>1</v>
      </c>
      <c r="AG39" s="346"/>
      <c r="AH39" s="341">
        <v>6.0599999999999987</v>
      </c>
      <c r="AI39" s="347">
        <v>2</v>
      </c>
      <c r="AJ39" s="343"/>
      <c r="AK39" s="344">
        <v>-3.75</v>
      </c>
      <c r="AL39" s="345">
        <v>1</v>
      </c>
      <c r="AM39" s="346"/>
      <c r="AN39" s="341">
        <v>3.3900000000000006</v>
      </c>
      <c r="AO39" s="347">
        <v>2</v>
      </c>
      <c r="AP39" s="343"/>
      <c r="AQ39" s="344">
        <v>-7</v>
      </c>
      <c r="AR39" s="345">
        <v>0</v>
      </c>
      <c r="AS39" s="346"/>
      <c r="AT39" s="341">
        <v>-4.55</v>
      </c>
      <c r="AU39" s="347">
        <v>1</v>
      </c>
      <c r="AV39" s="343"/>
      <c r="AW39" s="344">
        <v>-4.9000000000000004</v>
      </c>
      <c r="AX39" s="345">
        <v>1</v>
      </c>
      <c r="AY39" s="346"/>
      <c r="AZ39" s="341">
        <v>-7</v>
      </c>
      <c r="BA39" s="347">
        <v>0</v>
      </c>
      <c r="BB39" s="343"/>
      <c r="BC39" s="344">
        <v>4.0749999999999993</v>
      </c>
      <c r="BD39" s="345">
        <v>2</v>
      </c>
      <c r="BE39" s="346"/>
      <c r="BF39" s="341">
        <v>-4.2</v>
      </c>
      <c r="BG39" s="347">
        <v>1</v>
      </c>
      <c r="BH39" s="343"/>
      <c r="BI39" s="344">
        <v>-7</v>
      </c>
      <c r="BJ39" s="348">
        <v>0</v>
      </c>
      <c r="BK39" s="346"/>
      <c r="BL39" s="341">
        <v>-4.8499999999999996</v>
      </c>
      <c r="BM39" s="347">
        <v>1</v>
      </c>
      <c r="BN39" s="343"/>
      <c r="BO39" s="344">
        <v>2.7100000000000009</v>
      </c>
      <c r="BP39" s="348">
        <v>2</v>
      </c>
      <c r="BQ39" s="346"/>
      <c r="BR39" s="341">
        <v>-4.8499999999999996</v>
      </c>
      <c r="BS39" s="347">
        <v>1</v>
      </c>
      <c r="BT39" s="343"/>
      <c r="BU39" s="344">
        <v>11.8</v>
      </c>
      <c r="BV39" s="345">
        <v>2</v>
      </c>
      <c r="BW39" s="346"/>
      <c r="BX39" s="344">
        <f t="shared" si="15"/>
        <v>-41.575000000000003</v>
      </c>
      <c r="BY39" s="345">
        <f t="shared" si="16"/>
        <v>21</v>
      </c>
      <c r="BZ39" s="346">
        <f t="shared" si="17"/>
        <v>0</v>
      </c>
      <c r="CA39" s="56"/>
      <c r="DZ39" s="57"/>
      <c r="EA39" s="57"/>
      <c r="EH39" s="54"/>
      <c r="EI39" s="54"/>
    </row>
    <row r="40" spans="1:139" x14ac:dyDescent="0.2">
      <c r="A40" s="351">
        <f t="shared" si="10"/>
        <v>57</v>
      </c>
      <c r="B40" s="351">
        <f t="shared" si="11"/>
        <v>33</v>
      </c>
      <c r="C40" s="351">
        <v>58</v>
      </c>
      <c r="D40" s="402" t="str">
        <f>INDEX(Players!B:B,MATCH(E40,Players!F:F,0))</f>
        <v>A</v>
      </c>
      <c r="E40" s="337" t="s">
        <v>330</v>
      </c>
      <c r="F40" s="349">
        <f t="shared" si="12"/>
        <v>-68.67</v>
      </c>
      <c r="G40" s="62">
        <f t="shared" si="13"/>
        <v>21</v>
      </c>
      <c r="H40" s="349">
        <v>-3.5</v>
      </c>
      <c r="I40" s="158">
        <v>1</v>
      </c>
      <c r="J40" s="612">
        <f>INDEX(Players!A:A,MATCH(E40,Players!F:F,0))</f>
        <v>-10.93</v>
      </c>
      <c r="K40" s="339">
        <f t="shared" si="8"/>
        <v>0</v>
      </c>
      <c r="L40" s="340"/>
      <c r="M40" s="340">
        <f>INDEX(Table!L:L,MATCH(E40,Table!F:F,0))</f>
        <v>0</v>
      </c>
      <c r="N40" s="339">
        <f t="shared" si="9"/>
        <v>0</v>
      </c>
      <c r="O40" s="612">
        <f t="shared" si="14"/>
        <v>-10.93</v>
      </c>
      <c r="P40" s="341">
        <v>-7</v>
      </c>
      <c r="Q40" s="342">
        <v>0</v>
      </c>
      <c r="R40" s="343"/>
      <c r="S40" s="344">
        <v>-4.5999999999999996</v>
      </c>
      <c r="T40" s="345">
        <v>1</v>
      </c>
      <c r="U40" s="346"/>
      <c r="V40" s="341">
        <v>-3.1</v>
      </c>
      <c r="W40" s="347">
        <v>1</v>
      </c>
      <c r="X40" s="343"/>
      <c r="Y40" s="344">
        <v>-5.5</v>
      </c>
      <c r="Z40" s="345">
        <v>1</v>
      </c>
      <c r="AA40" s="346"/>
      <c r="AB40" s="341">
        <v>-5.0999999999999996</v>
      </c>
      <c r="AC40" s="347">
        <v>1</v>
      </c>
      <c r="AD40" s="343"/>
      <c r="AE40" s="344">
        <v>-3</v>
      </c>
      <c r="AF40" s="345">
        <v>1</v>
      </c>
      <c r="AG40" s="346"/>
      <c r="AH40" s="341">
        <v>1.1499999999999986</v>
      </c>
      <c r="AI40" s="347">
        <v>2</v>
      </c>
      <c r="AJ40" s="343"/>
      <c r="AK40" s="344">
        <v>-4.5999999999999996</v>
      </c>
      <c r="AL40" s="345">
        <v>1</v>
      </c>
      <c r="AM40" s="346"/>
      <c r="AN40" s="341">
        <v>-3.5</v>
      </c>
      <c r="AO40" s="347">
        <v>1</v>
      </c>
      <c r="AP40" s="343"/>
      <c r="AQ40" s="344">
        <v>-5.5</v>
      </c>
      <c r="AR40" s="345">
        <v>1</v>
      </c>
      <c r="AS40" s="346"/>
      <c r="AT40" s="341">
        <v>-4.5999999999999996</v>
      </c>
      <c r="AU40" s="347">
        <v>1</v>
      </c>
      <c r="AV40" s="343"/>
      <c r="AW40" s="344">
        <v>-1</v>
      </c>
      <c r="AX40" s="345">
        <v>2</v>
      </c>
      <c r="AY40" s="346"/>
      <c r="AZ40" s="341">
        <v>10.479999999999997</v>
      </c>
      <c r="BA40" s="347">
        <v>2</v>
      </c>
      <c r="BB40" s="343"/>
      <c r="BC40" s="344">
        <v>-5.2</v>
      </c>
      <c r="BD40" s="345">
        <v>1</v>
      </c>
      <c r="BE40" s="346"/>
      <c r="BF40" s="341">
        <v>-4.9000000000000004</v>
      </c>
      <c r="BG40" s="347">
        <v>1</v>
      </c>
      <c r="BH40" s="343"/>
      <c r="BI40" s="344">
        <v>-7</v>
      </c>
      <c r="BJ40" s="348">
        <v>0</v>
      </c>
      <c r="BK40" s="346"/>
      <c r="BL40" s="341">
        <v>-5</v>
      </c>
      <c r="BM40" s="347">
        <v>1</v>
      </c>
      <c r="BN40" s="343"/>
      <c r="BO40" s="344">
        <v>-3.5</v>
      </c>
      <c r="BP40" s="348">
        <v>1</v>
      </c>
      <c r="BQ40" s="346"/>
      <c r="BR40" s="341">
        <v>-3.7</v>
      </c>
      <c r="BS40" s="347">
        <v>1</v>
      </c>
      <c r="BT40" s="343"/>
      <c r="BU40" s="344">
        <v>-3.5</v>
      </c>
      <c r="BV40" s="345">
        <v>1</v>
      </c>
      <c r="BW40" s="346"/>
      <c r="BX40" s="344">
        <f t="shared" si="15"/>
        <v>-68.670000000000016</v>
      </c>
      <c r="BY40" s="345">
        <f t="shared" si="16"/>
        <v>21</v>
      </c>
      <c r="BZ40" s="346">
        <f t="shared" si="17"/>
        <v>0</v>
      </c>
      <c r="CA40" s="56"/>
      <c r="DZ40" s="57"/>
      <c r="EA40" s="57"/>
      <c r="EH40" s="54"/>
      <c r="EI40" s="54"/>
    </row>
    <row r="41" spans="1:139" x14ac:dyDescent="0.2">
      <c r="A41" s="351">
        <f t="shared" si="10"/>
        <v>49</v>
      </c>
      <c r="B41" s="351">
        <f t="shared" si="11"/>
        <v>47</v>
      </c>
      <c r="C41" s="351">
        <v>41</v>
      </c>
      <c r="D41" s="402" t="str">
        <f>INDEX(Players!B:B,MATCH(E41,Players!F:F,0))</f>
        <v>B</v>
      </c>
      <c r="E41" s="337" t="s">
        <v>328</v>
      </c>
      <c r="F41" s="349">
        <f t="shared" si="12"/>
        <v>-42.317091630591626</v>
      </c>
      <c r="G41" s="62">
        <f t="shared" si="13"/>
        <v>19</v>
      </c>
      <c r="H41" s="349">
        <v>-7</v>
      </c>
      <c r="I41" s="158">
        <v>0</v>
      </c>
      <c r="J41" s="612">
        <f>INDEX(Players!A:A,MATCH(E41,Players!F:F,0))</f>
        <v>-28.97</v>
      </c>
      <c r="K41" s="339">
        <f t="shared" si="8"/>
        <v>5</v>
      </c>
      <c r="L41" s="340"/>
      <c r="M41" s="340">
        <f>INDEX(Table!L:L,MATCH(E41,Table!F:F,0))</f>
        <v>0</v>
      </c>
      <c r="N41" s="339">
        <f t="shared" si="9"/>
        <v>5</v>
      </c>
      <c r="O41" s="612">
        <f t="shared" si="14"/>
        <v>-23.97</v>
      </c>
      <c r="P41" s="341">
        <v>-5.7777777777777777</v>
      </c>
      <c r="Q41" s="342">
        <v>1</v>
      </c>
      <c r="R41" s="343"/>
      <c r="S41" s="344">
        <v>-7</v>
      </c>
      <c r="T41" s="345">
        <v>0</v>
      </c>
      <c r="U41" s="346"/>
      <c r="V41" s="341">
        <v>-2.3125</v>
      </c>
      <c r="W41" s="347">
        <v>2</v>
      </c>
      <c r="X41" s="343"/>
      <c r="Y41" s="344">
        <v>-7</v>
      </c>
      <c r="Z41" s="345">
        <v>0</v>
      </c>
      <c r="AA41" s="346"/>
      <c r="AB41" s="341">
        <v>-7</v>
      </c>
      <c r="AC41" s="347">
        <v>0</v>
      </c>
      <c r="AD41" s="343"/>
      <c r="AE41" s="344">
        <v>-3.8</v>
      </c>
      <c r="AF41" s="345">
        <v>1</v>
      </c>
      <c r="AG41" s="346"/>
      <c r="AH41" s="341">
        <v>-5</v>
      </c>
      <c r="AI41" s="347">
        <v>1</v>
      </c>
      <c r="AJ41" s="343"/>
      <c r="AK41" s="344">
        <v>-7</v>
      </c>
      <c r="AL41" s="345">
        <v>0</v>
      </c>
      <c r="AM41" s="346"/>
      <c r="AN41" s="341">
        <v>-0.29999999999999982</v>
      </c>
      <c r="AO41" s="347">
        <v>2</v>
      </c>
      <c r="AP41" s="343"/>
      <c r="AQ41" s="344">
        <v>-4.95</v>
      </c>
      <c r="AR41" s="345">
        <v>1</v>
      </c>
      <c r="AS41" s="346"/>
      <c r="AT41" s="341">
        <v>-5.4285714285714288</v>
      </c>
      <c r="AU41" s="347">
        <v>1</v>
      </c>
      <c r="AV41" s="343"/>
      <c r="AW41" s="344">
        <v>25.201000000000008</v>
      </c>
      <c r="AX41" s="345">
        <v>3</v>
      </c>
      <c r="AY41" s="346">
        <v>5</v>
      </c>
      <c r="AZ41" s="341">
        <v>6</v>
      </c>
      <c r="BA41" s="347">
        <v>2</v>
      </c>
      <c r="BB41" s="343"/>
      <c r="BC41" s="344">
        <v>0.64166666666666661</v>
      </c>
      <c r="BD41" s="345">
        <v>2</v>
      </c>
      <c r="BE41" s="346"/>
      <c r="BF41" s="341">
        <v>-7</v>
      </c>
      <c r="BG41" s="347">
        <v>0</v>
      </c>
      <c r="BH41" s="343"/>
      <c r="BI41" s="344">
        <v>-7</v>
      </c>
      <c r="BJ41" s="348">
        <v>0</v>
      </c>
      <c r="BK41" s="346"/>
      <c r="BL41" s="341">
        <v>-5.0909090909090908</v>
      </c>
      <c r="BM41" s="347">
        <v>1</v>
      </c>
      <c r="BN41" s="343"/>
      <c r="BO41" s="344">
        <v>14.5</v>
      </c>
      <c r="BP41" s="348">
        <v>2</v>
      </c>
      <c r="BQ41" s="346"/>
      <c r="BR41" s="341">
        <v>-7</v>
      </c>
      <c r="BS41" s="347">
        <v>0</v>
      </c>
      <c r="BT41" s="343"/>
      <c r="BU41" s="344">
        <v>-7</v>
      </c>
      <c r="BV41" s="345">
        <v>0</v>
      </c>
      <c r="BW41" s="346"/>
      <c r="BX41" s="344">
        <f t="shared" si="15"/>
        <v>-42.317091630591626</v>
      </c>
      <c r="BY41" s="345">
        <f t="shared" si="16"/>
        <v>19</v>
      </c>
      <c r="BZ41" s="346">
        <f t="shared" si="17"/>
        <v>5</v>
      </c>
      <c r="CA41" s="56"/>
      <c r="DZ41" s="57"/>
      <c r="EA41" s="57"/>
      <c r="EH41" s="54"/>
      <c r="EI41" s="54"/>
    </row>
    <row r="42" spans="1:139" x14ac:dyDescent="0.2">
      <c r="A42" s="351">
        <f t="shared" si="10"/>
        <v>34</v>
      </c>
      <c r="B42" s="351">
        <f t="shared" si="11"/>
        <v>35</v>
      </c>
      <c r="C42" s="351">
        <v>28</v>
      </c>
      <c r="D42" s="402" t="str">
        <f>INDEX(Players!B:B,MATCH(E42,Players!F:F,0))</f>
        <v>D</v>
      </c>
      <c r="E42" s="337" t="s">
        <v>461</v>
      </c>
      <c r="F42" s="349">
        <f t="shared" si="12"/>
        <v>-19.990846930846928</v>
      </c>
      <c r="G42" s="62">
        <f t="shared" si="13"/>
        <v>25</v>
      </c>
      <c r="H42" s="349">
        <v>-4</v>
      </c>
      <c r="I42" s="158">
        <v>1</v>
      </c>
      <c r="J42" s="612">
        <f>INDEX(Players!A:A,MATCH(E42,Players!F:F,0))</f>
        <v>-40</v>
      </c>
      <c r="K42" s="339">
        <f t="shared" si="8"/>
        <v>5</v>
      </c>
      <c r="L42" s="340"/>
      <c r="M42" s="340">
        <f>INDEX(Table!L:L,MATCH(E42,Table!F:F,0))</f>
        <v>0</v>
      </c>
      <c r="N42" s="339">
        <f t="shared" si="9"/>
        <v>5</v>
      </c>
      <c r="O42" s="612">
        <f t="shared" si="14"/>
        <v>-35</v>
      </c>
      <c r="P42" s="341">
        <v>4</v>
      </c>
      <c r="Q42" s="342">
        <v>1</v>
      </c>
      <c r="R42" s="343"/>
      <c r="S42" s="344">
        <v>29.4</v>
      </c>
      <c r="T42" s="345">
        <v>3</v>
      </c>
      <c r="U42" s="346">
        <v>5</v>
      </c>
      <c r="V42" s="341">
        <v>1.4807692307692299</v>
      </c>
      <c r="W42" s="347">
        <v>2</v>
      </c>
      <c r="X42" s="343"/>
      <c r="Y42" s="344">
        <v>-7</v>
      </c>
      <c r="Z42" s="345">
        <v>0</v>
      </c>
      <c r="AA42" s="346"/>
      <c r="AB42" s="341">
        <v>3.1111111111111107</v>
      </c>
      <c r="AC42" s="347">
        <v>3</v>
      </c>
      <c r="AD42" s="343"/>
      <c r="AE42" s="344">
        <v>-5.0909090909090908</v>
      </c>
      <c r="AF42" s="345">
        <v>1</v>
      </c>
      <c r="AG42" s="346"/>
      <c r="AH42" s="341">
        <v>-7</v>
      </c>
      <c r="AI42" s="347">
        <v>0</v>
      </c>
      <c r="AJ42" s="343"/>
      <c r="AK42" s="344">
        <v>-5.5</v>
      </c>
      <c r="AL42" s="345">
        <v>1</v>
      </c>
      <c r="AM42" s="346"/>
      <c r="AN42" s="341">
        <v>7</v>
      </c>
      <c r="AO42" s="347">
        <v>2</v>
      </c>
      <c r="AP42" s="343"/>
      <c r="AQ42" s="344">
        <v>-0.52500000000000036</v>
      </c>
      <c r="AR42" s="345">
        <v>2</v>
      </c>
      <c r="AS42" s="346"/>
      <c r="AT42" s="341">
        <v>-7</v>
      </c>
      <c r="AU42" s="347">
        <v>0</v>
      </c>
      <c r="AV42" s="343"/>
      <c r="AW42" s="344">
        <v>-4.9000000000000004</v>
      </c>
      <c r="AX42" s="345">
        <v>1</v>
      </c>
      <c r="AY42" s="346"/>
      <c r="AZ42" s="341">
        <v>-1.625</v>
      </c>
      <c r="BA42" s="347">
        <v>2</v>
      </c>
      <c r="BB42" s="343"/>
      <c r="BC42" s="344">
        <v>3.34</v>
      </c>
      <c r="BD42" s="345">
        <v>2</v>
      </c>
      <c r="BE42" s="346"/>
      <c r="BF42" s="341">
        <v>-5.05</v>
      </c>
      <c r="BG42" s="347">
        <v>1</v>
      </c>
      <c r="BH42" s="343"/>
      <c r="BI42" s="344">
        <v>-5.25</v>
      </c>
      <c r="BJ42" s="348">
        <v>1</v>
      </c>
      <c r="BK42" s="346"/>
      <c r="BL42" s="341">
        <v>-7</v>
      </c>
      <c r="BM42" s="347">
        <v>0</v>
      </c>
      <c r="BN42" s="343"/>
      <c r="BO42" s="344">
        <v>-1.3818181818181809</v>
      </c>
      <c r="BP42" s="348">
        <v>2</v>
      </c>
      <c r="BQ42" s="346"/>
      <c r="BR42" s="341">
        <v>-7</v>
      </c>
      <c r="BS42" s="347">
        <v>0</v>
      </c>
      <c r="BT42" s="343"/>
      <c r="BU42" s="344">
        <v>-4</v>
      </c>
      <c r="BV42" s="345">
        <v>1</v>
      </c>
      <c r="BW42" s="346"/>
      <c r="BX42" s="344">
        <f t="shared" si="15"/>
        <v>-19.990846930846935</v>
      </c>
      <c r="BY42" s="345">
        <f t="shared" si="16"/>
        <v>25</v>
      </c>
      <c r="BZ42" s="346">
        <f t="shared" si="17"/>
        <v>5</v>
      </c>
      <c r="CA42" s="56"/>
      <c r="DZ42" s="57"/>
      <c r="EA42" s="57"/>
      <c r="EH42" s="54"/>
      <c r="EI42" s="54"/>
    </row>
    <row r="43" spans="1:139" x14ac:dyDescent="0.2">
      <c r="A43" s="351">
        <f t="shared" si="10"/>
        <v>29</v>
      </c>
      <c r="B43" s="351">
        <f t="shared" si="11"/>
        <v>47</v>
      </c>
      <c r="C43" s="351">
        <v>24</v>
      </c>
      <c r="D43" s="402" t="str">
        <f>INDEX(Players!B:B,MATCH(E43,Players!F:F,0))</f>
        <v>A</v>
      </c>
      <c r="E43" s="337" t="s">
        <v>342</v>
      </c>
      <c r="F43" s="349">
        <f t="shared" si="12"/>
        <v>-8.6288888888888842</v>
      </c>
      <c r="G43" s="62">
        <f t="shared" si="13"/>
        <v>25</v>
      </c>
      <c r="H43" s="349">
        <v>-7</v>
      </c>
      <c r="I43" s="158">
        <v>0</v>
      </c>
      <c r="J43" s="612">
        <f>INDEX(Players!A:A,MATCH(E43,Players!F:F,0))</f>
        <v>51.265000000000001</v>
      </c>
      <c r="K43" s="339">
        <f t="shared" si="8"/>
        <v>10</v>
      </c>
      <c r="L43" s="340"/>
      <c r="M43" s="340">
        <f>INDEX(Table!L:L,MATCH(E43,Table!F:F,0))</f>
        <v>10.125</v>
      </c>
      <c r="N43" s="339">
        <f t="shared" si="9"/>
        <v>20.125</v>
      </c>
      <c r="O43" s="612">
        <f t="shared" si="14"/>
        <v>71.39</v>
      </c>
      <c r="P43" s="341">
        <v>29.950000000000003</v>
      </c>
      <c r="Q43" s="342">
        <v>2</v>
      </c>
      <c r="R43" s="343">
        <v>10</v>
      </c>
      <c r="S43" s="344">
        <v>-4.9000000000000004</v>
      </c>
      <c r="T43" s="345">
        <v>1</v>
      </c>
      <c r="U43" s="346"/>
      <c r="V43" s="341">
        <v>-5</v>
      </c>
      <c r="W43" s="347">
        <v>1</v>
      </c>
      <c r="X43" s="343"/>
      <c r="Y43" s="344">
        <v>-4.625</v>
      </c>
      <c r="Z43" s="345">
        <v>1</v>
      </c>
      <c r="AA43" s="346"/>
      <c r="AB43" s="341">
        <v>-0.4222222222222225</v>
      </c>
      <c r="AC43" s="347">
        <v>2</v>
      </c>
      <c r="AD43" s="343"/>
      <c r="AE43" s="344">
        <v>7.48</v>
      </c>
      <c r="AF43" s="345">
        <v>2</v>
      </c>
      <c r="AG43" s="346"/>
      <c r="AH43" s="341">
        <v>-4.75</v>
      </c>
      <c r="AI43" s="347">
        <v>1</v>
      </c>
      <c r="AJ43" s="343"/>
      <c r="AK43" s="344">
        <v>2.2300000000000004</v>
      </c>
      <c r="AL43" s="345">
        <v>2</v>
      </c>
      <c r="AM43" s="346"/>
      <c r="AN43" s="341">
        <v>6.625</v>
      </c>
      <c r="AO43" s="347">
        <v>2</v>
      </c>
      <c r="AP43" s="343"/>
      <c r="AQ43" s="344">
        <v>1.2083333333333339</v>
      </c>
      <c r="AR43" s="345">
        <v>2</v>
      </c>
      <c r="AS43" s="346"/>
      <c r="AT43" s="341">
        <v>-4.5</v>
      </c>
      <c r="AU43" s="347">
        <v>1</v>
      </c>
      <c r="AV43" s="343"/>
      <c r="AW43" s="344">
        <v>-3.6</v>
      </c>
      <c r="AX43" s="345">
        <v>1</v>
      </c>
      <c r="AY43" s="346"/>
      <c r="AZ43" s="341">
        <v>-3.8</v>
      </c>
      <c r="BA43" s="347">
        <v>1</v>
      </c>
      <c r="BB43" s="343"/>
      <c r="BC43" s="344">
        <v>-5.2</v>
      </c>
      <c r="BD43" s="345">
        <v>1</v>
      </c>
      <c r="BE43" s="346"/>
      <c r="BF43" s="341">
        <v>-4.375</v>
      </c>
      <c r="BG43" s="347">
        <v>1</v>
      </c>
      <c r="BH43" s="343"/>
      <c r="BI43" s="344">
        <v>8.8000000000000007</v>
      </c>
      <c r="BJ43" s="348">
        <v>2</v>
      </c>
      <c r="BK43" s="346"/>
      <c r="BL43" s="341">
        <v>-7</v>
      </c>
      <c r="BM43" s="347">
        <v>0</v>
      </c>
      <c r="BN43" s="343"/>
      <c r="BO43" s="344">
        <v>-5.5</v>
      </c>
      <c r="BP43" s="348">
        <v>1</v>
      </c>
      <c r="BQ43" s="346"/>
      <c r="BR43" s="341">
        <v>-4.25</v>
      </c>
      <c r="BS43" s="347">
        <v>1</v>
      </c>
      <c r="BT43" s="343"/>
      <c r="BU43" s="344">
        <v>-7</v>
      </c>
      <c r="BV43" s="345">
        <v>0</v>
      </c>
      <c r="BW43" s="346"/>
      <c r="BX43" s="344">
        <f t="shared" si="15"/>
        <v>-8.6288888888888806</v>
      </c>
      <c r="BY43" s="345">
        <f t="shared" si="16"/>
        <v>25</v>
      </c>
      <c r="BZ43" s="346">
        <f t="shared" si="17"/>
        <v>10</v>
      </c>
      <c r="CA43" s="56"/>
      <c r="DZ43" s="57"/>
      <c r="EA43" s="57"/>
      <c r="EH43" s="54"/>
      <c r="EI43" s="54"/>
    </row>
    <row r="44" spans="1:139" x14ac:dyDescent="0.2">
      <c r="A44" s="351">
        <f t="shared" si="10"/>
        <v>36</v>
      </c>
      <c r="B44" s="351">
        <f t="shared" si="11"/>
        <v>41</v>
      </c>
      <c r="C44" s="351">
        <v>33</v>
      </c>
      <c r="D44" s="402" t="str">
        <f>INDEX(Players!B:B,MATCH(E44,Players!F:F,0))</f>
        <v>A</v>
      </c>
      <c r="E44" s="337" t="s">
        <v>357</v>
      </c>
      <c r="F44" s="349">
        <f t="shared" si="12"/>
        <v>-23.718316128316122</v>
      </c>
      <c r="G44" s="62">
        <f t="shared" si="13"/>
        <v>34</v>
      </c>
      <c r="H44" s="349">
        <v>-4.7</v>
      </c>
      <c r="I44" s="158">
        <v>1</v>
      </c>
      <c r="J44" s="612">
        <f>INDEX(Players!A:A,MATCH(E44,Players!F:F,0))</f>
        <v>33.375</v>
      </c>
      <c r="K44" s="339">
        <f t="shared" si="8"/>
        <v>5</v>
      </c>
      <c r="L44" s="340"/>
      <c r="M44" s="340">
        <f>INDEX(Table!L:L,MATCH(E44,Table!F:F,0))</f>
        <v>0</v>
      </c>
      <c r="N44" s="339">
        <f t="shared" si="9"/>
        <v>5</v>
      </c>
      <c r="O44" s="612">
        <f t="shared" si="14"/>
        <v>38.375</v>
      </c>
      <c r="P44" s="341">
        <v>-5.3</v>
      </c>
      <c r="Q44" s="342">
        <v>1</v>
      </c>
      <c r="R44" s="343"/>
      <c r="S44" s="344">
        <v>-7</v>
      </c>
      <c r="T44" s="345">
        <v>0</v>
      </c>
      <c r="U44" s="346"/>
      <c r="V44" s="341">
        <v>0.29090909090909101</v>
      </c>
      <c r="W44" s="347">
        <v>2</v>
      </c>
      <c r="X44" s="343"/>
      <c r="Y44" s="344">
        <v>-2.3777777777777782</v>
      </c>
      <c r="Z44" s="345">
        <v>2</v>
      </c>
      <c r="AA44" s="346"/>
      <c r="AB44" s="341">
        <v>-1.75</v>
      </c>
      <c r="AC44" s="347">
        <v>2</v>
      </c>
      <c r="AD44" s="343"/>
      <c r="AE44" s="344">
        <v>-1.8974358974358978</v>
      </c>
      <c r="AF44" s="345">
        <v>2</v>
      </c>
      <c r="AG44" s="346"/>
      <c r="AH44" s="341">
        <v>-1.0571428571428569</v>
      </c>
      <c r="AI44" s="347">
        <v>2</v>
      </c>
      <c r="AJ44" s="343"/>
      <c r="AK44" s="344">
        <v>1.745454545454546</v>
      </c>
      <c r="AL44" s="345">
        <v>2</v>
      </c>
      <c r="AM44" s="346"/>
      <c r="AN44" s="341">
        <v>0.22222222222222321</v>
      </c>
      <c r="AO44" s="347">
        <v>2</v>
      </c>
      <c r="AP44" s="343"/>
      <c r="AQ44" s="344">
        <v>9.0454545454545467</v>
      </c>
      <c r="AR44" s="345">
        <v>3</v>
      </c>
      <c r="AS44" s="346"/>
      <c r="AT44" s="341">
        <v>-2</v>
      </c>
      <c r="AU44" s="347">
        <v>2</v>
      </c>
      <c r="AV44" s="343"/>
      <c r="AW44" s="344">
        <v>0.21499999999999986</v>
      </c>
      <c r="AX44" s="345">
        <v>2</v>
      </c>
      <c r="AY44" s="346"/>
      <c r="AZ44" s="341">
        <v>13.700000000000003</v>
      </c>
      <c r="BA44" s="347">
        <v>3</v>
      </c>
      <c r="BB44" s="343">
        <v>5</v>
      </c>
      <c r="BC44" s="344">
        <v>-5.5</v>
      </c>
      <c r="BD44" s="345">
        <v>1</v>
      </c>
      <c r="BE44" s="346"/>
      <c r="BF44" s="341">
        <v>-1.375</v>
      </c>
      <c r="BG44" s="347">
        <v>2</v>
      </c>
      <c r="BH44" s="343"/>
      <c r="BI44" s="344">
        <v>-5.3</v>
      </c>
      <c r="BJ44" s="348">
        <v>1</v>
      </c>
      <c r="BK44" s="346"/>
      <c r="BL44" s="341">
        <v>-0.98000000000000043</v>
      </c>
      <c r="BM44" s="347">
        <v>2</v>
      </c>
      <c r="BN44" s="343"/>
      <c r="BO44" s="344">
        <v>-5.0999999999999996</v>
      </c>
      <c r="BP44" s="348">
        <v>1</v>
      </c>
      <c r="BQ44" s="346"/>
      <c r="BR44" s="341">
        <v>-4.5999999999999996</v>
      </c>
      <c r="BS44" s="347">
        <v>1</v>
      </c>
      <c r="BT44" s="343"/>
      <c r="BU44" s="344">
        <v>-4.7</v>
      </c>
      <c r="BV44" s="345">
        <v>1</v>
      </c>
      <c r="BW44" s="346"/>
      <c r="BX44" s="344">
        <f t="shared" si="15"/>
        <v>-23.718316128316122</v>
      </c>
      <c r="BY44" s="345">
        <f t="shared" si="16"/>
        <v>34</v>
      </c>
      <c r="BZ44" s="346">
        <f t="shared" si="17"/>
        <v>5</v>
      </c>
      <c r="CA44" s="56"/>
      <c r="DZ44" s="57"/>
      <c r="EA44" s="57"/>
      <c r="EH44" s="54"/>
      <c r="EI44" s="54"/>
    </row>
    <row r="45" spans="1:139" x14ac:dyDescent="0.2">
      <c r="A45" s="351">
        <f t="shared" si="10"/>
        <v>13</v>
      </c>
      <c r="B45" s="351">
        <f t="shared" si="11"/>
        <v>16</v>
      </c>
      <c r="C45" s="351">
        <v>11</v>
      </c>
      <c r="D45" s="402" t="str">
        <f>INDEX(Players!B:B,MATCH(E45,Players!F:F,0))</f>
        <v>D</v>
      </c>
      <c r="E45" s="337" t="s">
        <v>460</v>
      </c>
      <c r="F45" s="349">
        <f t="shared" si="12"/>
        <v>28.619232323232325</v>
      </c>
      <c r="G45" s="62">
        <f t="shared" si="13"/>
        <v>29</v>
      </c>
      <c r="H45" s="349">
        <v>2.2300000000000004</v>
      </c>
      <c r="I45" s="158">
        <v>2</v>
      </c>
      <c r="J45" s="612">
        <f>INDEX(Players!A:A,MATCH(E45,Players!F:F,0))</f>
        <v>-35</v>
      </c>
      <c r="K45" s="339">
        <f t="shared" si="8"/>
        <v>10</v>
      </c>
      <c r="L45" s="340"/>
      <c r="M45" s="340">
        <f>INDEX(Table!L:L,MATCH(E45,Table!F:F,0))</f>
        <v>5.25</v>
      </c>
      <c r="N45" s="339">
        <f t="shared" si="9"/>
        <v>15.25</v>
      </c>
      <c r="O45" s="612">
        <f t="shared" si="14"/>
        <v>-19.75</v>
      </c>
      <c r="P45" s="341">
        <v>0.43333333333333357</v>
      </c>
      <c r="Q45" s="342">
        <v>2</v>
      </c>
      <c r="R45" s="343"/>
      <c r="S45" s="344">
        <v>4.5454545454545467</v>
      </c>
      <c r="T45" s="345">
        <v>2</v>
      </c>
      <c r="U45" s="346"/>
      <c r="V45" s="341">
        <v>-3.9</v>
      </c>
      <c r="W45" s="347">
        <v>1</v>
      </c>
      <c r="X45" s="343"/>
      <c r="Y45" s="344">
        <v>4.58</v>
      </c>
      <c r="Z45" s="345">
        <v>2</v>
      </c>
      <c r="AA45" s="346"/>
      <c r="AB45" s="341">
        <v>-5.5555555555555554</v>
      </c>
      <c r="AC45" s="347">
        <v>1</v>
      </c>
      <c r="AD45" s="343"/>
      <c r="AE45" s="344">
        <v>-0.79999999999999982</v>
      </c>
      <c r="AF45" s="345">
        <v>1</v>
      </c>
      <c r="AG45" s="346"/>
      <c r="AH45" s="341">
        <v>-4.9000000000000004</v>
      </c>
      <c r="AI45" s="347">
        <v>1</v>
      </c>
      <c r="AJ45" s="343"/>
      <c r="AK45" s="344">
        <v>-7</v>
      </c>
      <c r="AL45" s="345">
        <v>0</v>
      </c>
      <c r="AM45" s="346"/>
      <c r="AN45" s="341">
        <v>15.800000000000004</v>
      </c>
      <c r="AO45" s="347">
        <v>3</v>
      </c>
      <c r="AP45" s="343"/>
      <c r="AQ45" s="344">
        <v>1.0999999999999996</v>
      </c>
      <c r="AR45" s="345">
        <v>2</v>
      </c>
      <c r="AS45" s="346"/>
      <c r="AT45" s="341">
        <v>-4.3</v>
      </c>
      <c r="AU45" s="347">
        <v>1</v>
      </c>
      <c r="AV45" s="343"/>
      <c r="AW45" s="344">
        <v>42.116000000000007</v>
      </c>
      <c r="AX45" s="345">
        <v>3</v>
      </c>
      <c r="AY45" s="346">
        <v>10</v>
      </c>
      <c r="AZ45" s="341">
        <v>-0.89999999999999991</v>
      </c>
      <c r="BA45" s="347">
        <v>2</v>
      </c>
      <c r="BB45" s="343"/>
      <c r="BC45" s="344">
        <v>-3.7</v>
      </c>
      <c r="BD45" s="345">
        <v>1</v>
      </c>
      <c r="BE45" s="346"/>
      <c r="BF45" s="341">
        <v>-7</v>
      </c>
      <c r="BG45" s="347">
        <v>0</v>
      </c>
      <c r="BH45" s="343"/>
      <c r="BI45" s="344">
        <v>9.3949999999999996</v>
      </c>
      <c r="BJ45" s="348">
        <v>2</v>
      </c>
      <c r="BK45" s="346"/>
      <c r="BL45" s="341">
        <v>-4.375</v>
      </c>
      <c r="BM45" s="347">
        <v>1</v>
      </c>
      <c r="BN45" s="343"/>
      <c r="BO45" s="344">
        <v>-4.5999999999999996</v>
      </c>
      <c r="BP45" s="348">
        <v>1</v>
      </c>
      <c r="BQ45" s="346"/>
      <c r="BR45" s="341">
        <v>-4.55</v>
      </c>
      <c r="BS45" s="347">
        <v>1</v>
      </c>
      <c r="BT45" s="343"/>
      <c r="BU45" s="344">
        <v>2.2300000000000004</v>
      </c>
      <c r="BV45" s="345">
        <v>2</v>
      </c>
      <c r="BW45" s="346"/>
      <c r="BX45" s="344">
        <f t="shared" si="15"/>
        <v>28.619232323232335</v>
      </c>
      <c r="BY45" s="345">
        <f t="shared" si="16"/>
        <v>29</v>
      </c>
      <c r="BZ45" s="346">
        <f t="shared" si="17"/>
        <v>10</v>
      </c>
      <c r="CA45" s="56"/>
      <c r="DZ45" s="57"/>
      <c r="EA45" s="57"/>
      <c r="EH45" s="54"/>
      <c r="EI45" s="54"/>
    </row>
    <row r="46" spans="1:139" x14ac:dyDescent="0.2">
      <c r="A46" s="351">
        <f t="shared" si="10"/>
        <v>24</v>
      </c>
      <c r="B46" s="351">
        <f t="shared" si="11"/>
        <v>43</v>
      </c>
      <c r="C46" s="351">
        <v>16</v>
      </c>
      <c r="D46" s="402" t="str">
        <f>INDEX(Players!B:B,MATCH(E46,Players!F:F,0))</f>
        <v>B</v>
      </c>
      <c r="E46" s="337" t="s">
        <v>356</v>
      </c>
      <c r="F46" s="349">
        <f t="shared" si="12"/>
        <v>13.540977272727266</v>
      </c>
      <c r="G46" s="62">
        <f t="shared" si="13"/>
        <v>25</v>
      </c>
      <c r="H46" s="349">
        <v>-4.8499999999999996</v>
      </c>
      <c r="I46" s="158">
        <v>1</v>
      </c>
      <c r="J46" s="612">
        <f>INDEX(Players!A:A,MATCH(E46,Players!F:F,0))</f>
        <v>-20</v>
      </c>
      <c r="K46" s="339">
        <f t="shared" si="8"/>
        <v>15</v>
      </c>
      <c r="L46" s="340"/>
      <c r="M46" s="340">
        <f>INDEX(Table!L:L,MATCH(E46,Table!F:F,0))</f>
        <v>15.75</v>
      </c>
      <c r="N46" s="339">
        <f t="shared" si="9"/>
        <v>30.75</v>
      </c>
      <c r="O46" s="612">
        <f t="shared" si="14"/>
        <v>10.75</v>
      </c>
      <c r="P46" s="341">
        <v>-5.2</v>
      </c>
      <c r="Q46" s="342">
        <v>1</v>
      </c>
      <c r="R46" s="343"/>
      <c r="S46" s="344">
        <v>2.3699999999999992</v>
      </c>
      <c r="T46" s="345">
        <v>2</v>
      </c>
      <c r="U46" s="346"/>
      <c r="V46" s="341">
        <v>-7</v>
      </c>
      <c r="W46" s="347">
        <v>0</v>
      </c>
      <c r="X46" s="343"/>
      <c r="Y46" s="344">
        <v>-4.9000000000000004</v>
      </c>
      <c r="Z46" s="345">
        <v>1</v>
      </c>
      <c r="AA46" s="346"/>
      <c r="AB46" s="341">
        <v>-7</v>
      </c>
      <c r="AC46" s="347">
        <v>0</v>
      </c>
      <c r="AD46" s="343"/>
      <c r="AE46" s="344">
        <v>2.4727272727272727</v>
      </c>
      <c r="AF46" s="345">
        <v>2</v>
      </c>
      <c r="AG46" s="346"/>
      <c r="AH46" s="341">
        <v>25.138249999999999</v>
      </c>
      <c r="AI46" s="347">
        <v>3</v>
      </c>
      <c r="AJ46" s="343">
        <v>5</v>
      </c>
      <c r="AK46" s="344">
        <v>-5.05</v>
      </c>
      <c r="AL46" s="345">
        <v>1</v>
      </c>
      <c r="AM46" s="346"/>
      <c r="AN46" s="341">
        <v>-4.125</v>
      </c>
      <c r="AO46" s="347">
        <v>1</v>
      </c>
      <c r="AP46" s="343"/>
      <c r="AQ46" s="344">
        <v>-4.75</v>
      </c>
      <c r="AR46" s="345">
        <v>1</v>
      </c>
      <c r="AS46" s="346"/>
      <c r="AT46" s="341">
        <v>-7</v>
      </c>
      <c r="AU46" s="347">
        <v>0</v>
      </c>
      <c r="AV46" s="343"/>
      <c r="AW46" s="344">
        <v>-4.8499999999999996</v>
      </c>
      <c r="AX46" s="345">
        <v>1</v>
      </c>
      <c r="AY46" s="346"/>
      <c r="AZ46" s="341">
        <v>-3.5</v>
      </c>
      <c r="BA46" s="347">
        <v>1</v>
      </c>
      <c r="BB46" s="343"/>
      <c r="BC46" s="344">
        <v>32.32</v>
      </c>
      <c r="BD46" s="345">
        <v>3</v>
      </c>
      <c r="BE46" s="346">
        <v>10</v>
      </c>
      <c r="BF46" s="341">
        <v>-4.9000000000000004</v>
      </c>
      <c r="BG46" s="347">
        <v>1</v>
      </c>
      <c r="BH46" s="343"/>
      <c r="BI46" s="344">
        <v>0.99000000000000021</v>
      </c>
      <c r="BJ46" s="348">
        <v>2</v>
      </c>
      <c r="BK46" s="346"/>
      <c r="BL46" s="341">
        <v>-4.375</v>
      </c>
      <c r="BM46" s="347">
        <v>1</v>
      </c>
      <c r="BN46" s="343"/>
      <c r="BO46" s="344">
        <v>18.600000000000001</v>
      </c>
      <c r="BP46" s="348">
        <v>2</v>
      </c>
      <c r="BQ46" s="346"/>
      <c r="BR46" s="341">
        <v>-0.85000000000000009</v>
      </c>
      <c r="BS46" s="347">
        <v>1</v>
      </c>
      <c r="BT46" s="343"/>
      <c r="BU46" s="344">
        <v>-4.8499999999999996</v>
      </c>
      <c r="BV46" s="345">
        <v>1</v>
      </c>
      <c r="BW46" s="346"/>
      <c r="BX46" s="344">
        <f t="shared" si="15"/>
        <v>13.540977272727279</v>
      </c>
      <c r="BY46" s="345">
        <f t="shared" si="16"/>
        <v>25</v>
      </c>
      <c r="BZ46" s="346">
        <f t="shared" si="17"/>
        <v>15</v>
      </c>
      <c r="CA46" s="56"/>
      <c r="DZ46" s="57"/>
      <c r="EA46" s="57"/>
      <c r="EH46" s="54"/>
      <c r="EI46" s="54"/>
    </row>
    <row r="47" spans="1:139" x14ac:dyDescent="0.2">
      <c r="A47" s="351">
        <f t="shared" si="10"/>
        <v>53</v>
      </c>
      <c r="B47" s="351">
        <f t="shared" si="11"/>
        <v>47</v>
      </c>
      <c r="C47" s="351">
        <v>50</v>
      </c>
      <c r="D47" s="402" t="str">
        <f>INDEX(Players!B:B,MATCH(E47,Players!F:F,0))</f>
        <v>B</v>
      </c>
      <c r="E47" s="337" t="s">
        <v>340</v>
      </c>
      <c r="F47" s="349">
        <f t="shared" si="12"/>
        <v>-54.319277777777778</v>
      </c>
      <c r="G47" s="62">
        <f t="shared" si="13"/>
        <v>19</v>
      </c>
      <c r="H47" s="349">
        <v>-7</v>
      </c>
      <c r="I47" s="158">
        <v>0</v>
      </c>
      <c r="J47" s="612">
        <f>INDEX(Players!A:A,MATCH(E47,Players!F:F,0))</f>
        <v>-28.25</v>
      </c>
      <c r="K47" s="339">
        <f t="shared" si="8"/>
        <v>5</v>
      </c>
      <c r="L47" s="340"/>
      <c r="M47" s="340">
        <f>INDEX(Table!L:L,MATCH(E47,Table!F:F,0))</f>
        <v>0</v>
      </c>
      <c r="N47" s="339">
        <f t="shared" si="9"/>
        <v>5</v>
      </c>
      <c r="O47" s="612">
        <f t="shared" si="14"/>
        <v>-23.25</v>
      </c>
      <c r="P47" s="341">
        <v>-5.5</v>
      </c>
      <c r="Q47" s="342">
        <v>1</v>
      </c>
      <c r="R47" s="343"/>
      <c r="S47" s="344">
        <v>-7</v>
      </c>
      <c r="T47" s="345">
        <v>0</v>
      </c>
      <c r="U47" s="346"/>
      <c r="V47" s="341">
        <v>-7</v>
      </c>
      <c r="W47" s="347">
        <v>0</v>
      </c>
      <c r="X47" s="343"/>
      <c r="Y47" s="344">
        <v>-7</v>
      </c>
      <c r="Z47" s="345">
        <v>0</v>
      </c>
      <c r="AA47" s="346"/>
      <c r="AB47" s="341">
        <v>3</v>
      </c>
      <c r="AC47" s="347">
        <v>2</v>
      </c>
      <c r="AD47" s="343"/>
      <c r="AE47" s="344">
        <v>0.63333333333333286</v>
      </c>
      <c r="AF47" s="345">
        <v>2</v>
      </c>
      <c r="AG47" s="346"/>
      <c r="AH47" s="341">
        <v>-7</v>
      </c>
      <c r="AI47" s="347">
        <v>0</v>
      </c>
      <c r="AJ47" s="343"/>
      <c r="AK47" s="344">
        <v>-7</v>
      </c>
      <c r="AL47" s="345">
        <v>0</v>
      </c>
      <c r="AM47" s="346"/>
      <c r="AN47" s="341">
        <v>-1.8888888888888884</v>
      </c>
      <c r="AO47" s="347">
        <v>2</v>
      </c>
      <c r="AP47" s="343"/>
      <c r="AQ47" s="344">
        <v>-7</v>
      </c>
      <c r="AR47" s="345">
        <v>0</v>
      </c>
      <c r="AS47" s="346"/>
      <c r="AT47" s="341">
        <v>-5.6</v>
      </c>
      <c r="AU47" s="347">
        <v>1</v>
      </c>
      <c r="AV47" s="343"/>
      <c r="AW47" s="344">
        <v>24.193500000000004</v>
      </c>
      <c r="AX47" s="345">
        <v>3</v>
      </c>
      <c r="AY47" s="346">
        <v>5</v>
      </c>
      <c r="AZ47" s="341">
        <v>-7</v>
      </c>
      <c r="BA47" s="347">
        <v>0</v>
      </c>
      <c r="BB47" s="343"/>
      <c r="BC47" s="344">
        <v>-1.3416666666666659</v>
      </c>
      <c r="BD47" s="345">
        <v>2</v>
      </c>
      <c r="BE47" s="346"/>
      <c r="BF47" s="341">
        <v>-7</v>
      </c>
      <c r="BG47" s="347">
        <v>0</v>
      </c>
      <c r="BH47" s="343"/>
      <c r="BI47" s="344">
        <v>6.1999999999999993</v>
      </c>
      <c r="BJ47" s="348">
        <v>2</v>
      </c>
      <c r="BK47" s="346"/>
      <c r="BL47" s="341">
        <v>-5.5555555555555554</v>
      </c>
      <c r="BM47" s="347">
        <v>1</v>
      </c>
      <c r="BN47" s="343"/>
      <c r="BO47" s="344">
        <v>-5.5</v>
      </c>
      <c r="BP47" s="348">
        <v>1</v>
      </c>
      <c r="BQ47" s="346"/>
      <c r="BR47" s="341">
        <v>4.0000000000000036E-2</v>
      </c>
      <c r="BS47" s="347">
        <v>2</v>
      </c>
      <c r="BT47" s="343"/>
      <c r="BU47" s="344">
        <v>-7</v>
      </c>
      <c r="BV47" s="345">
        <v>0</v>
      </c>
      <c r="BW47" s="346"/>
      <c r="BX47" s="344">
        <f t="shared" si="15"/>
        <v>-54.319277777777771</v>
      </c>
      <c r="BY47" s="345">
        <f t="shared" si="16"/>
        <v>19</v>
      </c>
      <c r="BZ47" s="346">
        <f t="shared" si="17"/>
        <v>5</v>
      </c>
      <c r="CA47" s="56"/>
      <c r="DZ47" s="57"/>
      <c r="EA47" s="57"/>
      <c r="EH47" s="54"/>
      <c r="EI47" s="54"/>
    </row>
    <row r="48" spans="1:139" x14ac:dyDescent="0.2">
      <c r="A48" s="351">
        <f t="shared" si="10"/>
        <v>60</v>
      </c>
      <c r="B48" s="351">
        <f t="shared" si="11"/>
        <v>47</v>
      </c>
      <c r="C48" s="351">
        <v>56</v>
      </c>
      <c r="D48" s="402" t="str">
        <f>INDEX(Players!B:B,MATCH(E48,Players!F:F,0))</f>
        <v>C</v>
      </c>
      <c r="E48" s="337" t="s">
        <v>334</v>
      </c>
      <c r="F48" s="349">
        <f t="shared" si="12"/>
        <v>-72.564393939393938</v>
      </c>
      <c r="G48" s="62">
        <f t="shared" si="13"/>
        <v>20</v>
      </c>
      <c r="H48" s="349">
        <v>-7</v>
      </c>
      <c r="I48" s="158">
        <v>0</v>
      </c>
      <c r="J48" s="612">
        <f>INDEX(Players!A:A,MATCH(E48,Players!F:F,0))</f>
        <v>-7.9399999999999977</v>
      </c>
      <c r="K48" s="339">
        <f t="shared" si="8"/>
        <v>0</v>
      </c>
      <c r="L48" s="340"/>
      <c r="M48" s="340">
        <f>INDEX(Table!L:L,MATCH(E48,Table!F:F,0))</f>
        <v>0</v>
      </c>
      <c r="N48" s="339">
        <f t="shared" si="9"/>
        <v>0</v>
      </c>
      <c r="O48" s="612">
        <f t="shared" si="14"/>
        <v>-7.9399999999999977</v>
      </c>
      <c r="P48" s="341">
        <v>-7</v>
      </c>
      <c r="Q48" s="342">
        <v>0</v>
      </c>
      <c r="R48" s="343"/>
      <c r="S48" s="344">
        <v>-5.25</v>
      </c>
      <c r="T48" s="345">
        <v>1</v>
      </c>
      <c r="U48" s="346"/>
      <c r="V48" s="341">
        <v>-5.375</v>
      </c>
      <c r="W48" s="347">
        <v>1</v>
      </c>
      <c r="X48" s="343"/>
      <c r="Y48" s="344">
        <v>-1.9583333333333339</v>
      </c>
      <c r="Z48" s="345">
        <v>2</v>
      </c>
      <c r="AA48" s="346"/>
      <c r="AB48" s="341">
        <v>-5.8181818181818183</v>
      </c>
      <c r="AC48" s="347">
        <v>1</v>
      </c>
      <c r="AD48" s="343"/>
      <c r="AE48" s="344">
        <v>-7</v>
      </c>
      <c r="AF48" s="345">
        <v>0</v>
      </c>
      <c r="AG48" s="346"/>
      <c r="AH48" s="341">
        <v>-7</v>
      </c>
      <c r="AI48" s="347">
        <v>0</v>
      </c>
      <c r="AJ48" s="343"/>
      <c r="AK48" s="344">
        <v>-7</v>
      </c>
      <c r="AL48" s="345">
        <v>0</v>
      </c>
      <c r="AM48" s="346"/>
      <c r="AN48" s="341">
        <v>1.4916666666666671</v>
      </c>
      <c r="AO48" s="347">
        <v>2</v>
      </c>
      <c r="AP48" s="343"/>
      <c r="AQ48" s="344">
        <v>-4.95</v>
      </c>
      <c r="AR48" s="345">
        <v>1</v>
      </c>
      <c r="AS48" s="346"/>
      <c r="AT48" s="341">
        <v>-4.6500000000000004</v>
      </c>
      <c r="AU48" s="347">
        <v>1</v>
      </c>
      <c r="AV48" s="343"/>
      <c r="AW48" s="344">
        <v>-3.8</v>
      </c>
      <c r="AX48" s="345">
        <v>1</v>
      </c>
      <c r="AY48" s="346"/>
      <c r="AZ48" s="341">
        <v>-3</v>
      </c>
      <c r="BA48" s="347">
        <v>1</v>
      </c>
      <c r="BB48" s="343"/>
      <c r="BC48" s="344">
        <v>-2.25</v>
      </c>
      <c r="BD48" s="345">
        <v>1</v>
      </c>
      <c r="BE48" s="346"/>
      <c r="BF48" s="341">
        <v>-4</v>
      </c>
      <c r="BG48" s="347">
        <v>1</v>
      </c>
      <c r="BH48" s="343"/>
      <c r="BI48" s="344">
        <v>4.2727272727272734</v>
      </c>
      <c r="BJ48" s="348">
        <v>2</v>
      </c>
      <c r="BK48" s="346"/>
      <c r="BL48" s="341">
        <v>0.69999999999999929</v>
      </c>
      <c r="BM48" s="347">
        <v>2</v>
      </c>
      <c r="BN48" s="343"/>
      <c r="BO48" s="344">
        <v>1.2727272727272734</v>
      </c>
      <c r="BP48" s="348">
        <v>2</v>
      </c>
      <c r="BQ48" s="346"/>
      <c r="BR48" s="341">
        <v>-4.25</v>
      </c>
      <c r="BS48" s="347">
        <v>1</v>
      </c>
      <c r="BT48" s="343"/>
      <c r="BU48" s="344">
        <v>-7</v>
      </c>
      <c r="BV48" s="345">
        <v>0</v>
      </c>
      <c r="BW48" s="346"/>
      <c r="BX48" s="344">
        <f t="shared" si="15"/>
        <v>-72.564393939393938</v>
      </c>
      <c r="BY48" s="345">
        <f t="shared" si="16"/>
        <v>20</v>
      </c>
      <c r="BZ48" s="346">
        <f t="shared" si="17"/>
        <v>0</v>
      </c>
      <c r="CA48" s="56"/>
      <c r="DZ48" s="57"/>
      <c r="EA48" s="57"/>
      <c r="EH48" s="54"/>
      <c r="EI48" s="54"/>
    </row>
    <row r="49" spans="1:139" ht="12" customHeight="1" x14ac:dyDescent="0.2">
      <c r="A49" s="351">
        <f t="shared" si="10"/>
        <v>5</v>
      </c>
      <c r="B49" s="351">
        <f t="shared" si="11"/>
        <v>25</v>
      </c>
      <c r="C49" s="351">
        <v>5</v>
      </c>
      <c r="D49" s="402" t="str">
        <f>INDEX(Players!B:B,MATCH(E49,Players!F:F,0))</f>
        <v>C</v>
      </c>
      <c r="E49" s="337" t="s">
        <v>320</v>
      </c>
      <c r="F49" s="349">
        <f t="shared" si="12"/>
        <v>66.322234487734491</v>
      </c>
      <c r="G49" s="62">
        <f t="shared" si="13"/>
        <v>39</v>
      </c>
      <c r="H49" s="349">
        <v>-0.75499999999999989</v>
      </c>
      <c r="I49" s="158">
        <v>2</v>
      </c>
      <c r="J49" s="612">
        <f>INDEX(Players!A:A,MATCH(E49,Players!F:F,0))</f>
        <v>88.13</v>
      </c>
      <c r="K49" s="339">
        <f t="shared" si="8"/>
        <v>25</v>
      </c>
      <c r="L49" s="340">
        <v>5</v>
      </c>
      <c r="M49" s="340">
        <f>INDEX(Table!L:L,MATCH(E49,Table!F:F,0))</f>
        <v>39.375</v>
      </c>
      <c r="N49" s="339">
        <f t="shared" si="9"/>
        <v>69.375</v>
      </c>
      <c r="O49" s="612">
        <f t="shared" si="14"/>
        <v>157.505</v>
      </c>
      <c r="P49" s="341">
        <v>-3.3125000000000004</v>
      </c>
      <c r="Q49" s="342">
        <v>2</v>
      </c>
      <c r="R49" s="343"/>
      <c r="S49" s="344">
        <v>65.50800000000001</v>
      </c>
      <c r="T49" s="345">
        <v>3</v>
      </c>
      <c r="U49" s="346">
        <v>10</v>
      </c>
      <c r="V49" s="341">
        <v>2.872727272727273</v>
      </c>
      <c r="W49" s="347">
        <v>3</v>
      </c>
      <c r="X49" s="343"/>
      <c r="Y49" s="344">
        <v>-2.25</v>
      </c>
      <c r="Z49" s="345">
        <v>2</v>
      </c>
      <c r="AA49" s="346"/>
      <c r="AB49" s="341">
        <v>-2.6666666666666661</v>
      </c>
      <c r="AC49" s="347">
        <v>2</v>
      </c>
      <c r="AD49" s="343"/>
      <c r="AE49" s="344">
        <v>-5.5555555555555554</v>
      </c>
      <c r="AF49" s="345">
        <v>1</v>
      </c>
      <c r="AG49" s="346"/>
      <c r="AH49" s="341">
        <v>-1.9220779220779214</v>
      </c>
      <c r="AI49" s="347">
        <v>2</v>
      </c>
      <c r="AJ49" s="343"/>
      <c r="AK49" s="344">
        <v>-0.72727272727272663</v>
      </c>
      <c r="AL49" s="345">
        <v>2</v>
      </c>
      <c r="AM49" s="346"/>
      <c r="AN49" s="341">
        <v>-5.1666666666666661</v>
      </c>
      <c r="AO49" s="347">
        <v>1</v>
      </c>
      <c r="AP49" s="343"/>
      <c r="AQ49" s="344">
        <v>-2.4800000000000004</v>
      </c>
      <c r="AR49" s="345">
        <v>2</v>
      </c>
      <c r="AS49" s="346"/>
      <c r="AT49" s="341">
        <v>14.454545454545453</v>
      </c>
      <c r="AU49" s="347">
        <v>3</v>
      </c>
      <c r="AV49" s="343">
        <v>10</v>
      </c>
      <c r="AW49" s="344">
        <v>-0.60500000000000043</v>
      </c>
      <c r="AX49" s="345">
        <v>2</v>
      </c>
      <c r="AY49" s="346"/>
      <c r="AZ49" s="341">
        <v>2.7100000000000009</v>
      </c>
      <c r="BA49" s="347">
        <v>2</v>
      </c>
      <c r="BB49" s="343"/>
      <c r="BC49" s="344">
        <v>22.744</v>
      </c>
      <c r="BD49" s="345">
        <v>3</v>
      </c>
      <c r="BE49" s="346">
        <v>5</v>
      </c>
      <c r="BF49" s="341">
        <v>-4.125</v>
      </c>
      <c r="BG49" s="347">
        <v>1</v>
      </c>
      <c r="BH49" s="343"/>
      <c r="BI49" s="344">
        <v>-1.2000000000000002</v>
      </c>
      <c r="BJ49" s="348">
        <v>2</v>
      </c>
      <c r="BK49" s="346"/>
      <c r="BL49" s="341">
        <v>-5.3</v>
      </c>
      <c r="BM49" s="347">
        <v>1</v>
      </c>
      <c r="BN49" s="343"/>
      <c r="BO49" s="344">
        <v>-5.4285714285714288</v>
      </c>
      <c r="BP49" s="348">
        <v>1</v>
      </c>
      <c r="BQ49" s="346"/>
      <c r="BR49" s="341">
        <v>-0.47272727272727266</v>
      </c>
      <c r="BS49" s="347">
        <v>2</v>
      </c>
      <c r="BT49" s="343"/>
      <c r="BU49" s="344">
        <v>-0.75499999999999989</v>
      </c>
      <c r="BV49" s="345">
        <v>2</v>
      </c>
      <c r="BW49" s="346"/>
      <c r="BX49" s="344">
        <f t="shared" si="15"/>
        <v>66.322234487734505</v>
      </c>
      <c r="BY49" s="345">
        <f t="shared" si="16"/>
        <v>39</v>
      </c>
      <c r="BZ49" s="346">
        <f t="shared" si="17"/>
        <v>25</v>
      </c>
      <c r="CA49" s="56"/>
      <c r="DZ49" s="57"/>
      <c r="EA49" s="57"/>
      <c r="EH49" s="54"/>
      <c r="EI49" s="54"/>
    </row>
    <row r="50" spans="1:139" x14ac:dyDescent="0.2">
      <c r="A50" s="351">
        <f t="shared" si="10"/>
        <v>63</v>
      </c>
      <c r="B50" s="351">
        <f t="shared" si="11"/>
        <v>10</v>
      </c>
      <c r="C50" s="351">
        <v>65</v>
      </c>
      <c r="D50" s="402" t="str">
        <f>INDEX(Players!B:B,MATCH(E50,Players!F:F,0))</f>
        <v>C</v>
      </c>
      <c r="E50" s="337" t="s">
        <v>347</v>
      </c>
      <c r="F50" s="349">
        <f t="shared" si="12"/>
        <v>-81.867167587314654</v>
      </c>
      <c r="G50" s="62">
        <f t="shared" si="13"/>
        <v>16</v>
      </c>
      <c r="H50" s="349">
        <v>11.440000000000001</v>
      </c>
      <c r="I50" s="158">
        <v>2</v>
      </c>
      <c r="J50" s="612">
        <f>INDEX(Players!A:A,MATCH(E50,Players!F:F,0))</f>
        <v>55.069999999999993</v>
      </c>
      <c r="K50" s="339">
        <f t="shared" si="8"/>
        <v>0</v>
      </c>
      <c r="L50" s="340"/>
      <c r="M50" s="340">
        <f>INDEX(Table!L:L,MATCH(E50,Table!F:F,0))</f>
        <v>0</v>
      </c>
      <c r="N50" s="339">
        <f t="shared" si="9"/>
        <v>0</v>
      </c>
      <c r="O50" s="612">
        <f t="shared" si="14"/>
        <v>55.069999999999993</v>
      </c>
      <c r="P50" s="341">
        <v>-7</v>
      </c>
      <c r="Q50" s="342">
        <v>0</v>
      </c>
      <c r="R50" s="343"/>
      <c r="S50" s="344">
        <v>-7</v>
      </c>
      <c r="T50" s="345">
        <v>0</v>
      </c>
      <c r="U50" s="346"/>
      <c r="V50" s="341">
        <v>-7</v>
      </c>
      <c r="W50" s="347">
        <v>0</v>
      </c>
      <c r="X50" s="343"/>
      <c r="Y50" s="344">
        <v>-7</v>
      </c>
      <c r="Z50" s="345">
        <v>0</v>
      </c>
      <c r="AA50" s="346"/>
      <c r="AB50" s="341">
        <v>-7</v>
      </c>
      <c r="AC50" s="347">
        <v>0</v>
      </c>
      <c r="AD50" s="343"/>
      <c r="AE50" s="344">
        <v>-7</v>
      </c>
      <c r="AF50" s="345">
        <v>0</v>
      </c>
      <c r="AG50" s="346"/>
      <c r="AH50" s="341">
        <v>0.61249999999999982</v>
      </c>
      <c r="AI50" s="347">
        <v>2</v>
      </c>
      <c r="AJ50" s="343"/>
      <c r="AK50" s="344">
        <v>-7</v>
      </c>
      <c r="AL50" s="345">
        <v>0</v>
      </c>
      <c r="AM50" s="346"/>
      <c r="AN50" s="341">
        <v>-5.2</v>
      </c>
      <c r="AO50" s="347">
        <v>1</v>
      </c>
      <c r="AP50" s="343"/>
      <c r="AQ50" s="344">
        <v>-1</v>
      </c>
      <c r="AR50" s="345">
        <v>2</v>
      </c>
      <c r="AS50" s="346"/>
      <c r="AT50" s="341">
        <v>-4.6500000000000004</v>
      </c>
      <c r="AU50" s="347">
        <v>1</v>
      </c>
      <c r="AV50" s="343"/>
      <c r="AW50" s="344">
        <v>-3</v>
      </c>
      <c r="AX50" s="345">
        <v>1</v>
      </c>
      <c r="AY50" s="346"/>
      <c r="AZ50" s="341">
        <v>-7</v>
      </c>
      <c r="BA50" s="347">
        <v>0</v>
      </c>
      <c r="BB50" s="343"/>
      <c r="BC50" s="344">
        <v>1.0666666666666664</v>
      </c>
      <c r="BD50" s="345">
        <v>2</v>
      </c>
      <c r="BE50" s="346"/>
      <c r="BF50" s="341">
        <v>-1.7142857142857144</v>
      </c>
      <c r="BG50" s="347">
        <v>2</v>
      </c>
      <c r="BH50" s="343"/>
      <c r="BI50" s="344">
        <v>-5.2727272727272725</v>
      </c>
      <c r="BJ50" s="348">
        <v>1</v>
      </c>
      <c r="BK50" s="346"/>
      <c r="BL50" s="341">
        <v>-5.384615384615385</v>
      </c>
      <c r="BM50" s="347">
        <v>1</v>
      </c>
      <c r="BN50" s="343"/>
      <c r="BO50" s="344">
        <v>-5.7647058823529411</v>
      </c>
      <c r="BP50" s="348">
        <v>1</v>
      </c>
      <c r="BQ50" s="346"/>
      <c r="BR50" s="341">
        <v>-7</v>
      </c>
      <c r="BS50" s="347">
        <v>0</v>
      </c>
      <c r="BT50" s="343"/>
      <c r="BU50" s="344">
        <v>11.440000000000001</v>
      </c>
      <c r="BV50" s="345">
        <v>2</v>
      </c>
      <c r="BW50" s="346"/>
      <c r="BX50" s="344">
        <f t="shared" si="15"/>
        <v>-81.867167587314654</v>
      </c>
      <c r="BY50" s="345">
        <f t="shared" si="16"/>
        <v>16</v>
      </c>
      <c r="BZ50" s="346">
        <f t="shared" si="17"/>
        <v>0</v>
      </c>
      <c r="CA50" s="56"/>
      <c r="DZ50" s="57"/>
      <c r="EA50" s="57"/>
      <c r="EH50" s="54"/>
      <c r="EI50" s="54"/>
    </row>
    <row r="51" spans="1:139" x14ac:dyDescent="0.2">
      <c r="A51" s="351">
        <f t="shared" si="10"/>
        <v>6</v>
      </c>
      <c r="B51" s="351">
        <f t="shared" si="11"/>
        <v>35</v>
      </c>
      <c r="C51" s="351">
        <v>3</v>
      </c>
      <c r="D51" s="402" t="str">
        <f>INDEX(Players!B:B,MATCH(E51,Players!F:F,0))</f>
        <v>A</v>
      </c>
      <c r="E51" s="337" t="s">
        <v>352</v>
      </c>
      <c r="F51" s="349">
        <f t="shared" si="12"/>
        <v>63.448333333333338</v>
      </c>
      <c r="G51" s="62">
        <f t="shared" si="13"/>
        <v>17</v>
      </c>
      <c r="H51" s="349">
        <v>-4</v>
      </c>
      <c r="I51" s="158">
        <v>1</v>
      </c>
      <c r="J51" s="612">
        <f>INDEX(Players!A:A,MATCH(E51,Players!F:F,0))</f>
        <v>93.55</v>
      </c>
      <c r="K51" s="339">
        <f t="shared" si="8"/>
        <v>10</v>
      </c>
      <c r="L51" s="340"/>
      <c r="M51" s="340">
        <f>INDEX(Table!L:L,MATCH(E51,Table!F:F,0))</f>
        <v>118.125</v>
      </c>
      <c r="N51" s="339">
        <f t="shared" si="9"/>
        <v>128.125</v>
      </c>
      <c r="O51" s="612">
        <f t="shared" si="14"/>
        <v>221.67500000000001</v>
      </c>
      <c r="P51" s="341">
        <v>10.479999999999997</v>
      </c>
      <c r="Q51" s="342">
        <v>2</v>
      </c>
      <c r="R51" s="343"/>
      <c r="S51" s="344">
        <v>-7</v>
      </c>
      <c r="T51" s="345">
        <v>0</v>
      </c>
      <c r="U51" s="346"/>
      <c r="V51" s="341">
        <v>-7</v>
      </c>
      <c r="W51" s="347">
        <v>0</v>
      </c>
      <c r="X51" s="343"/>
      <c r="Y51" s="344">
        <v>-3</v>
      </c>
      <c r="Z51" s="345">
        <v>1</v>
      </c>
      <c r="AA51" s="346"/>
      <c r="AB51" s="341">
        <v>4.7100000000000009</v>
      </c>
      <c r="AC51" s="347">
        <v>2</v>
      </c>
      <c r="AD51" s="343"/>
      <c r="AE51" s="344">
        <v>-3</v>
      </c>
      <c r="AF51" s="345">
        <v>1</v>
      </c>
      <c r="AG51" s="346"/>
      <c r="AH51" s="341">
        <v>-7</v>
      </c>
      <c r="AI51" s="347">
        <v>0</v>
      </c>
      <c r="AJ51" s="343"/>
      <c r="AK51" s="344">
        <v>-7</v>
      </c>
      <c r="AL51" s="345">
        <v>0</v>
      </c>
      <c r="AM51" s="346"/>
      <c r="AN51" s="341">
        <v>-3.5</v>
      </c>
      <c r="AO51" s="347">
        <v>1</v>
      </c>
      <c r="AP51" s="343"/>
      <c r="AQ51" s="344">
        <v>-2.6666666666666661</v>
      </c>
      <c r="AR51" s="345">
        <v>1</v>
      </c>
      <c r="AS51" s="346"/>
      <c r="AT51" s="341">
        <v>-7</v>
      </c>
      <c r="AU51" s="347">
        <v>0</v>
      </c>
      <c r="AV51" s="343"/>
      <c r="AW51" s="344">
        <v>-3</v>
      </c>
      <c r="AX51" s="345">
        <v>1</v>
      </c>
      <c r="AY51" s="346"/>
      <c r="AZ51" s="341">
        <v>-4.9000000000000004</v>
      </c>
      <c r="BA51" s="347">
        <v>1</v>
      </c>
      <c r="BB51" s="343"/>
      <c r="BC51" s="344">
        <v>-2.8</v>
      </c>
      <c r="BD51" s="345">
        <v>1</v>
      </c>
      <c r="BE51" s="346"/>
      <c r="BF51" s="341">
        <v>-7</v>
      </c>
      <c r="BG51" s="347">
        <v>0</v>
      </c>
      <c r="BH51" s="343"/>
      <c r="BI51" s="344">
        <v>-3.4</v>
      </c>
      <c r="BJ51" s="348">
        <v>1</v>
      </c>
      <c r="BK51" s="346"/>
      <c r="BL51" s="341">
        <v>-5.0999999999999996</v>
      </c>
      <c r="BM51" s="347">
        <v>1</v>
      </c>
      <c r="BN51" s="343"/>
      <c r="BO51" s="344">
        <v>132.625</v>
      </c>
      <c r="BP51" s="348">
        <v>3</v>
      </c>
      <c r="BQ51" s="346">
        <v>10</v>
      </c>
      <c r="BR51" s="341">
        <v>-7</v>
      </c>
      <c r="BS51" s="347">
        <v>0</v>
      </c>
      <c r="BT51" s="343"/>
      <c r="BU51" s="344">
        <v>-4</v>
      </c>
      <c r="BV51" s="345">
        <v>1</v>
      </c>
      <c r="BW51" s="346"/>
      <c r="BX51" s="344">
        <f t="shared" si="15"/>
        <v>63.448333333333331</v>
      </c>
      <c r="BY51" s="345">
        <f t="shared" si="16"/>
        <v>17</v>
      </c>
      <c r="BZ51" s="346">
        <f t="shared" si="17"/>
        <v>10</v>
      </c>
      <c r="CA51" s="56"/>
      <c r="DZ51" s="57"/>
      <c r="EA51" s="57"/>
      <c r="EH51" s="54"/>
      <c r="EI51" s="54"/>
    </row>
    <row r="52" spans="1:139" x14ac:dyDescent="0.2">
      <c r="A52" s="351">
        <f t="shared" si="10"/>
        <v>37</v>
      </c>
      <c r="B52" s="351">
        <f t="shared" si="11"/>
        <v>47</v>
      </c>
      <c r="C52" s="351">
        <v>32</v>
      </c>
      <c r="D52" s="402" t="str">
        <f>INDEX(Players!B:B,MATCH(E52,Players!F:F,0))</f>
        <v>A</v>
      </c>
      <c r="E52" s="337" t="s">
        <v>325</v>
      </c>
      <c r="F52" s="349">
        <f t="shared" si="12"/>
        <v>-24.641997890997892</v>
      </c>
      <c r="G52" s="62">
        <f t="shared" si="13"/>
        <v>30</v>
      </c>
      <c r="H52" s="349">
        <v>-7</v>
      </c>
      <c r="I52" s="158">
        <v>0</v>
      </c>
      <c r="J52" s="612">
        <f>INDEX(Players!A:A,MATCH(E52,Players!F:F,0))</f>
        <v>44.844999999999999</v>
      </c>
      <c r="K52" s="339">
        <f t="shared" si="8"/>
        <v>10</v>
      </c>
      <c r="L52" s="340"/>
      <c r="M52" s="340">
        <f>INDEX(Table!L:L,MATCH(E52,Table!F:F,0))</f>
        <v>0</v>
      </c>
      <c r="N52" s="339">
        <f t="shared" si="9"/>
        <v>10</v>
      </c>
      <c r="O52" s="612">
        <f t="shared" si="14"/>
        <v>54.844999999999999</v>
      </c>
      <c r="P52" s="341">
        <v>-5</v>
      </c>
      <c r="Q52" s="342">
        <v>1</v>
      </c>
      <c r="R52" s="343"/>
      <c r="S52" s="344">
        <v>-7</v>
      </c>
      <c r="T52" s="345">
        <v>0</v>
      </c>
      <c r="U52" s="346"/>
      <c r="V52" s="341">
        <v>-5.05</v>
      </c>
      <c r="W52" s="347">
        <v>1</v>
      </c>
      <c r="X52" s="343"/>
      <c r="Y52" s="344">
        <v>7.982905982905983</v>
      </c>
      <c r="Z52" s="345">
        <v>3</v>
      </c>
      <c r="AA52" s="346"/>
      <c r="AB52" s="341">
        <v>-5.0999999999999996</v>
      </c>
      <c r="AC52" s="347">
        <v>1</v>
      </c>
      <c r="AD52" s="343"/>
      <c r="AE52" s="344">
        <v>-1.8974358974358978</v>
      </c>
      <c r="AF52" s="345">
        <v>2</v>
      </c>
      <c r="AG52" s="346"/>
      <c r="AH52" s="341">
        <v>-1.0571428571428569</v>
      </c>
      <c r="AI52" s="347">
        <v>2</v>
      </c>
      <c r="AJ52" s="343"/>
      <c r="AK52" s="344">
        <v>-0.90909090909090917</v>
      </c>
      <c r="AL52" s="345">
        <v>2</v>
      </c>
      <c r="AM52" s="346"/>
      <c r="AN52" s="341">
        <v>1.3333333333333339</v>
      </c>
      <c r="AO52" s="347">
        <v>2</v>
      </c>
      <c r="AP52" s="343"/>
      <c r="AQ52" s="344">
        <v>-4.75</v>
      </c>
      <c r="AR52" s="345">
        <v>1</v>
      </c>
      <c r="AS52" s="346"/>
      <c r="AT52" s="341">
        <v>-5.4285714285714288</v>
      </c>
      <c r="AU52" s="347">
        <v>1</v>
      </c>
      <c r="AV52" s="343"/>
      <c r="AW52" s="344">
        <v>-5.45</v>
      </c>
      <c r="AX52" s="345">
        <v>1</v>
      </c>
      <c r="AY52" s="346"/>
      <c r="AZ52" s="341">
        <v>-1.625</v>
      </c>
      <c r="BA52" s="347">
        <v>2</v>
      </c>
      <c r="BB52" s="343"/>
      <c r="BC52" s="344">
        <v>22.744000000000003</v>
      </c>
      <c r="BD52" s="345">
        <v>3</v>
      </c>
      <c r="BE52" s="346">
        <v>5</v>
      </c>
      <c r="BF52" s="341">
        <v>9.3269230769230766</v>
      </c>
      <c r="BG52" s="347">
        <v>3</v>
      </c>
      <c r="BH52" s="343">
        <v>5</v>
      </c>
      <c r="BI52" s="344">
        <v>0.28000000000000025</v>
      </c>
      <c r="BJ52" s="348">
        <v>2</v>
      </c>
      <c r="BK52" s="346"/>
      <c r="BL52" s="341">
        <v>-5.5555555555555554</v>
      </c>
      <c r="BM52" s="347">
        <v>1</v>
      </c>
      <c r="BN52" s="343"/>
      <c r="BO52" s="344">
        <v>-5.6363636363636367</v>
      </c>
      <c r="BP52" s="348">
        <v>1</v>
      </c>
      <c r="BQ52" s="346"/>
      <c r="BR52" s="341">
        <v>-4.8499999999999996</v>
      </c>
      <c r="BS52" s="347">
        <v>1</v>
      </c>
      <c r="BT52" s="343"/>
      <c r="BU52" s="344">
        <v>-7</v>
      </c>
      <c r="BV52" s="345">
        <v>0</v>
      </c>
      <c r="BW52" s="346"/>
      <c r="BX52" s="344">
        <f t="shared" si="15"/>
        <v>-24.641997890997885</v>
      </c>
      <c r="BY52" s="345">
        <f t="shared" si="16"/>
        <v>30</v>
      </c>
      <c r="BZ52" s="346">
        <f t="shared" si="17"/>
        <v>10</v>
      </c>
      <c r="CA52" s="56"/>
      <c r="DZ52" s="57"/>
      <c r="EA52" s="57"/>
      <c r="EH52" s="54"/>
      <c r="EI52" s="54"/>
    </row>
    <row r="53" spans="1:139" x14ac:dyDescent="0.2">
      <c r="A53" s="351">
        <f t="shared" si="10"/>
        <v>14</v>
      </c>
      <c r="B53" s="351">
        <f t="shared" si="11"/>
        <v>27</v>
      </c>
      <c r="C53" s="351">
        <v>10</v>
      </c>
      <c r="D53" s="402" t="str">
        <f>INDEX(Players!B:B,MATCH(E53,Players!F:F,0))</f>
        <v>D</v>
      </c>
      <c r="E53" s="337" t="s">
        <v>365</v>
      </c>
      <c r="F53" s="349">
        <f t="shared" si="12"/>
        <v>28.296438122063115</v>
      </c>
      <c r="G53" s="62">
        <f t="shared" si="13"/>
        <v>41</v>
      </c>
      <c r="H53" s="349">
        <v>-1.6444444444444439</v>
      </c>
      <c r="I53" s="158">
        <v>2</v>
      </c>
      <c r="J53" s="612">
        <f>INDEX(Players!A:A,MATCH(E53,Players!F:F,0))</f>
        <v>-40</v>
      </c>
      <c r="K53" s="339">
        <f t="shared" si="8"/>
        <v>5</v>
      </c>
      <c r="L53" s="340"/>
      <c r="M53" s="340">
        <f>INDEX(Table!L:L,MATCH(E53,Table!F:F,0))</f>
        <v>2.25</v>
      </c>
      <c r="N53" s="339">
        <f t="shared" si="9"/>
        <v>7.25</v>
      </c>
      <c r="O53" s="612">
        <f t="shared" si="14"/>
        <v>-32.75</v>
      </c>
      <c r="P53" s="341">
        <v>1.9343749999999993</v>
      </c>
      <c r="Q53" s="342">
        <v>3</v>
      </c>
      <c r="R53" s="343"/>
      <c r="S53" s="344">
        <v>-5.2727272727272725</v>
      </c>
      <c r="T53" s="345">
        <v>1</v>
      </c>
      <c r="U53" s="346"/>
      <c r="V53" s="341">
        <v>11.445454545454549</v>
      </c>
      <c r="W53" s="347">
        <v>3</v>
      </c>
      <c r="X53" s="343">
        <v>5</v>
      </c>
      <c r="Y53" s="344">
        <v>9.9807692307692299</v>
      </c>
      <c r="Z53" s="345">
        <v>3</v>
      </c>
      <c r="AA53" s="346"/>
      <c r="AB53" s="341">
        <v>10.962962962962962</v>
      </c>
      <c r="AC53" s="347">
        <v>3</v>
      </c>
      <c r="AD53" s="343"/>
      <c r="AE53" s="344">
        <v>1.5999999999999996</v>
      </c>
      <c r="AF53" s="345">
        <v>2</v>
      </c>
      <c r="AG53" s="346"/>
      <c r="AH53" s="341">
        <v>-5.35</v>
      </c>
      <c r="AI53" s="347">
        <v>1</v>
      </c>
      <c r="AJ53" s="343"/>
      <c r="AK53" s="344">
        <v>9.0454545454545467</v>
      </c>
      <c r="AL53" s="345">
        <v>3</v>
      </c>
      <c r="AM53" s="346"/>
      <c r="AN53" s="341">
        <v>11.046296296296298</v>
      </c>
      <c r="AO53" s="347">
        <v>3</v>
      </c>
      <c r="AP53" s="343"/>
      <c r="AQ53" s="344">
        <v>8.9000000000000021</v>
      </c>
      <c r="AR53" s="345">
        <v>3</v>
      </c>
      <c r="AS53" s="346"/>
      <c r="AT53" s="341">
        <v>-1.0909090909090908</v>
      </c>
      <c r="AU53" s="347">
        <v>2</v>
      </c>
      <c r="AV53" s="343"/>
      <c r="AW53" s="344">
        <v>-5.15</v>
      </c>
      <c r="AX53" s="345">
        <v>1</v>
      </c>
      <c r="AY53" s="346"/>
      <c r="AZ53" s="341">
        <v>-0.91666666666666607</v>
      </c>
      <c r="BA53" s="347">
        <v>2</v>
      </c>
      <c r="BB53" s="343"/>
      <c r="BC53" s="344">
        <v>-2.71</v>
      </c>
      <c r="BD53" s="345">
        <v>2</v>
      </c>
      <c r="BE53" s="346"/>
      <c r="BF53" s="341">
        <v>-0.91666666666666607</v>
      </c>
      <c r="BG53" s="347">
        <v>2</v>
      </c>
      <c r="BH53" s="343"/>
      <c r="BI53" s="344">
        <v>-5.6</v>
      </c>
      <c r="BJ53" s="348">
        <v>1</v>
      </c>
      <c r="BK53" s="346"/>
      <c r="BL53" s="341">
        <v>0.86111111111111072</v>
      </c>
      <c r="BM53" s="347">
        <v>2</v>
      </c>
      <c r="BN53" s="343"/>
      <c r="BO53" s="344">
        <v>-7</v>
      </c>
      <c r="BP53" s="348">
        <v>0</v>
      </c>
      <c r="BQ53" s="346"/>
      <c r="BR53" s="341">
        <v>-1.8285714285714292</v>
      </c>
      <c r="BS53" s="347">
        <v>2</v>
      </c>
      <c r="BT53" s="343"/>
      <c r="BU53" s="344">
        <v>-1.6444444444444439</v>
      </c>
      <c r="BV53" s="345">
        <v>2</v>
      </c>
      <c r="BW53" s="346"/>
      <c r="BX53" s="344">
        <f t="shared" si="15"/>
        <v>28.296438122063133</v>
      </c>
      <c r="BY53" s="345">
        <f t="shared" si="16"/>
        <v>41</v>
      </c>
      <c r="BZ53" s="346">
        <f t="shared" si="17"/>
        <v>5</v>
      </c>
      <c r="CA53" s="56"/>
      <c r="DZ53" s="57"/>
      <c r="EA53" s="57"/>
      <c r="EH53" s="54"/>
      <c r="EI53" s="54"/>
    </row>
    <row r="54" spans="1:139" x14ac:dyDescent="0.2">
      <c r="A54" s="351">
        <f t="shared" si="10"/>
        <v>28</v>
      </c>
      <c r="B54" s="351">
        <f t="shared" si="11"/>
        <v>35</v>
      </c>
      <c r="C54" s="351">
        <v>26</v>
      </c>
      <c r="D54" s="402" t="str">
        <f>INDEX(Players!B:B,MATCH(E54,Players!F:F,0))</f>
        <v>B</v>
      </c>
      <c r="E54" s="337" t="s">
        <v>360</v>
      </c>
      <c r="F54" s="349">
        <f t="shared" si="12"/>
        <v>-6.8553125000000055</v>
      </c>
      <c r="G54" s="62">
        <f t="shared" si="13"/>
        <v>21</v>
      </c>
      <c r="H54" s="349">
        <v>-4</v>
      </c>
      <c r="I54" s="158">
        <v>1</v>
      </c>
      <c r="J54" s="612">
        <f>INDEX(Players!A:A,MATCH(E54,Players!F:F,0))</f>
        <v>-22.494999999999997</v>
      </c>
      <c r="K54" s="339">
        <f t="shared" si="8"/>
        <v>10</v>
      </c>
      <c r="L54" s="340"/>
      <c r="M54" s="340">
        <f>INDEX(Table!L:L,MATCH(E54,Table!F:F,0))</f>
        <v>0</v>
      </c>
      <c r="N54" s="339">
        <f t="shared" si="9"/>
        <v>10</v>
      </c>
      <c r="O54" s="612">
        <f t="shared" si="14"/>
        <v>-12.494999999999997</v>
      </c>
      <c r="P54" s="341">
        <v>-7</v>
      </c>
      <c r="Q54" s="342">
        <v>0</v>
      </c>
      <c r="R54" s="343"/>
      <c r="S54" s="344">
        <v>12.7</v>
      </c>
      <c r="T54" s="345">
        <v>2</v>
      </c>
      <c r="U54" s="346"/>
      <c r="V54" s="341">
        <v>-4.2</v>
      </c>
      <c r="W54" s="347">
        <v>1</v>
      </c>
      <c r="X54" s="343"/>
      <c r="Y54" s="344">
        <v>7.5400000000000009</v>
      </c>
      <c r="Z54" s="345">
        <v>2</v>
      </c>
      <c r="AA54" s="346"/>
      <c r="AB54" s="341">
        <v>5.8374999999999986</v>
      </c>
      <c r="AC54" s="347">
        <v>2</v>
      </c>
      <c r="AD54" s="343"/>
      <c r="AE54" s="344">
        <v>-4.3</v>
      </c>
      <c r="AF54" s="345">
        <v>1</v>
      </c>
      <c r="AG54" s="346"/>
      <c r="AH54" s="341">
        <v>-4.95</v>
      </c>
      <c r="AI54" s="347">
        <v>1</v>
      </c>
      <c r="AJ54" s="343"/>
      <c r="AK54" s="344">
        <v>-4.9000000000000004</v>
      </c>
      <c r="AL54" s="345">
        <v>1</v>
      </c>
      <c r="AM54" s="346"/>
      <c r="AN54" s="341">
        <v>-7</v>
      </c>
      <c r="AO54" s="347">
        <v>0</v>
      </c>
      <c r="AP54" s="343"/>
      <c r="AQ54" s="344">
        <v>8</v>
      </c>
      <c r="AR54" s="345">
        <v>2</v>
      </c>
      <c r="AS54" s="346"/>
      <c r="AT54" s="341">
        <v>-7</v>
      </c>
      <c r="AU54" s="347">
        <v>0</v>
      </c>
      <c r="AV54" s="343"/>
      <c r="AW54" s="344">
        <v>-7</v>
      </c>
      <c r="AX54" s="345">
        <v>0</v>
      </c>
      <c r="AY54" s="346"/>
      <c r="AZ54" s="341">
        <v>-4.6500000000000004</v>
      </c>
      <c r="BA54" s="347">
        <v>1</v>
      </c>
      <c r="BB54" s="343"/>
      <c r="BC54" s="344">
        <v>-4.95</v>
      </c>
      <c r="BD54" s="345">
        <v>1</v>
      </c>
      <c r="BE54" s="346"/>
      <c r="BF54" s="341">
        <v>-4.125</v>
      </c>
      <c r="BG54" s="347">
        <v>1</v>
      </c>
      <c r="BH54" s="343"/>
      <c r="BI54" s="344">
        <v>-3</v>
      </c>
      <c r="BJ54" s="348">
        <v>1</v>
      </c>
      <c r="BK54" s="346"/>
      <c r="BL54" s="341">
        <v>37.9921875</v>
      </c>
      <c r="BM54" s="347">
        <v>3</v>
      </c>
      <c r="BN54" s="343">
        <v>10</v>
      </c>
      <c r="BO54" s="344">
        <v>-7</v>
      </c>
      <c r="BP54" s="348">
        <v>0</v>
      </c>
      <c r="BQ54" s="346"/>
      <c r="BR54" s="341">
        <v>-4.8499999999999996</v>
      </c>
      <c r="BS54" s="347">
        <v>1</v>
      </c>
      <c r="BT54" s="343"/>
      <c r="BU54" s="344">
        <v>-4</v>
      </c>
      <c r="BV54" s="345">
        <v>1</v>
      </c>
      <c r="BW54" s="346"/>
      <c r="BX54" s="344">
        <f t="shared" si="15"/>
        <v>-6.8553125000000037</v>
      </c>
      <c r="BY54" s="345">
        <f t="shared" si="16"/>
        <v>21</v>
      </c>
      <c r="BZ54" s="346">
        <f t="shared" si="17"/>
        <v>10</v>
      </c>
      <c r="CA54" s="56"/>
      <c r="DZ54" s="57"/>
      <c r="EA54" s="57"/>
      <c r="EH54" s="54"/>
      <c r="EI54" s="54"/>
    </row>
    <row r="55" spans="1:139" x14ac:dyDescent="0.2">
      <c r="A55" s="351">
        <f t="shared" si="10"/>
        <v>39</v>
      </c>
      <c r="B55" s="351">
        <f t="shared" si="11"/>
        <v>38</v>
      </c>
      <c r="C55" s="351">
        <v>34</v>
      </c>
      <c r="D55" s="402" t="str">
        <f>INDEX(Players!B:B,MATCH(E55,Players!F:F,0))</f>
        <v>C</v>
      </c>
      <c r="E55" s="337" t="s">
        <v>362</v>
      </c>
      <c r="F55" s="349">
        <f t="shared" si="12"/>
        <v>-26.674047619047624</v>
      </c>
      <c r="G55" s="62">
        <f t="shared" si="13"/>
        <v>22</v>
      </c>
      <c r="H55" s="349">
        <v>-4.625</v>
      </c>
      <c r="I55" s="158">
        <v>1</v>
      </c>
      <c r="J55" s="612">
        <f>INDEX(Players!A:A,MATCH(E55,Players!F:F,0))</f>
        <v>18.329999999999998</v>
      </c>
      <c r="K55" s="339">
        <f t="shared" si="8"/>
        <v>5</v>
      </c>
      <c r="L55" s="340"/>
      <c r="M55" s="340">
        <f>INDEX(Table!L:L,MATCH(E55,Table!F:F,0))</f>
        <v>0</v>
      </c>
      <c r="N55" s="339">
        <f t="shared" si="9"/>
        <v>5</v>
      </c>
      <c r="O55" s="612">
        <f t="shared" si="14"/>
        <v>23.33</v>
      </c>
      <c r="P55" s="341">
        <v>-4.55</v>
      </c>
      <c r="Q55" s="342">
        <v>1</v>
      </c>
      <c r="R55" s="343"/>
      <c r="S55" s="344">
        <v>-7</v>
      </c>
      <c r="T55" s="345">
        <v>0</v>
      </c>
      <c r="U55" s="346"/>
      <c r="V55" s="341">
        <v>9.8249999999999993</v>
      </c>
      <c r="W55" s="347">
        <v>2</v>
      </c>
      <c r="X55" s="343"/>
      <c r="Y55" s="344">
        <v>-5</v>
      </c>
      <c r="Z55" s="345">
        <v>1</v>
      </c>
      <c r="AA55" s="346"/>
      <c r="AB55" s="341">
        <v>16.05</v>
      </c>
      <c r="AC55" s="347">
        <v>2</v>
      </c>
      <c r="AD55" s="343">
        <v>5</v>
      </c>
      <c r="AE55" s="344">
        <v>-4.4000000000000004</v>
      </c>
      <c r="AF55" s="345">
        <v>1</v>
      </c>
      <c r="AG55" s="346"/>
      <c r="AH55" s="341">
        <v>-4</v>
      </c>
      <c r="AI55" s="347">
        <v>1</v>
      </c>
      <c r="AJ55" s="343"/>
      <c r="AK55" s="344">
        <v>8.7199999999999989</v>
      </c>
      <c r="AL55" s="345">
        <v>2</v>
      </c>
      <c r="AM55" s="346"/>
      <c r="AN55" s="341">
        <v>-0.20833333333333304</v>
      </c>
      <c r="AO55" s="347">
        <v>2</v>
      </c>
      <c r="AP55" s="343"/>
      <c r="AQ55" s="344">
        <v>-3.2</v>
      </c>
      <c r="AR55" s="345">
        <v>1</v>
      </c>
      <c r="AS55" s="346"/>
      <c r="AT55" s="341">
        <v>-7</v>
      </c>
      <c r="AU55" s="347">
        <v>0</v>
      </c>
      <c r="AV55" s="343"/>
      <c r="AW55" s="344">
        <v>-7</v>
      </c>
      <c r="AX55" s="345">
        <v>0</v>
      </c>
      <c r="AY55" s="346"/>
      <c r="AZ55" s="341">
        <v>8.75</v>
      </c>
      <c r="BA55" s="347">
        <v>2</v>
      </c>
      <c r="BB55" s="343"/>
      <c r="BC55" s="344">
        <v>-5.2</v>
      </c>
      <c r="BD55" s="345">
        <v>1</v>
      </c>
      <c r="BE55" s="346"/>
      <c r="BF55" s="341">
        <v>0.61428571428571477</v>
      </c>
      <c r="BG55" s="347">
        <v>2</v>
      </c>
      <c r="BH55" s="343"/>
      <c r="BI55" s="344">
        <v>-3.1</v>
      </c>
      <c r="BJ55" s="348">
        <v>1</v>
      </c>
      <c r="BK55" s="346"/>
      <c r="BL55" s="341">
        <v>-3.8</v>
      </c>
      <c r="BM55" s="347">
        <v>1</v>
      </c>
      <c r="BN55" s="343"/>
      <c r="BO55" s="344">
        <v>-7</v>
      </c>
      <c r="BP55" s="348">
        <v>0</v>
      </c>
      <c r="BQ55" s="346"/>
      <c r="BR55" s="341">
        <v>-4.55</v>
      </c>
      <c r="BS55" s="347">
        <v>1</v>
      </c>
      <c r="BT55" s="343"/>
      <c r="BU55" s="344">
        <v>-4.625</v>
      </c>
      <c r="BV55" s="345">
        <v>1</v>
      </c>
      <c r="BW55" s="346"/>
      <c r="BX55" s="344">
        <f t="shared" si="15"/>
        <v>-26.674047619047631</v>
      </c>
      <c r="BY55" s="345">
        <f t="shared" si="16"/>
        <v>22</v>
      </c>
      <c r="BZ55" s="346">
        <f t="shared" si="17"/>
        <v>5</v>
      </c>
      <c r="CA55" s="56"/>
      <c r="DZ55" s="57"/>
      <c r="EA55" s="57"/>
      <c r="EH55" s="54"/>
      <c r="EI55" s="54"/>
    </row>
    <row r="56" spans="1:139" x14ac:dyDescent="0.2">
      <c r="A56" s="351">
        <f t="shared" si="10"/>
        <v>26</v>
      </c>
      <c r="B56" s="351">
        <f t="shared" si="11"/>
        <v>28</v>
      </c>
      <c r="C56" s="351">
        <v>27</v>
      </c>
      <c r="D56" s="402" t="str">
        <f>INDEX(Players!B:B,MATCH(E56,Players!F:F,0))</f>
        <v>A</v>
      </c>
      <c r="E56" s="337" t="s">
        <v>364</v>
      </c>
      <c r="F56" s="349">
        <f t="shared" si="12"/>
        <v>-2.8620027195027227</v>
      </c>
      <c r="G56" s="62">
        <f t="shared" si="13"/>
        <v>37</v>
      </c>
      <c r="H56" s="349">
        <v>-1.8888888888888893</v>
      </c>
      <c r="I56" s="158">
        <v>2</v>
      </c>
      <c r="J56" s="612">
        <f>INDEX(Players!A:A,MATCH(E56,Players!F:F,0))</f>
        <v>22.659999999999997</v>
      </c>
      <c r="K56" s="339">
        <f t="shared" si="8"/>
        <v>5</v>
      </c>
      <c r="L56" s="340"/>
      <c r="M56" s="340">
        <f>INDEX(Table!L:L,MATCH(E56,Table!F:F,0))</f>
        <v>23.625</v>
      </c>
      <c r="N56" s="339">
        <f t="shared" si="9"/>
        <v>28.625</v>
      </c>
      <c r="O56" s="612">
        <f t="shared" si="14"/>
        <v>51.284999999999997</v>
      </c>
      <c r="P56" s="341">
        <v>2.8900000000000006</v>
      </c>
      <c r="Q56" s="342">
        <v>3</v>
      </c>
      <c r="R56" s="343"/>
      <c r="S56" s="344">
        <v>-7</v>
      </c>
      <c r="T56" s="345">
        <v>0</v>
      </c>
      <c r="U56" s="346"/>
      <c r="V56" s="341">
        <v>-0.93333333333333357</v>
      </c>
      <c r="W56" s="347">
        <v>2</v>
      </c>
      <c r="X56" s="343"/>
      <c r="Y56" s="344">
        <v>-1.9583333333333339</v>
      </c>
      <c r="Z56" s="345">
        <v>2</v>
      </c>
      <c r="AA56" s="346"/>
      <c r="AB56" s="341">
        <v>-5.5</v>
      </c>
      <c r="AC56" s="347">
        <v>1</v>
      </c>
      <c r="AD56" s="343"/>
      <c r="AE56" s="344">
        <v>-5.15</v>
      </c>
      <c r="AF56" s="345">
        <v>1</v>
      </c>
      <c r="AG56" s="346"/>
      <c r="AH56" s="341">
        <v>-4.9000000000000004</v>
      </c>
      <c r="AI56" s="347">
        <v>1</v>
      </c>
      <c r="AJ56" s="343"/>
      <c r="AK56" s="344">
        <v>-5.2727272727272725</v>
      </c>
      <c r="AL56" s="345">
        <v>1</v>
      </c>
      <c r="AM56" s="346"/>
      <c r="AN56" s="341">
        <v>17.666666666666668</v>
      </c>
      <c r="AO56" s="347">
        <v>3</v>
      </c>
      <c r="AP56" s="343">
        <v>5</v>
      </c>
      <c r="AQ56" s="344">
        <v>12.3125</v>
      </c>
      <c r="AR56" s="345">
        <v>3</v>
      </c>
      <c r="AS56" s="346"/>
      <c r="AT56" s="341">
        <v>-2.6166666666666671</v>
      </c>
      <c r="AU56" s="347">
        <v>2</v>
      </c>
      <c r="AV56" s="343"/>
      <c r="AW56" s="344">
        <v>-5.45</v>
      </c>
      <c r="AX56" s="345">
        <v>1</v>
      </c>
      <c r="AY56" s="346"/>
      <c r="AZ56" s="341">
        <v>0.6800000000000006</v>
      </c>
      <c r="BA56" s="347">
        <v>2</v>
      </c>
      <c r="BB56" s="343"/>
      <c r="BC56" s="344">
        <v>-0.25999999999999979</v>
      </c>
      <c r="BD56" s="345">
        <v>2</v>
      </c>
      <c r="BE56" s="346"/>
      <c r="BF56" s="341">
        <v>-5.6</v>
      </c>
      <c r="BG56" s="347">
        <v>1</v>
      </c>
      <c r="BH56" s="343"/>
      <c r="BI56" s="344">
        <v>-1.0400000000000009</v>
      </c>
      <c r="BJ56" s="348">
        <v>2</v>
      </c>
      <c r="BK56" s="346"/>
      <c r="BL56" s="341">
        <v>-2.8055555555555554</v>
      </c>
      <c r="BM56" s="347">
        <v>2</v>
      </c>
      <c r="BN56" s="343"/>
      <c r="BO56" s="344">
        <v>9.0181818181818194</v>
      </c>
      <c r="BP56" s="348">
        <v>3</v>
      </c>
      <c r="BQ56" s="346"/>
      <c r="BR56" s="341">
        <v>4.9461538461538446</v>
      </c>
      <c r="BS56" s="347">
        <v>3</v>
      </c>
      <c r="BT56" s="343"/>
      <c r="BU56" s="344">
        <v>-1.8888888888888893</v>
      </c>
      <c r="BV56" s="345">
        <v>2</v>
      </c>
      <c r="BW56" s="346"/>
      <c r="BX56" s="344">
        <f t="shared" si="15"/>
        <v>-2.8620027195027209</v>
      </c>
      <c r="BY56" s="345">
        <f t="shared" si="16"/>
        <v>37</v>
      </c>
      <c r="BZ56" s="346">
        <f t="shared" si="17"/>
        <v>5</v>
      </c>
      <c r="CA56" s="56"/>
      <c r="DZ56" s="57"/>
      <c r="EA56" s="57"/>
      <c r="EH56" s="54"/>
      <c r="EI56" s="54"/>
    </row>
    <row r="57" spans="1:139" x14ac:dyDescent="0.2">
      <c r="A57" s="351">
        <f t="shared" si="10"/>
        <v>12</v>
      </c>
      <c r="B57" s="351">
        <f t="shared" si="11"/>
        <v>44</v>
      </c>
      <c r="C57" s="351">
        <v>7</v>
      </c>
      <c r="D57" s="402" t="str">
        <f>INDEX(Players!B:B,MATCH(E57,Players!F:F,0))</f>
        <v>C</v>
      </c>
      <c r="E57" s="337" t="s">
        <v>351</v>
      </c>
      <c r="F57" s="349">
        <f t="shared" si="12"/>
        <v>30.550210955710952</v>
      </c>
      <c r="G57" s="62">
        <f t="shared" si="13"/>
        <v>34</v>
      </c>
      <c r="H57" s="349">
        <v>-5.1538461538461533</v>
      </c>
      <c r="I57" s="158">
        <v>1</v>
      </c>
      <c r="J57" s="612">
        <f>INDEX(Players!A:A,MATCH(E57,Players!F:F,0))</f>
        <v>-26.675000000000001</v>
      </c>
      <c r="K57" s="339">
        <f t="shared" si="8"/>
        <v>10</v>
      </c>
      <c r="L57" s="340"/>
      <c r="M57" s="340">
        <f>INDEX(Table!L:L,MATCH(E57,Table!F:F,0))</f>
        <v>28.125</v>
      </c>
      <c r="N57" s="339">
        <f t="shared" si="9"/>
        <v>38.125</v>
      </c>
      <c r="O57" s="612">
        <f t="shared" si="14"/>
        <v>11.45</v>
      </c>
      <c r="P57" s="341">
        <v>-2.0500000000000007</v>
      </c>
      <c r="Q57" s="342">
        <v>2</v>
      </c>
      <c r="R57" s="343"/>
      <c r="S57" s="344">
        <v>-5.7</v>
      </c>
      <c r="T57" s="345">
        <v>1</v>
      </c>
      <c r="U57" s="346"/>
      <c r="V57" s="341">
        <v>-3.0166666666666666</v>
      </c>
      <c r="W57" s="347">
        <v>2</v>
      </c>
      <c r="X57" s="343"/>
      <c r="Y57" s="344">
        <v>8.8055555555555554</v>
      </c>
      <c r="Z57" s="345">
        <v>3</v>
      </c>
      <c r="AA57" s="346"/>
      <c r="AB57" s="341">
        <v>14.581818181818182</v>
      </c>
      <c r="AC57" s="347">
        <v>3</v>
      </c>
      <c r="AD57" s="343">
        <v>5</v>
      </c>
      <c r="AE57" s="344">
        <v>-1.6068376068376065</v>
      </c>
      <c r="AF57" s="345">
        <v>2</v>
      </c>
      <c r="AG57" s="346"/>
      <c r="AH57" s="341">
        <v>-5.6363636363636367</v>
      </c>
      <c r="AI57" s="347">
        <v>1</v>
      </c>
      <c r="AJ57" s="343"/>
      <c r="AK57" s="344">
        <v>-7</v>
      </c>
      <c r="AL57" s="345">
        <v>0</v>
      </c>
      <c r="AM57" s="346"/>
      <c r="AN57" s="341">
        <v>24.271666666666665</v>
      </c>
      <c r="AO57" s="347">
        <v>3</v>
      </c>
      <c r="AP57" s="343">
        <v>5</v>
      </c>
      <c r="AQ57" s="344">
        <v>13.125</v>
      </c>
      <c r="AR57" s="345">
        <v>3</v>
      </c>
      <c r="AS57" s="346"/>
      <c r="AT57" s="341">
        <v>-7</v>
      </c>
      <c r="AU57" s="347">
        <v>0</v>
      </c>
      <c r="AV57" s="343"/>
      <c r="AW57" s="344">
        <v>-1.2424999999999997</v>
      </c>
      <c r="AX57" s="345">
        <v>2</v>
      </c>
      <c r="AY57" s="346"/>
      <c r="AZ57" s="341">
        <v>2.375</v>
      </c>
      <c r="BA57" s="347">
        <v>2</v>
      </c>
      <c r="BB57" s="343"/>
      <c r="BC57" s="344">
        <v>13.349999999999998</v>
      </c>
      <c r="BD57" s="345">
        <v>3</v>
      </c>
      <c r="BE57" s="346"/>
      <c r="BF57" s="341">
        <v>-5.2</v>
      </c>
      <c r="BG57" s="347">
        <v>1</v>
      </c>
      <c r="BH57" s="343"/>
      <c r="BI57" s="344">
        <v>-4.9000000000000004</v>
      </c>
      <c r="BJ57" s="348">
        <v>1</v>
      </c>
      <c r="BK57" s="346"/>
      <c r="BL57" s="341">
        <v>-7</v>
      </c>
      <c r="BM57" s="347">
        <v>0</v>
      </c>
      <c r="BN57" s="343"/>
      <c r="BO57" s="344">
        <v>14.932000000000002</v>
      </c>
      <c r="BP57" s="348">
        <v>3</v>
      </c>
      <c r="BQ57" s="346"/>
      <c r="BR57" s="341">
        <v>-5.384615384615385</v>
      </c>
      <c r="BS57" s="347">
        <v>1</v>
      </c>
      <c r="BT57" s="343"/>
      <c r="BU57" s="344">
        <v>-5.1538461538461533</v>
      </c>
      <c r="BV57" s="345">
        <v>1</v>
      </c>
      <c r="BW57" s="346"/>
      <c r="BX57" s="344">
        <f t="shared" si="15"/>
        <v>30.550210955710948</v>
      </c>
      <c r="BY57" s="345">
        <f t="shared" si="16"/>
        <v>34</v>
      </c>
      <c r="BZ57" s="346">
        <f t="shared" si="17"/>
        <v>10</v>
      </c>
      <c r="CA57" s="56"/>
      <c r="DZ57" s="57"/>
      <c r="EA57" s="57"/>
      <c r="EH57" s="54"/>
      <c r="EI57" s="54"/>
    </row>
    <row r="58" spans="1:139" x14ac:dyDescent="0.2">
      <c r="A58" s="351">
        <f t="shared" si="10"/>
        <v>61</v>
      </c>
      <c r="B58" s="351">
        <f t="shared" si="11"/>
        <v>34</v>
      </c>
      <c r="C58" s="351">
        <v>61</v>
      </c>
      <c r="D58" s="402" t="str">
        <f>INDEX(Players!B:B,MATCH(E58,Players!F:F,0))</f>
        <v>C</v>
      </c>
      <c r="E58" s="337" t="s">
        <v>333</v>
      </c>
      <c r="F58" s="349">
        <f t="shared" si="12"/>
        <v>-77.17</v>
      </c>
      <c r="G58" s="62">
        <f t="shared" si="13"/>
        <v>15</v>
      </c>
      <c r="H58" s="349">
        <v>-3.8</v>
      </c>
      <c r="I58" s="158">
        <v>1</v>
      </c>
      <c r="J58" s="612">
        <f>INDEX(Players!A:A,MATCH(E58,Players!F:F,0))</f>
        <v>-20</v>
      </c>
      <c r="K58" s="339">
        <f t="shared" si="8"/>
        <v>0</v>
      </c>
      <c r="L58" s="340"/>
      <c r="M58" s="340">
        <f>INDEX(Table!L:L,MATCH(E58,Table!F:F,0))</f>
        <v>0</v>
      </c>
      <c r="N58" s="339">
        <f t="shared" si="9"/>
        <v>0</v>
      </c>
      <c r="O58" s="612">
        <f t="shared" si="14"/>
        <v>-20</v>
      </c>
      <c r="P58" s="341">
        <v>-3.7</v>
      </c>
      <c r="Q58" s="342">
        <v>1</v>
      </c>
      <c r="R58" s="343"/>
      <c r="S58" s="344">
        <v>-3.4</v>
      </c>
      <c r="T58" s="345">
        <v>1</v>
      </c>
      <c r="U58" s="346"/>
      <c r="V58" s="341">
        <v>-3.4</v>
      </c>
      <c r="W58" s="347">
        <v>1</v>
      </c>
      <c r="X58" s="343"/>
      <c r="Y58" s="344">
        <v>-2.8</v>
      </c>
      <c r="Z58" s="345">
        <v>1</v>
      </c>
      <c r="AA58" s="346"/>
      <c r="AB58" s="341">
        <v>-3.6</v>
      </c>
      <c r="AC58" s="347">
        <v>1</v>
      </c>
      <c r="AD58" s="343"/>
      <c r="AE58" s="344">
        <v>-7</v>
      </c>
      <c r="AF58" s="345">
        <v>0</v>
      </c>
      <c r="AG58" s="346"/>
      <c r="AH58" s="341">
        <v>-3.6</v>
      </c>
      <c r="AI58" s="347">
        <v>1</v>
      </c>
      <c r="AJ58" s="343"/>
      <c r="AK58" s="344">
        <v>-3.6</v>
      </c>
      <c r="AL58" s="345">
        <v>1</v>
      </c>
      <c r="AM58" s="346"/>
      <c r="AN58" s="341">
        <v>10.48</v>
      </c>
      <c r="AO58" s="347">
        <v>2</v>
      </c>
      <c r="AP58" s="343"/>
      <c r="AQ58" s="344">
        <v>-7</v>
      </c>
      <c r="AR58" s="345">
        <v>0</v>
      </c>
      <c r="AS58" s="346"/>
      <c r="AT58" s="341">
        <v>-7</v>
      </c>
      <c r="AU58" s="347">
        <v>0</v>
      </c>
      <c r="AV58" s="343"/>
      <c r="AW58" s="344">
        <v>-3.6</v>
      </c>
      <c r="AX58" s="345">
        <v>1</v>
      </c>
      <c r="AY58" s="346"/>
      <c r="AZ58" s="341">
        <v>-3</v>
      </c>
      <c r="BA58" s="347">
        <v>1</v>
      </c>
      <c r="BB58" s="343"/>
      <c r="BC58" s="344">
        <v>-7</v>
      </c>
      <c r="BD58" s="345">
        <v>0</v>
      </c>
      <c r="BE58" s="346"/>
      <c r="BF58" s="341">
        <v>-3.3</v>
      </c>
      <c r="BG58" s="347">
        <v>1</v>
      </c>
      <c r="BH58" s="343"/>
      <c r="BI58" s="344">
        <v>-7</v>
      </c>
      <c r="BJ58" s="348">
        <v>0</v>
      </c>
      <c r="BK58" s="346"/>
      <c r="BL58" s="341">
        <v>-7</v>
      </c>
      <c r="BM58" s="347">
        <v>0</v>
      </c>
      <c r="BN58" s="343"/>
      <c r="BO58" s="344">
        <v>-4.55</v>
      </c>
      <c r="BP58" s="348">
        <v>1</v>
      </c>
      <c r="BQ58" s="346"/>
      <c r="BR58" s="341">
        <v>-3.3</v>
      </c>
      <c r="BS58" s="347">
        <v>1</v>
      </c>
      <c r="BT58" s="343"/>
      <c r="BU58" s="344">
        <v>-3.8</v>
      </c>
      <c r="BV58" s="345">
        <v>1</v>
      </c>
      <c r="BW58" s="346"/>
      <c r="BX58" s="344">
        <f t="shared" si="15"/>
        <v>-77.17000000000003</v>
      </c>
      <c r="BY58" s="345">
        <f t="shared" si="16"/>
        <v>15</v>
      </c>
      <c r="BZ58" s="346">
        <f t="shared" si="17"/>
        <v>0</v>
      </c>
      <c r="CA58" s="56"/>
      <c r="DZ58" s="57"/>
      <c r="EA58" s="57"/>
      <c r="EH58" s="54"/>
      <c r="EI58" s="54"/>
    </row>
    <row r="59" spans="1:139" x14ac:dyDescent="0.2">
      <c r="A59" s="351">
        <f t="shared" si="10"/>
        <v>54</v>
      </c>
      <c r="B59" s="351">
        <f t="shared" si="11"/>
        <v>47</v>
      </c>
      <c r="C59" s="351">
        <v>53</v>
      </c>
      <c r="D59" s="402" t="str">
        <f>INDEX(Players!B:B,MATCH(E59,Players!F:F,0))</f>
        <v>C</v>
      </c>
      <c r="E59" s="337" t="s">
        <v>353</v>
      </c>
      <c r="F59" s="349">
        <f t="shared" si="12"/>
        <v>-54.732575757575759</v>
      </c>
      <c r="G59" s="62">
        <f t="shared" si="13"/>
        <v>20</v>
      </c>
      <c r="H59" s="349">
        <v>-7</v>
      </c>
      <c r="I59" s="158">
        <v>0</v>
      </c>
      <c r="J59" s="612">
        <f>INDEX(Players!A:A,MATCH(E59,Players!F:F,0))</f>
        <v>5</v>
      </c>
      <c r="K59" s="339">
        <f t="shared" si="8"/>
        <v>0</v>
      </c>
      <c r="L59" s="340"/>
      <c r="M59" s="340">
        <f>INDEX(Table!L:L,MATCH(E59,Table!F:F,0))</f>
        <v>0</v>
      </c>
      <c r="N59" s="339">
        <f t="shared" si="9"/>
        <v>0</v>
      </c>
      <c r="O59" s="612">
        <f t="shared" si="14"/>
        <v>5</v>
      </c>
      <c r="P59" s="341">
        <v>-7</v>
      </c>
      <c r="Q59" s="342">
        <v>0</v>
      </c>
      <c r="R59" s="343"/>
      <c r="S59" s="344">
        <v>-7</v>
      </c>
      <c r="T59" s="345">
        <v>0</v>
      </c>
      <c r="U59" s="346"/>
      <c r="V59" s="341">
        <v>-5.0909090909090908</v>
      </c>
      <c r="W59" s="347">
        <v>1</v>
      </c>
      <c r="X59" s="343"/>
      <c r="Y59" s="344">
        <v>-5.5</v>
      </c>
      <c r="Z59" s="345">
        <v>1</v>
      </c>
      <c r="AA59" s="346"/>
      <c r="AB59" s="341">
        <v>-3.6</v>
      </c>
      <c r="AC59" s="347">
        <v>1</v>
      </c>
      <c r="AD59" s="343"/>
      <c r="AE59" s="344">
        <v>-3</v>
      </c>
      <c r="AF59" s="345">
        <v>1</v>
      </c>
      <c r="AG59" s="346"/>
      <c r="AH59" s="341">
        <v>4.4000000000000004</v>
      </c>
      <c r="AI59" s="347">
        <v>2</v>
      </c>
      <c r="AJ59" s="343"/>
      <c r="AK59" s="344">
        <v>-4.9000000000000004</v>
      </c>
      <c r="AL59" s="345">
        <v>1</v>
      </c>
      <c r="AM59" s="346"/>
      <c r="AN59" s="341">
        <v>-5.1666666666666661</v>
      </c>
      <c r="AO59" s="347">
        <v>1</v>
      </c>
      <c r="AP59" s="343"/>
      <c r="AQ59" s="344">
        <v>-7</v>
      </c>
      <c r="AR59" s="345">
        <v>0</v>
      </c>
      <c r="AS59" s="346"/>
      <c r="AT59" s="341">
        <v>-4.5999999999999996</v>
      </c>
      <c r="AU59" s="347">
        <v>1</v>
      </c>
      <c r="AV59" s="343"/>
      <c r="AW59" s="344">
        <v>15.8</v>
      </c>
      <c r="AX59" s="345">
        <v>3</v>
      </c>
      <c r="AY59" s="346"/>
      <c r="AZ59" s="341">
        <v>-7</v>
      </c>
      <c r="BA59" s="347">
        <v>0</v>
      </c>
      <c r="BB59" s="343"/>
      <c r="BC59" s="344">
        <v>3.2375000000000007</v>
      </c>
      <c r="BD59" s="345">
        <v>2</v>
      </c>
      <c r="BE59" s="346"/>
      <c r="BF59" s="341">
        <v>-7</v>
      </c>
      <c r="BG59" s="347">
        <v>0</v>
      </c>
      <c r="BH59" s="343"/>
      <c r="BI59" s="344">
        <v>-2.5000000000000355E-2</v>
      </c>
      <c r="BJ59" s="348">
        <v>2</v>
      </c>
      <c r="BK59" s="346"/>
      <c r="BL59" s="341">
        <v>1.7874999999999996</v>
      </c>
      <c r="BM59" s="347">
        <v>2</v>
      </c>
      <c r="BN59" s="343"/>
      <c r="BO59" s="344">
        <v>-7</v>
      </c>
      <c r="BP59" s="348">
        <v>0</v>
      </c>
      <c r="BQ59" s="346"/>
      <c r="BR59" s="341">
        <v>0.92500000000000071</v>
      </c>
      <c r="BS59" s="347">
        <v>2</v>
      </c>
      <c r="BT59" s="343"/>
      <c r="BU59" s="344">
        <v>-7</v>
      </c>
      <c r="BV59" s="345">
        <v>0</v>
      </c>
      <c r="BW59" s="346"/>
      <c r="BX59" s="344">
        <f t="shared" si="15"/>
        <v>-54.732575757575759</v>
      </c>
      <c r="BY59" s="345">
        <f t="shared" si="16"/>
        <v>20</v>
      </c>
      <c r="BZ59" s="346">
        <f t="shared" si="17"/>
        <v>0</v>
      </c>
      <c r="CA59" s="56"/>
      <c r="DZ59" s="57"/>
      <c r="EA59" s="57"/>
      <c r="EH59" s="54"/>
      <c r="EI59" s="54"/>
    </row>
    <row r="60" spans="1:139" x14ac:dyDescent="0.2">
      <c r="A60" s="351">
        <f t="shared" si="10"/>
        <v>17</v>
      </c>
      <c r="B60" s="351">
        <f t="shared" si="11"/>
        <v>7</v>
      </c>
      <c r="C60" s="351">
        <v>19</v>
      </c>
      <c r="D60" s="402" t="str">
        <f>INDEX(Players!B:B,MATCH(E60,Players!F:F,0))</f>
        <v>B</v>
      </c>
      <c r="E60" s="337" t="s">
        <v>390</v>
      </c>
      <c r="F60" s="349">
        <f t="shared" si="12"/>
        <v>26.771365281183467</v>
      </c>
      <c r="G60" s="62">
        <f t="shared" si="13"/>
        <v>31</v>
      </c>
      <c r="H60" s="349">
        <v>19</v>
      </c>
      <c r="I60" s="158">
        <v>3</v>
      </c>
      <c r="J60" s="612">
        <f>INDEX(Players!A:A,MATCH(E60,Players!F:F,0))</f>
        <v>-10.309999999999999</v>
      </c>
      <c r="K60" s="339">
        <f t="shared" si="8"/>
        <v>7.5</v>
      </c>
      <c r="L60" s="340"/>
      <c r="M60" s="340">
        <f>INDEX(Table!L:L,MATCH(E60,Table!F:F,0))</f>
        <v>27</v>
      </c>
      <c r="N60" s="339">
        <f t="shared" si="9"/>
        <v>34.5</v>
      </c>
      <c r="O60" s="612">
        <f t="shared" si="14"/>
        <v>24.19</v>
      </c>
      <c r="P60" s="341">
        <v>-7</v>
      </c>
      <c r="Q60" s="342">
        <v>0</v>
      </c>
      <c r="R60" s="343"/>
      <c r="S60" s="344">
        <v>24.062000000000001</v>
      </c>
      <c r="T60" s="345">
        <v>3</v>
      </c>
      <c r="U60" s="346">
        <v>5</v>
      </c>
      <c r="V60" s="341">
        <v>6.3018181818181844</v>
      </c>
      <c r="W60" s="347">
        <v>3</v>
      </c>
      <c r="X60" s="343"/>
      <c r="Y60" s="344">
        <v>-5.916666666666667</v>
      </c>
      <c r="Z60" s="345">
        <v>1</v>
      </c>
      <c r="AA60" s="346"/>
      <c r="AB60" s="341">
        <v>-3.7</v>
      </c>
      <c r="AC60" s="347">
        <v>1</v>
      </c>
      <c r="AD60" s="343"/>
      <c r="AE60" s="344">
        <v>-3.8</v>
      </c>
      <c r="AF60" s="345">
        <v>1</v>
      </c>
      <c r="AG60" s="346"/>
      <c r="AH60" s="341">
        <v>-7</v>
      </c>
      <c r="AI60" s="347">
        <v>0</v>
      </c>
      <c r="AJ60" s="343"/>
      <c r="AK60" s="344">
        <v>18.232307692307689</v>
      </c>
      <c r="AL60" s="345">
        <v>3</v>
      </c>
      <c r="AM60" s="346">
        <v>2.5</v>
      </c>
      <c r="AN60" s="341">
        <v>-6.666666666666643E-2</v>
      </c>
      <c r="AO60" s="347">
        <v>2</v>
      </c>
      <c r="AP60" s="343"/>
      <c r="AQ60" s="344">
        <v>9.5</v>
      </c>
      <c r="AR60" s="345">
        <v>3</v>
      </c>
      <c r="AS60" s="346"/>
      <c r="AT60" s="341">
        <v>-5.4285714285714288</v>
      </c>
      <c r="AU60" s="347">
        <v>1</v>
      </c>
      <c r="AV60" s="343"/>
      <c r="AW60" s="344">
        <v>-5.45</v>
      </c>
      <c r="AX60" s="345">
        <v>1</v>
      </c>
      <c r="AY60" s="346"/>
      <c r="AZ60" s="341">
        <v>6.0700000000000021</v>
      </c>
      <c r="BA60" s="347">
        <v>2</v>
      </c>
      <c r="BB60" s="343"/>
      <c r="BC60" s="344">
        <v>2.0800000000000018</v>
      </c>
      <c r="BD60" s="345">
        <v>2</v>
      </c>
      <c r="BE60" s="346"/>
      <c r="BF60" s="341">
        <v>-7</v>
      </c>
      <c r="BG60" s="347">
        <v>0</v>
      </c>
      <c r="BH60" s="343"/>
      <c r="BI60" s="344">
        <v>-7</v>
      </c>
      <c r="BJ60" s="348">
        <v>0</v>
      </c>
      <c r="BK60" s="346"/>
      <c r="BL60" s="341">
        <v>-0.8888888888888884</v>
      </c>
      <c r="BM60" s="347">
        <v>2</v>
      </c>
      <c r="BN60" s="343"/>
      <c r="BO60" s="344">
        <v>-1.1239669421487601</v>
      </c>
      <c r="BP60" s="348">
        <v>2</v>
      </c>
      <c r="BQ60" s="346"/>
      <c r="BR60" s="341">
        <v>-4.0999999999999996</v>
      </c>
      <c r="BS60" s="347">
        <v>1</v>
      </c>
      <c r="BT60" s="343"/>
      <c r="BU60" s="344">
        <v>19</v>
      </c>
      <c r="BV60" s="345">
        <v>3</v>
      </c>
      <c r="BW60" s="346"/>
      <c r="BX60" s="344">
        <f t="shared" si="15"/>
        <v>26.771365281183463</v>
      </c>
      <c r="BY60" s="345">
        <f t="shared" si="16"/>
        <v>31</v>
      </c>
      <c r="BZ60" s="346">
        <f t="shared" si="17"/>
        <v>7.5</v>
      </c>
      <c r="CA60" s="56"/>
      <c r="DZ60" s="57"/>
      <c r="EA60" s="57"/>
      <c r="EH60" s="54"/>
      <c r="EI60" s="54"/>
    </row>
    <row r="61" spans="1:139" x14ac:dyDescent="0.2">
      <c r="A61" s="351">
        <f t="shared" si="10"/>
        <v>35</v>
      </c>
      <c r="B61" s="351">
        <f t="shared" si="11"/>
        <v>47</v>
      </c>
      <c r="C61" s="351">
        <v>29</v>
      </c>
      <c r="D61" s="402" t="str">
        <f>INDEX(Players!B:B,MATCH(E61,Players!F:F,0))</f>
        <v>A</v>
      </c>
      <c r="E61" s="337" t="s">
        <v>321</v>
      </c>
      <c r="F61" s="349">
        <f t="shared" si="12"/>
        <v>-23.636212121212111</v>
      </c>
      <c r="G61" s="62">
        <f t="shared" si="13"/>
        <v>29</v>
      </c>
      <c r="H61" s="349">
        <v>-7</v>
      </c>
      <c r="I61" s="158">
        <v>0</v>
      </c>
      <c r="J61" s="612">
        <f>INDEX(Players!A:A,MATCH(E61,Players!F:F,0))</f>
        <v>11.18</v>
      </c>
      <c r="K61" s="339">
        <f t="shared" si="8"/>
        <v>0</v>
      </c>
      <c r="L61" s="340"/>
      <c r="M61" s="340">
        <f>INDEX(Table!L:L,MATCH(E61,Table!F:F,0))</f>
        <v>0</v>
      </c>
      <c r="N61" s="339">
        <f t="shared" si="9"/>
        <v>0</v>
      </c>
      <c r="O61" s="612">
        <f t="shared" si="14"/>
        <v>11.18</v>
      </c>
      <c r="P61" s="341">
        <v>-7</v>
      </c>
      <c r="Q61" s="342">
        <v>0</v>
      </c>
      <c r="R61" s="343"/>
      <c r="S61" s="344">
        <v>7.6400000000000006</v>
      </c>
      <c r="T61" s="345">
        <v>2</v>
      </c>
      <c r="U61" s="346"/>
      <c r="V61" s="341">
        <v>-2.9818181818181815</v>
      </c>
      <c r="W61" s="347">
        <v>2</v>
      </c>
      <c r="X61" s="343"/>
      <c r="Y61" s="344">
        <v>-4.625</v>
      </c>
      <c r="Z61" s="345">
        <v>1</v>
      </c>
      <c r="AA61" s="346"/>
      <c r="AB61" s="341">
        <v>-5.0999999999999996</v>
      </c>
      <c r="AC61" s="347">
        <v>1</v>
      </c>
      <c r="AD61" s="343"/>
      <c r="AE61" s="344">
        <v>-5.0909090909090908</v>
      </c>
      <c r="AF61" s="345">
        <v>1</v>
      </c>
      <c r="AG61" s="346"/>
      <c r="AH61" s="341">
        <v>0.61249999999999982</v>
      </c>
      <c r="AI61" s="347">
        <v>2</v>
      </c>
      <c r="AJ61" s="343"/>
      <c r="AK61" s="344">
        <v>-0.71999999999999886</v>
      </c>
      <c r="AL61" s="345">
        <v>2</v>
      </c>
      <c r="AM61" s="346"/>
      <c r="AN61" s="341">
        <v>0.40000000000000036</v>
      </c>
      <c r="AO61" s="347">
        <v>2</v>
      </c>
      <c r="AP61" s="343"/>
      <c r="AQ61" s="344">
        <v>12.3125</v>
      </c>
      <c r="AR61" s="345">
        <v>3</v>
      </c>
      <c r="AS61" s="346"/>
      <c r="AT61" s="341">
        <v>2.0909090909090917</v>
      </c>
      <c r="AU61" s="347">
        <v>2</v>
      </c>
      <c r="AV61" s="343"/>
      <c r="AW61" s="344">
        <v>-9.4999999999998863E-2</v>
      </c>
      <c r="AX61" s="345">
        <v>2</v>
      </c>
      <c r="AY61" s="346"/>
      <c r="AZ61" s="341">
        <v>-4.8499999999999996</v>
      </c>
      <c r="BA61" s="347">
        <v>1</v>
      </c>
      <c r="BB61" s="343"/>
      <c r="BC61" s="344">
        <v>3.1999999999999993</v>
      </c>
      <c r="BD61" s="345">
        <v>2</v>
      </c>
      <c r="BE61" s="346"/>
      <c r="BF61" s="341">
        <v>-5.1666666666666661</v>
      </c>
      <c r="BG61" s="347">
        <v>1</v>
      </c>
      <c r="BH61" s="343"/>
      <c r="BI61" s="344">
        <v>-5.2727272727272725</v>
      </c>
      <c r="BJ61" s="348">
        <v>1</v>
      </c>
      <c r="BK61" s="346"/>
      <c r="BL61" s="341">
        <v>0.40999999999999925</v>
      </c>
      <c r="BM61" s="347">
        <v>2</v>
      </c>
      <c r="BN61" s="343"/>
      <c r="BO61" s="344">
        <v>4.5999999999999996</v>
      </c>
      <c r="BP61" s="348">
        <v>2</v>
      </c>
      <c r="BQ61" s="346"/>
      <c r="BR61" s="341">
        <v>-7</v>
      </c>
      <c r="BS61" s="347">
        <v>0</v>
      </c>
      <c r="BT61" s="343"/>
      <c r="BU61" s="344">
        <v>-7</v>
      </c>
      <c r="BV61" s="345">
        <v>0</v>
      </c>
      <c r="BW61" s="346"/>
      <c r="BX61" s="344">
        <f t="shared" si="15"/>
        <v>-23.636212121212115</v>
      </c>
      <c r="BY61" s="345">
        <f t="shared" si="16"/>
        <v>29</v>
      </c>
      <c r="BZ61" s="346">
        <f t="shared" si="17"/>
        <v>0</v>
      </c>
      <c r="DZ61" s="57"/>
      <c r="EA61" s="57"/>
      <c r="EH61" s="54"/>
      <c r="EI61" s="54"/>
    </row>
    <row r="62" spans="1:139" x14ac:dyDescent="0.2">
      <c r="A62" s="351">
        <f t="shared" si="10"/>
        <v>23</v>
      </c>
      <c r="B62" s="351">
        <f>_xlfn.RANK.EQ(H62,thisweekscore,0)</f>
        <v>3</v>
      </c>
      <c r="C62" s="351">
        <v>31</v>
      </c>
      <c r="D62" s="402" t="str">
        <f>INDEX(Players!B:B,MATCH(E62,Players!F:F,0))</f>
        <v>A</v>
      </c>
      <c r="E62" s="337" t="s">
        <v>368</v>
      </c>
      <c r="F62" s="349">
        <f t="shared" ref="F62:G66" si="18">+P62+S62+V62+Y62+AB62+AE62+AH62+AK62+AN62+AQ62+AT62+AW62+AZ62+BC62+BF62+BI62+BL62+BO62+BR62+BU62</f>
        <v>13.593547452547455</v>
      </c>
      <c r="G62" s="62">
        <f t="shared" si="18"/>
        <v>31</v>
      </c>
      <c r="H62" s="349">
        <v>26.65</v>
      </c>
      <c r="I62" s="158">
        <v>3</v>
      </c>
      <c r="J62" s="612">
        <f>INDEX(Players!A:A,MATCH(E62,Players!F:F,0))</f>
        <v>-15.515000000000001</v>
      </c>
      <c r="K62" s="339">
        <f>R62+U62+X62+AA62+AD62+AG62+AJ62+AM62+AP62+AS62+AV62+AY62+BB62+BE62+BH62+BK62+BN62+BQ62+BT62+BW62</f>
        <v>15</v>
      </c>
      <c r="L62" s="340"/>
      <c r="M62" s="340">
        <f>INDEX(Table!L:L,MATCH(E62,Table!F:F,0))</f>
        <v>40.5</v>
      </c>
      <c r="N62" s="339">
        <f>L62+K62+M62</f>
        <v>55.5</v>
      </c>
      <c r="O62" s="612">
        <f>N62+J62</f>
        <v>39.984999999999999</v>
      </c>
      <c r="P62" s="341">
        <v>13.5</v>
      </c>
      <c r="Q62" s="342">
        <v>2</v>
      </c>
      <c r="R62" s="343">
        <v>5</v>
      </c>
      <c r="S62" s="344">
        <v>-7</v>
      </c>
      <c r="T62" s="345">
        <v>0</v>
      </c>
      <c r="U62" s="346"/>
      <c r="V62" s="341">
        <v>-7</v>
      </c>
      <c r="W62" s="347">
        <v>0</v>
      </c>
      <c r="X62" s="343"/>
      <c r="Y62" s="344">
        <v>-2.545454545454545</v>
      </c>
      <c r="Z62" s="345">
        <v>2</v>
      </c>
      <c r="AA62" s="346"/>
      <c r="AB62" s="341">
        <v>3.4700000000000024</v>
      </c>
      <c r="AC62" s="347">
        <v>2</v>
      </c>
      <c r="AD62" s="343"/>
      <c r="AE62" s="344">
        <v>-7</v>
      </c>
      <c r="AF62" s="345">
        <v>0</v>
      </c>
      <c r="AG62" s="346"/>
      <c r="AH62" s="341">
        <v>-1.0272727272727273</v>
      </c>
      <c r="AI62" s="347">
        <v>2</v>
      </c>
      <c r="AJ62" s="343"/>
      <c r="AK62" s="344">
        <v>-5.5</v>
      </c>
      <c r="AL62" s="345">
        <v>1</v>
      </c>
      <c r="AM62" s="346"/>
      <c r="AN62" s="341">
        <v>-5.0999999999999996</v>
      </c>
      <c r="AO62" s="347">
        <v>1</v>
      </c>
      <c r="AP62" s="343"/>
      <c r="AQ62" s="344">
        <v>20</v>
      </c>
      <c r="AR62" s="345">
        <v>3</v>
      </c>
      <c r="AS62" s="346">
        <v>5</v>
      </c>
      <c r="AT62" s="341">
        <v>-2</v>
      </c>
      <c r="AU62" s="347">
        <v>2</v>
      </c>
      <c r="AV62" s="343"/>
      <c r="AW62" s="344">
        <v>10.920999999999999</v>
      </c>
      <c r="AX62" s="345">
        <v>3</v>
      </c>
      <c r="AY62" s="346"/>
      <c r="AZ62" s="341">
        <v>-1.625</v>
      </c>
      <c r="BA62" s="347">
        <v>2</v>
      </c>
      <c r="BB62" s="343"/>
      <c r="BC62" s="344">
        <v>-0.75</v>
      </c>
      <c r="BD62" s="345">
        <v>2</v>
      </c>
      <c r="BE62" s="346"/>
      <c r="BF62" s="341">
        <v>-5.5</v>
      </c>
      <c r="BG62" s="347">
        <v>1</v>
      </c>
      <c r="BH62" s="343"/>
      <c r="BI62" s="344">
        <v>-5.0999999999999996</v>
      </c>
      <c r="BJ62" s="348">
        <v>1</v>
      </c>
      <c r="BK62" s="346"/>
      <c r="BL62" s="341">
        <v>-4.375</v>
      </c>
      <c r="BM62" s="347">
        <v>1</v>
      </c>
      <c r="BN62" s="343"/>
      <c r="BO62" s="344">
        <v>-5.15</v>
      </c>
      <c r="BP62" s="348">
        <v>1</v>
      </c>
      <c r="BQ62" s="346"/>
      <c r="BR62" s="341">
        <v>-1.2747252747252746</v>
      </c>
      <c r="BS62" s="347">
        <v>2</v>
      </c>
      <c r="BT62" s="343"/>
      <c r="BU62" s="344">
        <v>26.65</v>
      </c>
      <c r="BV62" s="345">
        <v>3</v>
      </c>
      <c r="BW62" s="346">
        <v>5</v>
      </c>
      <c r="BX62" s="344">
        <f t="shared" ref="BX62:BZ66" si="19">BU62+BR62+BO62+BL62+BI62+BF62+BC62+AZ62+AW62+AT62+AQ62+AN62+AK62+AH62+AE62+AB62+Y62+V62+S62+P62</f>
        <v>13.593547452547449</v>
      </c>
      <c r="BY62" s="345">
        <f t="shared" si="19"/>
        <v>31</v>
      </c>
      <c r="BZ62" s="346">
        <f t="shared" si="19"/>
        <v>15</v>
      </c>
      <c r="DZ62" s="57"/>
      <c r="EA62" s="57"/>
      <c r="EH62" s="54"/>
      <c r="EI62" s="54"/>
    </row>
    <row r="63" spans="1:139" x14ac:dyDescent="0.2">
      <c r="A63" s="351">
        <f t="shared" si="10"/>
        <v>27</v>
      </c>
      <c r="B63" s="351">
        <f>_xlfn.RANK.EQ(H63,thisweekscore,0)</f>
        <v>46</v>
      </c>
      <c r="C63" s="351">
        <v>23</v>
      </c>
      <c r="D63" s="402" t="str">
        <f>INDEX(Players!B:B,MATCH(E63,Players!F:F,0))</f>
        <v>B</v>
      </c>
      <c r="E63" s="337" t="s">
        <v>348</v>
      </c>
      <c r="F63" s="349">
        <f t="shared" si="18"/>
        <v>-6.5839702291172948</v>
      </c>
      <c r="G63" s="62">
        <f t="shared" si="18"/>
        <v>34</v>
      </c>
      <c r="H63" s="349">
        <v>-5.666666666666667</v>
      </c>
      <c r="I63" s="158">
        <v>1</v>
      </c>
      <c r="J63" s="612">
        <f>INDEX(Players!A:A,MATCH(E63,Players!F:F,0))</f>
        <v>42.125</v>
      </c>
      <c r="K63" s="339">
        <f>R63+U63+X63+AA63+AD63+AG63+AJ63+AM63+AP63+AS63+AV63+AY63+BB63+BE63+BH63+BK63+BN63+BQ63+BT63+BW63</f>
        <v>10</v>
      </c>
      <c r="L63" s="340"/>
      <c r="M63" s="340">
        <f>INDEX(Table!L:L,MATCH(E63,Table!F:F,0))</f>
        <v>6.75</v>
      </c>
      <c r="N63" s="339">
        <f>L63+K63+M63</f>
        <v>16.75</v>
      </c>
      <c r="O63" s="612">
        <f>N63+J63</f>
        <v>58.875</v>
      </c>
      <c r="P63" s="341">
        <v>17.480000000000004</v>
      </c>
      <c r="Q63" s="342">
        <v>3</v>
      </c>
      <c r="R63" s="343">
        <v>5</v>
      </c>
      <c r="S63" s="344">
        <v>-2.8888888888888893</v>
      </c>
      <c r="T63" s="345">
        <v>2</v>
      </c>
      <c r="U63" s="346"/>
      <c r="V63" s="341">
        <v>-2.2727272727272734</v>
      </c>
      <c r="W63" s="347">
        <v>2</v>
      </c>
      <c r="X63" s="343"/>
      <c r="Y63" s="344">
        <v>7.2727272727273196E-2</v>
      </c>
      <c r="Z63" s="345">
        <v>2</v>
      </c>
      <c r="AA63" s="346"/>
      <c r="AB63" s="341">
        <v>0.99000000000000021</v>
      </c>
      <c r="AC63" s="347">
        <v>2</v>
      </c>
      <c r="AD63" s="343"/>
      <c r="AE63" s="344">
        <v>-1.8928571428571423</v>
      </c>
      <c r="AF63" s="345">
        <v>2</v>
      </c>
      <c r="AG63" s="346"/>
      <c r="AH63" s="341">
        <v>7.0327272727272714</v>
      </c>
      <c r="AI63" s="347">
        <v>3</v>
      </c>
      <c r="AJ63" s="343"/>
      <c r="AK63" s="344">
        <v>0.1454545454545455</v>
      </c>
      <c r="AL63" s="345">
        <v>2</v>
      </c>
      <c r="AM63" s="346"/>
      <c r="AN63" s="341">
        <v>-7</v>
      </c>
      <c r="AO63" s="347">
        <v>0</v>
      </c>
      <c r="AP63" s="343"/>
      <c r="AQ63" s="344">
        <v>-5.5</v>
      </c>
      <c r="AR63" s="345">
        <v>1</v>
      </c>
      <c r="AS63" s="346"/>
      <c r="AT63" s="341">
        <v>-5.8181818181818183</v>
      </c>
      <c r="AU63" s="347">
        <v>1</v>
      </c>
      <c r="AV63" s="343"/>
      <c r="AW63" s="344">
        <v>-5.7</v>
      </c>
      <c r="AX63" s="345">
        <v>1</v>
      </c>
      <c r="AY63" s="346"/>
      <c r="AZ63" s="341">
        <v>1.6099999999999994</v>
      </c>
      <c r="BA63" s="347">
        <v>2</v>
      </c>
      <c r="BB63" s="343"/>
      <c r="BC63" s="344">
        <v>-4.9000000000000004</v>
      </c>
      <c r="BD63" s="345">
        <v>1</v>
      </c>
      <c r="BE63" s="346"/>
      <c r="BF63" s="341">
        <v>7.428571428571427</v>
      </c>
      <c r="BG63" s="347">
        <v>3</v>
      </c>
      <c r="BH63" s="343"/>
      <c r="BI63" s="344">
        <v>-5.6</v>
      </c>
      <c r="BJ63" s="348">
        <v>1</v>
      </c>
      <c r="BK63" s="346"/>
      <c r="BL63" s="341">
        <v>17.598076923076917</v>
      </c>
      <c r="BM63" s="347">
        <v>3</v>
      </c>
      <c r="BN63" s="343">
        <v>5</v>
      </c>
      <c r="BO63" s="344">
        <v>-5.7647058823529411</v>
      </c>
      <c r="BP63" s="348">
        <v>1</v>
      </c>
      <c r="BQ63" s="346"/>
      <c r="BR63" s="341">
        <v>-5.9375</v>
      </c>
      <c r="BS63" s="347">
        <v>1</v>
      </c>
      <c r="BT63" s="343"/>
      <c r="BU63" s="344">
        <v>-5.666666666666667</v>
      </c>
      <c r="BV63" s="345">
        <v>1</v>
      </c>
      <c r="BW63" s="346"/>
      <c r="BX63" s="344">
        <f t="shared" si="19"/>
        <v>-6.5839702291172983</v>
      </c>
      <c r="BY63" s="345">
        <f t="shared" si="19"/>
        <v>34</v>
      </c>
      <c r="BZ63" s="346">
        <f t="shared" si="19"/>
        <v>10</v>
      </c>
      <c r="DZ63" s="57"/>
      <c r="EA63" s="57"/>
      <c r="EH63" s="54"/>
      <c r="EI63" s="54"/>
    </row>
    <row r="64" spans="1:139" x14ac:dyDescent="0.2">
      <c r="A64" s="351">
        <f t="shared" si="10"/>
        <v>47</v>
      </c>
      <c r="B64" s="351">
        <f>_xlfn.RANK.EQ(H64,thisweekscore,0)</f>
        <v>19</v>
      </c>
      <c r="C64" s="351">
        <v>48</v>
      </c>
      <c r="D64" s="402" t="str">
        <f>INDEX(Players!B:B,MATCH(E64,Players!F:F,0))</f>
        <v>A</v>
      </c>
      <c r="E64" s="337" t="s">
        <v>324</v>
      </c>
      <c r="F64" s="349">
        <f t="shared" si="18"/>
        <v>-38.088096237096238</v>
      </c>
      <c r="G64" s="62">
        <f t="shared" si="18"/>
        <v>28</v>
      </c>
      <c r="H64" s="349">
        <v>1.3599999999999994</v>
      </c>
      <c r="I64" s="158">
        <v>2</v>
      </c>
      <c r="J64" s="612">
        <f>INDEX(Players!A:A,MATCH(E64,Players!F:F,0))</f>
        <v>13.740000000000002</v>
      </c>
      <c r="K64" s="339">
        <f>R64+U64+X64+AA64+AD64+AG64+AJ64+AM64+AP64+AS64+AV64+AY64+BB64+BE64+BH64+BK64+BN64+BQ64+BT64+BW64</f>
        <v>0</v>
      </c>
      <c r="L64" s="340"/>
      <c r="M64" s="340">
        <f>INDEX(Table!L:L,MATCH(E64,Table!F:F,0))</f>
        <v>0</v>
      </c>
      <c r="N64" s="339">
        <f>L64+K64+M64</f>
        <v>0</v>
      </c>
      <c r="O64" s="612">
        <f>N64+J64</f>
        <v>13.740000000000002</v>
      </c>
      <c r="P64" s="341">
        <v>-0.16000000000000014</v>
      </c>
      <c r="Q64" s="342">
        <v>2</v>
      </c>
      <c r="R64" s="343"/>
      <c r="S64" s="344">
        <v>-4.5999999999999996</v>
      </c>
      <c r="T64" s="345">
        <v>1</v>
      </c>
      <c r="U64" s="346"/>
      <c r="V64" s="341">
        <v>-5.0909090909090908</v>
      </c>
      <c r="W64" s="347">
        <v>1</v>
      </c>
      <c r="X64" s="343"/>
      <c r="Y64" s="344">
        <v>-5.0999999999999996</v>
      </c>
      <c r="Z64" s="345">
        <v>1</v>
      </c>
      <c r="AA64" s="346"/>
      <c r="AB64" s="341">
        <v>-4.625</v>
      </c>
      <c r="AC64" s="347">
        <v>1</v>
      </c>
      <c r="AD64" s="343"/>
      <c r="AE64" s="344">
        <v>-5.0909090909090908</v>
      </c>
      <c r="AF64" s="345">
        <v>1</v>
      </c>
      <c r="AG64" s="346"/>
      <c r="AH64" s="341">
        <v>3.59</v>
      </c>
      <c r="AI64" s="347">
        <v>2</v>
      </c>
      <c r="AJ64" s="343"/>
      <c r="AK64" s="344">
        <v>0.25999999999999979</v>
      </c>
      <c r="AL64" s="345">
        <v>2</v>
      </c>
      <c r="AM64" s="346"/>
      <c r="AN64" s="341">
        <v>-5.1666666666666661</v>
      </c>
      <c r="AO64" s="347">
        <v>1</v>
      </c>
      <c r="AP64" s="343"/>
      <c r="AQ64" s="344">
        <v>-1.5</v>
      </c>
      <c r="AR64" s="345">
        <v>2</v>
      </c>
      <c r="AS64" s="346"/>
      <c r="AT64" s="341">
        <v>-5.4285714285714288</v>
      </c>
      <c r="AU64" s="347">
        <v>1</v>
      </c>
      <c r="AV64" s="343"/>
      <c r="AW64" s="344">
        <v>-4.9000000000000004</v>
      </c>
      <c r="AX64" s="345">
        <v>1</v>
      </c>
      <c r="AY64" s="346"/>
      <c r="AZ64" s="341">
        <v>-7</v>
      </c>
      <c r="BA64" s="347">
        <v>0</v>
      </c>
      <c r="BB64" s="343"/>
      <c r="BC64" s="344">
        <v>20.224000000000004</v>
      </c>
      <c r="BD64" s="345">
        <v>3</v>
      </c>
      <c r="BE64" s="346"/>
      <c r="BF64" s="341">
        <v>-5.4285714285714288</v>
      </c>
      <c r="BG64" s="347">
        <v>1</v>
      </c>
      <c r="BH64" s="343"/>
      <c r="BI64" s="344">
        <v>-5.2727272727272725</v>
      </c>
      <c r="BJ64" s="348">
        <v>1</v>
      </c>
      <c r="BK64" s="346"/>
      <c r="BL64" s="341">
        <v>-5.0909090909090908</v>
      </c>
      <c r="BM64" s="347">
        <v>1</v>
      </c>
      <c r="BN64" s="343"/>
      <c r="BO64" s="344">
        <v>-9.0909090909091717E-2</v>
      </c>
      <c r="BP64" s="348">
        <v>2</v>
      </c>
      <c r="BQ64" s="346"/>
      <c r="BR64" s="341">
        <v>1.0230769230769248</v>
      </c>
      <c r="BS64" s="347">
        <v>2</v>
      </c>
      <c r="BT64" s="343"/>
      <c r="BU64" s="344">
        <v>1.3599999999999994</v>
      </c>
      <c r="BV64" s="345">
        <v>2</v>
      </c>
      <c r="BW64" s="346"/>
      <c r="BX64" s="344">
        <f t="shared" si="19"/>
        <v>-38.088096237096238</v>
      </c>
      <c r="BY64" s="345">
        <f t="shared" si="19"/>
        <v>28</v>
      </c>
      <c r="BZ64" s="346">
        <f t="shared" si="19"/>
        <v>0</v>
      </c>
      <c r="DZ64" s="57"/>
      <c r="EA64" s="57"/>
      <c r="EH64" s="54"/>
      <c r="EI64" s="54"/>
    </row>
    <row r="65" spans="1:139" x14ac:dyDescent="0.2">
      <c r="A65" s="351">
        <f t="shared" si="10"/>
        <v>38</v>
      </c>
      <c r="B65" s="351">
        <f>_xlfn.RANK.EQ(H65,thisweekscore,0)</f>
        <v>18</v>
      </c>
      <c r="C65" s="351">
        <v>39</v>
      </c>
      <c r="D65" s="402" t="str">
        <f>INDEX(Players!B:B,MATCH(E65,Players!F:F,0))</f>
        <v>B</v>
      </c>
      <c r="E65" s="337" t="s">
        <v>391</v>
      </c>
      <c r="F65" s="349">
        <f t="shared" si="18"/>
        <v>-26.577904040404029</v>
      </c>
      <c r="G65" s="62">
        <f t="shared" si="18"/>
        <v>21</v>
      </c>
      <c r="H65" s="349">
        <v>1.7749999999999986</v>
      </c>
      <c r="I65" s="158">
        <v>2</v>
      </c>
      <c r="J65" s="612">
        <f>INDEX(Players!A:A,MATCH(E65,Players!F:F,0))</f>
        <v>45.320000000000007</v>
      </c>
      <c r="K65" s="339">
        <f>R65+U65+X65+AA65+AD65+AG65+AJ65+AM65+AP65+AS65+AV65+AY65+BB65+BE65+BH65+BK65+BN65+BQ65+BT65+BW65</f>
        <v>5</v>
      </c>
      <c r="L65" s="340"/>
      <c r="M65" s="340">
        <f>INDEX(Table!L:L,MATCH(E65,Table!F:F,0))</f>
        <v>0</v>
      </c>
      <c r="N65" s="339">
        <f>L65+K65+M65</f>
        <v>5</v>
      </c>
      <c r="O65" s="612">
        <f>N65+J65</f>
        <v>50.320000000000007</v>
      </c>
      <c r="P65" s="341">
        <v>-5.2</v>
      </c>
      <c r="Q65" s="342">
        <v>1</v>
      </c>
      <c r="R65" s="343"/>
      <c r="S65" s="344">
        <v>0.44444444444444464</v>
      </c>
      <c r="T65" s="345">
        <v>2</v>
      </c>
      <c r="U65" s="346"/>
      <c r="V65" s="341">
        <v>-5.1666666666666661</v>
      </c>
      <c r="W65" s="347">
        <v>1</v>
      </c>
      <c r="X65" s="343"/>
      <c r="Y65" s="344">
        <v>-7</v>
      </c>
      <c r="Z65" s="345">
        <v>0</v>
      </c>
      <c r="AA65" s="346"/>
      <c r="AB65" s="341">
        <v>4.6000000000000014</v>
      </c>
      <c r="AC65" s="347">
        <v>2</v>
      </c>
      <c r="AD65" s="343"/>
      <c r="AE65" s="344">
        <v>-7</v>
      </c>
      <c r="AF65" s="345">
        <v>0</v>
      </c>
      <c r="AG65" s="346"/>
      <c r="AH65" s="341">
        <v>-5.8181818181818183</v>
      </c>
      <c r="AI65" s="347">
        <v>1</v>
      </c>
      <c r="AJ65" s="343"/>
      <c r="AK65" s="344">
        <v>5.6400000000000006</v>
      </c>
      <c r="AL65" s="345">
        <v>2</v>
      </c>
      <c r="AM65" s="346"/>
      <c r="AN65" s="341">
        <v>-4.5999999999999996</v>
      </c>
      <c r="AO65" s="347">
        <v>1</v>
      </c>
      <c r="AP65" s="343"/>
      <c r="AQ65" s="344">
        <v>33.947500000000005</v>
      </c>
      <c r="AR65" s="345">
        <v>3</v>
      </c>
      <c r="AS65" s="346">
        <v>5</v>
      </c>
      <c r="AT65" s="341">
        <v>-5</v>
      </c>
      <c r="AU65" s="347">
        <v>1</v>
      </c>
      <c r="AV65" s="343"/>
      <c r="AW65" s="344">
        <v>-7</v>
      </c>
      <c r="AX65" s="345">
        <v>0</v>
      </c>
      <c r="AY65" s="346"/>
      <c r="AZ65" s="341">
        <v>-7</v>
      </c>
      <c r="BA65" s="347">
        <v>0</v>
      </c>
      <c r="BB65" s="343"/>
      <c r="BC65" s="344">
        <v>-5.5</v>
      </c>
      <c r="BD65" s="345">
        <v>1</v>
      </c>
      <c r="BE65" s="346"/>
      <c r="BF65" s="341">
        <v>-7</v>
      </c>
      <c r="BG65" s="347">
        <v>0</v>
      </c>
      <c r="BH65" s="343"/>
      <c r="BI65" s="344">
        <v>9.8500000000000014</v>
      </c>
      <c r="BJ65" s="348">
        <v>2</v>
      </c>
      <c r="BK65" s="346"/>
      <c r="BL65" s="341">
        <v>-4.4000000000000004</v>
      </c>
      <c r="BM65" s="347">
        <v>1</v>
      </c>
      <c r="BN65" s="343"/>
      <c r="BO65" s="344">
        <v>-5.15</v>
      </c>
      <c r="BP65" s="348">
        <v>1</v>
      </c>
      <c r="BQ65" s="346"/>
      <c r="BR65" s="341">
        <v>-7</v>
      </c>
      <c r="BS65" s="347">
        <v>0</v>
      </c>
      <c r="BT65" s="343"/>
      <c r="BU65" s="344">
        <v>1.7749999999999986</v>
      </c>
      <c r="BV65" s="345">
        <v>2</v>
      </c>
      <c r="BW65" s="346"/>
      <c r="BX65" s="344">
        <f t="shared" si="19"/>
        <v>-26.577904040404032</v>
      </c>
      <c r="BY65" s="345">
        <f t="shared" si="19"/>
        <v>21</v>
      </c>
      <c r="BZ65" s="346">
        <f t="shared" si="19"/>
        <v>5</v>
      </c>
      <c r="DZ65" s="57"/>
      <c r="EA65" s="57"/>
      <c r="EH65" s="54"/>
      <c r="EI65" s="54"/>
    </row>
    <row r="66" spans="1:139" x14ac:dyDescent="0.2">
      <c r="A66" s="351">
        <f t="shared" si="10"/>
        <v>56</v>
      </c>
      <c r="B66" s="351">
        <f>_xlfn.RANK.EQ(H66,thisweekscore,0)</f>
        <v>22</v>
      </c>
      <c r="C66" s="351">
        <v>59</v>
      </c>
      <c r="D66" s="402" t="str">
        <f>INDEX(Players!B:B,MATCH(E66,Players!F:F,0))</f>
        <v>C</v>
      </c>
      <c r="E66" s="337" t="s">
        <v>346</v>
      </c>
      <c r="F66" s="349">
        <f t="shared" si="18"/>
        <v>-63.14409090909092</v>
      </c>
      <c r="G66" s="62">
        <f t="shared" si="18"/>
        <v>23</v>
      </c>
      <c r="H66" s="349">
        <v>0.58000000000000007</v>
      </c>
      <c r="I66" s="158">
        <v>2</v>
      </c>
      <c r="J66" s="612">
        <f>INDEX(Players!A:A,MATCH(E66,Players!F:F,0))</f>
        <v>25.174999999999997</v>
      </c>
      <c r="K66" s="339">
        <f>R66+U66+X66+AA66+AD66+AG66+AJ66+AM66+AP66+AS66+AV66+AY66+BB66+BE66+BH66+BK66+BN66+BQ66+BT66+BW66</f>
        <v>0</v>
      </c>
      <c r="L66" s="340"/>
      <c r="M66" s="340">
        <f>INDEX(Table!L:L,MATCH(E66,Table!F:F,0))</f>
        <v>0</v>
      </c>
      <c r="N66" s="339">
        <f>L66+K66+M66</f>
        <v>0</v>
      </c>
      <c r="O66" s="612">
        <f>N66+J66</f>
        <v>25.174999999999997</v>
      </c>
      <c r="P66" s="341">
        <v>-4</v>
      </c>
      <c r="Q66" s="342">
        <v>1</v>
      </c>
      <c r="R66" s="343"/>
      <c r="S66" s="344">
        <v>-4.9000000000000004</v>
      </c>
      <c r="T66" s="345">
        <v>1</v>
      </c>
      <c r="U66" s="346"/>
      <c r="V66" s="341">
        <v>0.29090909090909101</v>
      </c>
      <c r="W66" s="347">
        <v>2</v>
      </c>
      <c r="X66" s="343"/>
      <c r="Y66" s="344">
        <v>-4.9000000000000004</v>
      </c>
      <c r="Z66" s="345">
        <v>1</v>
      </c>
      <c r="AA66" s="346"/>
      <c r="AB66" s="341">
        <v>-4.625</v>
      </c>
      <c r="AC66" s="347">
        <v>1</v>
      </c>
      <c r="AD66" s="343"/>
      <c r="AE66" s="344">
        <v>-4.625</v>
      </c>
      <c r="AF66" s="345">
        <v>1</v>
      </c>
      <c r="AG66" s="346"/>
      <c r="AH66" s="341">
        <v>3.4700000000000024</v>
      </c>
      <c r="AI66" s="347">
        <v>2</v>
      </c>
      <c r="AJ66" s="343"/>
      <c r="AK66" s="344">
        <v>-7</v>
      </c>
      <c r="AL66" s="345">
        <v>0</v>
      </c>
      <c r="AM66" s="346"/>
      <c r="AN66" s="341">
        <v>-5.15</v>
      </c>
      <c r="AO66" s="347">
        <v>1</v>
      </c>
      <c r="AP66" s="343"/>
      <c r="AQ66" s="344">
        <v>-4.9000000000000004</v>
      </c>
      <c r="AR66" s="345">
        <v>1</v>
      </c>
      <c r="AS66" s="346"/>
      <c r="AT66" s="341">
        <v>-4.75</v>
      </c>
      <c r="AU66" s="347">
        <v>1</v>
      </c>
      <c r="AV66" s="343"/>
      <c r="AW66" s="344">
        <v>6.07</v>
      </c>
      <c r="AX66" s="345">
        <v>2</v>
      </c>
      <c r="AY66" s="346"/>
      <c r="AZ66" s="341">
        <v>-5.2</v>
      </c>
      <c r="BA66" s="347">
        <v>1</v>
      </c>
      <c r="BB66" s="343"/>
      <c r="BC66" s="344">
        <v>-5.2</v>
      </c>
      <c r="BD66" s="345">
        <v>1</v>
      </c>
      <c r="BE66" s="346"/>
      <c r="BF66" s="341">
        <v>-5.2</v>
      </c>
      <c r="BG66" s="347">
        <v>1</v>
      </c>
      <c r="BH66" s="343"/>
      <c r="BI66" s="344">
        <v>-7</v>
      </c>
      <c r="BJ66" s="348">
        <v>0</v>
      </c>
      <c r="BK66" s="346"/>
      <c r="BL66" s="341">
        <v>-4.125</v>
      </c>
      <c r="BM66" s="347">
        <v>1</v>
      </c>
      <c r="BN66" s="343"/>
      <c r="BO66" s="344">
        <v>-5.2</v>
      </c>
      <c r="BP66" s="348">
        <v>1</v>
      </c>
      <c r="BQ66" s="346"/>
      <c r="BR66" s="341">
        <v>3.2199999999999989</v>
      </c>
      <c r="BS66" s="347">
        <v>2</v>
      </c>
      <c r="BT66" s="343"/>
      <c r="BU66" s="344">
        <v>0.58000000000000007</v>
      </c>
      <c r="BV66" s="345">
        <v>2</v>
      </c>
      <c r="BW66" s="346"/>
      <c r="BX66" s="344">
        <f t="shared" si="19"/>
        <v>-63.144090909090899</v>
      </c>
      <c r="BY66" s="345">
        <f t="shared" si="19"/>
        <v>23</v>
      </c>
      <c r="BZ66" s="346">
        <f t="shared" si="19"/>
        <v>0</v>
      </c>
      <c r="DZ66" s="57"/>
      <c r="EA66" s="57"/>
      <c r="EH66" s="54"/>
      <c r="EI66" s="54"/>
    </row>
    <row r="67" spans="1:139" x14ac:dyDescent="0.2">
      <c r="DZ67" s="57"/>
      <c r="EA67" s="57"/>
      <c r="EH67" s="54"/>
      <c r="EI67" s="54"/>
    </row>
    <row r="68" spans="1:139" x14ac:dyDescent="0.2">
      <c r="J68" s="613">
        <f>SUM(J2:J66)</f>
        <v>404.47000000000008</v>
      </c>
      <c r="K68" s="152">
        <f>SUM(K2:K66)</f>
        <v>500</v>
      </c>
      <c r="L68" s="152">
        <f>SUM(L2:L66)</f>
        <v>50</v>
      </c>
      <c r="M68" s="152"/>
      <c r="N68" s="152"/>
      <c r="P68" s="152"/>
      <c r="Q68" s="152"/>
      <c r="R68" s="152">
        <f>SUM(R2:R66)</f>
        <v>25</v>
      </c>
      <c r="T68" s="152"/>
      <c r="U68" s="152">
        <f>SUM(U2:U66)</f>
        <v>25</v>
      </c>
      <c r="V68" s="152"/>
      <c r="W68" s="152"/>
      <c r="X68" s="152">
        <f>SUM(X2:X66)</f>
        <v>25</v>
      </c>
      <c r="Z68" s="152"/>
      <c r="AA68" s="152">
        <f>SUM(AA2:AA66)</f>
        <v>25</v>
      </c>
      <c r="AB68" s="152"/>
      <c r="AC68" s="152"/>
      <c r="AD68" s="152">
        <f>SUM(AD2:AD66)</f>
        <v>25</v>
      </c>
      <c r="AE68" s="152"/>
      <c r="AF68" s="152"/>
      <c r="AG68" s="152">
        <f>SUM(AG2:AG66)</f>
        <v>25</v>
      </c>
      <c r="AH68" s="152"/>
      <c r="AI68" s="152"/>
      <c r="AJ68" s="152">
        <f>SUM(AJ2:AJ66)</f>
        <v>25</v>
      </c>
      <c r="AK68" s="152"/>
      <c r="AL68" s="152"/>
      <c r="AM68" s="152">
        <f>SUM(AM2:AM66)</f>
        <v>25</v>
      </c>
      <c r="AN68" s="152"/>
      <c r="AO68" s="152"/>
      <c r="AP68" s="152">
        <f>SUM(AP2:AP66)</f>
        <v>25</v>
      </c>
      <c r="AQ68" s="152"/>
      <c r="AR68" s="152"/>
      <c r="AS68" s="152">
        <f>SUM(AS2:AS66)</f>
        <v>25</v>
      </c>
      <c r="AT68" s="152"/>
      <c r="AU68" s="152"/>
      <c r="AV68" s="152">
        <f>SUM(AV2:AV66)</f>
        <v>25</v>
      </c>
      <c r="AW68" s="152"/>
      <c r="AX68" s="152"/>
      <c r="AY68" s="152">
        <f>SUM(AY2:AY66)</f>
        <v>25</v>
      </c>
      <c r="AZ68" s="152"/>
      <c r="BA68" s="152"/>
      <c r="BB68" s="152">
        <f>SUM(BB2:BB66)</f>
        <v>25</v>
      </c>
      <c r="BC68" s="152"/>
      <c r="BD68" s="152"/>
      <c r="BE68" s="152">
        <f>SUM(BE2:BE66)</f>
        <v>25</v>
      </c>
      <c r="BF68" s="152"/>
      <c r="BG68" s="152"/>
      <c r="BH68" s="152">
        <f>SUM(BH2:BH66)</f>
        <v>25</v>
      </c>
      <c r="BI68" s="152"/>
      <c r="BJ68" s="152"/>
      <c r="BK68" s="152">
        <f>SUM(BK2:BK66)</f>
        <v>25</v>
      </c>
      <c r="BL68" s="152"/>
      <c r="BM68" s="152"/>
      <c r="BN68" s="152">
        <f>SUM(BN2:BN66)</f>
        <v>25</v>
      </c>
      <c r="BO68" s="152"/>
      <c r="BP68" s="152"/>
      <c r="BQ68" s="152">
        <f>SUM(BQ2:BQ66)</f>
        <v>25</v>
      </c>
      <c r="BR68" s="152"/>
      <c r="BS68" s="152"/>
      <c r="BT68" s="152">
        <f>SUM(BT2:BT66)</f>
        <v>25</v>
      </c>
      <c r="BU68" s="152"/>
      <c r="BV68" s="152"/>
      <c r="BW68" s="152">
        <f>SUM(BW2:BW66)</f>
        <v>25</v>
      </c>
      <c r="BX68" s="152"/>
      <c r="BY68" s="152"/>
      <c r="BZ68" s="152">
        <f>SUM(BZ2:BZ66)</f>
        <v>500</v>
      </c>
      <c r="DZ68" s="57"/>
      <c r="EA68" s="57"/>
      <c r="EH68" s="54"/>
      <c r="EI68" s="54"/>
    </row>
    <row r="69" spans="1:139" x14ac:dyDescent="0.2">
      <c r="DZ69" s="57"/>
      <c r="EA69" s="57"/>
      <c r="EH69" s="54"/>
      <c r="EI69" s="54"/>
    </row>
    <row r="70" spans="1:139" x14ac:dyDescent="0.2">
      <c r="DZ70" s="57"/>
      <c r="EA70" s="57"/>
      <c r="EH70" s="54"/>
      <c r="EI70" s="54"/>
    </row>
    <row r="71" spans="1:139" x14ac:dyDescent="0.2">
      <c r="DZ71" s="57"/>
      <c r="EA71" s="57"/>
      <c r="EH71" s="54"/>
      <c r="EI71" s="54"/>
    </row>
    <row r="72" spans="1:139" x14ac:dyDescent="0.2">
      <c r="DZ72" s="57"/>
      <c r="EA72" s="57"/>
      <c r="EH72" s="54"/>
      <c r="EI72" s="54"/>
    </row>
    <row r="73" spans="1:139" x14ac:dyDescent="0.2">
      <c r="DZ73" s="57"/>
      <c r="EA73" s="57"/>
      <c r="EH73" s="54"/>
      <c r="EI73" s="54"/>
    </row>
    <row r="74" spans="1:139" x14ac:dyDescent="0.2">
      <c r="DZ74" s="57"/>
      <c r="EA74" s="57"/>
      <c r="EH74" s="54"/>
      <c r="EI74" s="54"/>
    </row>
    <row r="75" spans="1:139" x14ac:dyDescent="0.2">
      <c r="DZ75" s="57"/>
      <c r="EA75" s="57"/>
      <c r="EH75" s="54"/>
      <c r="EI75" s="54"/>
    </row>
    <row r="76" spans="1:139" x14ac:dyDescent="0.2">
      <c r="DZ76" s="57"/>
      <c r="EA76" s="57"/>
      <c r="EH76" s="54"/>
      <c r="EI76" s="54"/>
    </row>
    <row r="77" spans="1:139" x14ac:dyDescent="0.2">
      <c r="DZ77" s="57"/>
      <c r="EA77" s="57"/>
      <c r="EH77" s="54"/>
      <c r="EI77" s="54"/>
    </row>
    <row r="78" spans="1:139" x14ac:dyDescent="0.2">
      <c r="DZ78" s="57"/>
      <c r="EA78" s="57"/>
      <c r="EH78" s="54"/>
      <c r="EI78" s="54"/>
    </row>
  </sheetData>
  <sheetCalcPr fullCalcOnLoad="1"/>
  <autoFilter ref="A1:BZ66"/>
  <phoneticPr fontId="0" type="noConversion"/>
  <conditionalFormatting sqref="J2:O61">
    <cfRule type="cellIs" dxfId="1" priority="2" stopIfTrue="1" operator="equal">
      <formula>0</formula>
    </cfRule>
  </conditionalFormatting>
  <conditionalFormatting sqref="J62:O66">
    <cfRule type="cellIs" dxfId="0" priority="1" stopIfTrue="1" operator="equal">
      <formula>0</formula>
    </cfRule>
  </conditionalFormatting>
  <hyperlinks>
    <hyperlink ref="A1" location="Menu!A1" display="Rank Seas"/>
  </hyperlinks>
  <printOptions headings="1" gridLines="1"/>
  <pageMargins left="0.74803149606299213" right="0.74803149606299213" top="0.98425196850393704" bottom="0.98425196850393704" header="0.51181102362204722" footer="0.51181102362204722"/>
  <pageSetup paperSize="9" scale="76"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7030A0"/>
    <pageSetUpPr fitToPage="1"/>
  </sheetPr>
  <dimension ref="A1:AD161"/>
  <sheetViews>
    <sheetView topLeftCell="A31" zoomScaleNormal="100" workbookViewId="0">
      <selection activeCell="U11" sqref="U11"/>
    </sheetView>
  </sheetViews>
  <sheetFormatPr defaultRowHeight="13.2" x14ac:dyDescent="0.25"/>
  <cols>
    <col min="1" max="1" width="5.44140625" style="86" customWidth="1"/>
    <col min="2" max="2" width="7.44140625" customWidth="1"/>
    <col min="3" max="3" width="22.6640625" customWidth="1"/>
    <col min="4" max="4" width="8.33203125" customWidth="1"/>
    <col min="5" max="5" width="4" customWidth="1"/>
    <col min="6" max="6" width="7.33203125" customWidth="1"/>
    <col min="7" max="7" width="3.6640625" customWidth="1"/>
    <col min="8" max="8" width="7.44140625" customWidth="1"/>
    <col min="9" max="9" width="24.5546875" customWidth="1"/>
    <col min="10" max="10" width="8.33203125" customWidth="1"/>
    <col min="11" max="11" width="3.33203125" customWidth="1"/>
    <col min="12" max="12" width="7.33203125" customWidth="1"/>
    <col min="13" max="13" width="4.5546875" customWidth="1"/>
    <col min="14" max="14" width="7.44140625" customWidth="1"/>
    <col min="15" max="15" width="22.88671875" customWidth="1"/>
    <col min="16" max="16" width="8.33203125" customWidth="1"/>
    <col min="17" max="17" width="3.33203125" customWidth="1"/>
    <col min="18" max="18" width="7.33203125" customWidth="1"/>
    <col min="19" max="19" width="4.5546875" customWidth="1"/>
    <col min="20" max="20" width="7.44140625" customWidth="1"/>
    <col min="21" max="21" width="20.6640625" customWidth="1"/>
    <col min="22" max="22" width="8.33203125" customWidth="1"/>
    <col min="23" max="23" width="3.33203125" customWidth="1"/>
  </cols>
  <sheetData>
    <row r="1" spans="1:29" s="86" customFormat="1" x14ac:dyDescent="0.25">
      <c r="A1" s="493" t="s">
        <v>423</v>
      </c>
    </row>
    <row r="2" spans="1:29" x14ac:dyDescent="0.25">
      <c r="B2" s="65" t="s">
        <v>134</v>
      </c>
      <c r="C2" s="160">
        <f>IF(CupDraw!H1="","",CupDraw!H1)</f>
        <v>43491</v>
      </c>
      <c r="D2" s="66"/>
      <c r="E2" s="66"/>
      <c r="F2" s="84"/>
      <c r="G2" s="67"/>
      <c r="H2" s="65" t="str">
        <f>CupDraw!M1</f>
        <v>R1 (64)</v>
      </c>
      <c r="I2" s="160">
        <f>CupDraw!N1</f>
        <v>43498</v>
      </c>
      <c r="J2" s="66"/>
      <c r="K2" s="66"/>
      <c r="L2" s="88"/>
      <c r="M2" s="66"/>
      <c r="N2" s="65" t="str">
        <f>CupDraw!S1</f>
        <v>R2 (32)</v>
      </c>
      <c r="O2" s="160">
        <f>CupDraw!T1</f>
        <v>43512</v>
      </c>
      <c r="P2" s="66"/>
      <c r="Q2" s="66"/>
      <c r="R2" s="88"/>
      <c r="S2" s="66"/>
      <c r="T2" s="65" t="str">
        <f>CupDraw!Y1</f>
        <v>R3 (16)</v>
      </c>
      <c r="U2" s="160">
        <f>CupDraw!Z1</f>
        <v>43533</v>
      </c>
      <c r="V2" s="66"/>
      <c r="W2" s="66"/>
      <c r="X2" s="88"/>
      <c r="Y2" s="86"/>
      <c r="Z2" s="86"/>
      <c r="AA2" s="86"/>
      <c r="AB2" s="86"/>
      <c r="AC2" s="86"/>
    </row>
    <row r="3" spans="1:29" x14ac:dyDescent="0.25">
      <c r="B3" s="95">
        <f>CupDraw!G2</f>
        <v>1</v>
      </c>
      <c r="C3" s="80" t="str">
        <f>IF(CupDraw!H2="","",CupDraw!H2)</f>
        <v>Mal Stott</v>
      </c>
      <c r="D3" s="81">
        <f>IF(CupDraw!I2="","",CupDraw!I2)</f>
        <v>-5.0999999999999996</v>
      </c>
      <c r="E3" s="92" t="str">
        <f>IF(CupDraw!J2="","",CupDraw!J2)</f>
        <v/>
      </c>
      <c r="F3" s="85"/>
      <c r="G3" s="67"/>
      <c r="H3" s="711">
        <f>CupDraw!M2</f>
        <v>1</v>
      </c>
      <c r="I3" s="77" t="str">
        <f>IF(CupDraw!N2="","",CupDraw!N2)</f>
        <v>Mal Stott</v>
      </c>
      <c r="J3" s="81">
        <f>IF(CupDraw!O2="","",CupDraw!O2)</f>
        <v>39.519999999999996</v>
      </c>
      <c r="K3" s="92" t="str">
        <f>IF(CupDraw!P2="","",CupDraw!P2)</f>
        <v/>
      </c>
      <c r="L3" s="89"/>
      <c r="M3" s="67"/>
      <c r="N3" s="69">
        <f>CupDraw!S2</f>
        <v>1</v>
      </c>
      <c r="O3" s="79" t="str">
        <f>CupDraw!T2</f>
        <v>Mal Stott</v>
      </c>
      <c r="P3" s="81">
        <f>IF(CupDraw!U2="","",CupDraw!U2)</f>
        <v>-7</v>
      </c>
      <c r="Q3" s="92" t="str">
        <f>IF(CupDraw!V2="","",CupDraw!V2)</f>
        <v/>
      </c>
      <c r="R3" s="89"/>
      <c r="S3" s="67"/>
      <c r="T3" s="69">
        <f>CupDraw!Y2</f>
        <v>1</v>
      </c>
      <c r="U3" s="79" t="str">
        <f>CupDraw!Z2</f>
        <v>Mike Penk</v>
      </c>
      <c r="V3" s="107">
        <f>IF(CupDraw!AA2="","",CupDraw!AA2)</f>
        <v>-4.5</v>
      </c>
      <c r="W3" s="82" t="str">
        <f>CupDraw!AB2</f>
        <v/>
      </c>
      <c r="X3" s="89"/>
      <c r="Y3" s="86"/>
      <c r="Z3" s="86"/>
      <c r="AA3" s="86"/>
      <c r="AB3" s="86"/>
      <c r="AC3" s="86"/>
    </row>
    <row r="4" spans="1:29" x14ac:dyDescent="0.25">
      <c r="B4" s="94"/>
      <c r="C4" s="80" t="str">
        <f>IF(CupDraw!H3="","",CupDraw!H3)</f>
        <v>Ste Bentley</v>
      </c>
      <c r="D4" s="81">
        <f>IF(CupDraw!I3="","",CupDraw!I3)</f>
        <v>-5.916666666666667</v>
      </c>
      <c r="E4" s="148" t="str">
        <f>IF(CupDraw!J3="","",CupDraw!J3)</f>
        <v/>
      </c>
      <c r="F4" s="85"/>
      <c r="G4" s="67"/>
      <c r="H4" s="712">
        <f>CupDraw!M3</f>
        <v>0</v>
      </c>
      <c r="I4" s="77" t="str">
        <f>IF(CupDraw!N3="","",CupDraw!N3)</f>
        <v>Stephen Troop</v>
      </c>
      <c r="J4" s="81">
        <f>IF(CupDraw!O3="","",CupDraw!O3)</f>
        <v>-7</v>
      </c>
      <c r="K4" s="70" t="str">
        <f>IF(CupDraw!P3="","",CupDraw!P3)</f>
        <v/>
      </c>
      <c r="L4" s="89"/>
      <c r="M4" s="67"/>
      <c r="N4" s="72"/>
      <c r="O4" s="79" t="str">
        <f>CupDraw!T3</f>
        <v>Mike Penk</v>
      </c>
      <c r="P4" s="81">
        <f>IF(CupDraw!U3="","",CupDraw!U3)</f>
        <v>2.2300000000000004</v>
      </c>
      <c r="Q4" s="73" t="str">
        <f>IF(CupDraw!V3="","",CupDraw!V3)</f>
        <v/>
      </c>
      <c r="R4" s="89"/>
      <c r="S4" s="67"/>
      <c r="T4" s="72"/>
      <c r="U4" s="79" t="str">
        <f>CupDraw!Z3</f>
        <v>Alfie Davies</v>
      </c>
      <c r="V4" s="107">
        <f>IF(CupDraw!AA3="","",CupDraw!AA3)</f>
        <v>-7</v>
      </c>
      <c r="W4" s="73"/>
      <c r="X4" s="89"/>
      <c r="Y4" s="86"/>
      <c r="Z4" s="86"/>
      <c r="AA4" s="86"/>
      <c r="AB4" s="86"/>
      <c r="AC4" s="86"/>
    </row>
    <row r="5" spans="1:29" x14ac:dyDescent="0.25">
      <c r="B5" s="95">
        <f>CupDraw!G4</f>
        <v>2</v>
      </c>
      <c r="C5" s="80" t="str">
        <f>IF(CupDraw!H4="","",CupDraw!H4)</f>
        <v/>
      </c>
      <c r="D5" s="81" t="str">
        <f>IF(CupDraw!I4="","",CupDraw!I4)</f>
        <v/>
      </c>
      <c r="E5" s="92" t="str">
        <f>IF(CupDraw!J4="","",CupDraw!J4)</f>
        <v/>
      </c>
      <c r="F5" s="85"/>
      <c r="G5" s="67"/>
      <c r="H5" s="93">
        <f>CupDraw!M4</f>
        <v>2</v>
      </c>
      <c r="I5" s="77" t="str">
        <f>IF(CupDraw!N4="","",CupDraw!N4)</f>
        <v>Alick Rocca</v>
      </c>
      <c r="J5" s="81">
        <f>IF(CupDraw!O4="","",CupDraw!O4)</f>
        <v>-7</v>
      </c>
      <c r="K5" s="92" t="str">
        <f>IF(CupDraw!P4="","",CupDraw!P4)</f>
        <v/>
      </c>
      <c r="L5" s="89"/>
      <c r="M5" s="67"/>
      <c r="N5" s="69">
        <f>CupDraw!S4</f>
        <v>2</v>
      </c>
      <c r="O5" s="71" t="str">
        <f>CupDraw!T4</f>
        <v>Alfie Davies</v>
      </c>
      <c r="P5" s="81">
        <f>IF(CupDraw!U4="","",CupDraw!U4)</f>
        <v>26.58</v>
      </c>
      <c r="Q5" s="92" t="str">
        <f>IF(CupDraw!V4="","",CupDraw!V4)</f>
        <v/>
      </c>
      <c r="R5" s="89"/>
      <c r="S5" s="67"/>
      <c r="T5" s="69">
        <f>CupDraw!Y4</f>
        <v>2</v>
      </c>
      <c r="U5" s="79" t="str">
        <f>CupDraw!Z4</f>
        <v>Ashley Houghton</v>
      </c>
      <c r="V5" s="107">
        <f>IF(CupDraw!AA4="","",CupDraw!AA4)</f>
        <v>-4.8499999999999996</v>
      </c>
      <c r="W5" s="82" t="str">
        <f>CupDraw!AB4</f>
        <v/>
      </c>
      <c r="X5" s="89"/>
      <c r="Y5" s="86"/>
      <c r="Z5" s="86"/>
      <c r="AA5" s="86"/>
      <c r="AB5" s="86"/>
      <c r="AC5" s="86"/>
    </row>
    <row r="6" spans="1:29" x14ac:dyDescent="0.25">
      <c r="B6" s="94"/>
      <c r="C6" s="80" t="str">
        <f>IF(CupDraw!H5="","",CupDraw!H5)</f>
        <v/>
      </c>
      <c r="D6" s="81" t="str">
        <f>IF(CupDraw!I5="","",CupDraw!I5)</f>
        <v/>
      </c>
      <c r="E6" s="148" t="str">
        <f>IF(CupDraw!J5="","",CupDraw!J5)</f>
        <v/>
      </c>
      <c r="F6" s="85"/>
      <c r="G6" s="67"/>
      <c r="H6" s="94"/>
      <c r="I6" s="77" t="str">
        <f>IF(CupDraw!N5="","",CupDraw!N5)</f>
        <v>Mike Penk</v>
      </c>
      <c r="J6" s="81">
        <f>IF(CupDraw!O5="","",CupDraw!O5)</f>
        <v>7.48</v>
      </c>
      <c r="K6" s="70" t="str">
        <f>IF(CupDraw!P5="","",CupDraw!P5)</f>
        <v/>
      </c>
      <c r="L6" s="89"/>
      <c r="M6" s="67"/>
      <c r="N6" s="72"/>
      <c r="O6" s="71" t="str">
        <f>CupDraw!T5</f>
        <v>Gerard Ventom</v>
      </c>
      <c r="P6" s="81">
        <f>IF(CupDraw!U5="","",CupDraw!U5)</f>
        <v>3.3900000000000006</v>
      </c>
      <c r="Q6" s="73" t="str">
        <f>IF(CupDraw!V5="","",CupDraw!V5)</f>
        <v/>
      </c>
      <c r="R6" s="89"/>
      <c r="S6" s="67"/>
      <c r="T6" s="72"/>
      <c r="U6" s="79" t="str">
        <f>CupDraw!Z5</f>
        <v>Ben Rosser</v>
      </c>
      <c r="V6" s="107">
        <f>IF(CupDraw!AA5="","",CupDraw!AA5)</f>
        <v>-7</v>
      </c>
      <c r="W6" s="73"/>
      <c r="X6" s="89"/>
      <c r="Y6" s="86"/>
      <c r="Z6" s="86"/>
      <c r="AA6" s="86"/>
      <c r="AB6" s="86"/>
      <c r="AC6" s="86"/>
    </row>
    <row r="7" spans="1:29" x14ac:dyDescent="0.25">
      <c r="B7" s="95">
        <f>CupDraw!G6</f>
        <v>3</v>
      </c>
      <c r="C7" s="80" t="str">
        <f>IF(CupDraw!H6="","",CupDraw!H6)</f>
        <v/>
      </c>
      <c r="D7" s="81" t="str">
        <f>IF(CupDraw!I6="","",CupDraw!I6)</f>
        <v/>
      </c>
      <c r="E7" s="92" t="str">
        <f>IF(CupDraw!J6="","",CupDraw!J6)</f>
        <v/>
      </c>
      <c r="F7" s="85"/>
      <c r="G7" s="67"/>
      <c r="H7" s="95">
        <f>CupDraw!M6</f>
        <v>3</v>
      </c>
      <c r="I7" s="77" t="str">
        <f>IF(CupDraw!N6="","",CupDraw!N6)</f>
        <v>Tom Robinson</v>
      </c>
      <c r="J7" s="81">
        <f>IF(CupDraw!O6="","",CupDraw!O6)</f>
        <v>-7</v>
      </c>
      <c r="K7" s="92" t="str">
        <f>IF(CupDraw!P6="","",CupDraw!P6)</f>
        <v/>
      </c>
      <c r="L7" s="89"/>
      <c r="M7" s="67"/>
      <c r="N7" s="69">
        <f>CupDraw!S6</f>
        <v>3</v>
      </c>
      <c r="O7" s="71" t="str">
        <f>CupDraw!T6</f>
        <v>Ashley Houghton</v>
      </c>
      <c r="P7" s="81">
        <f>IF(CupDraw!U6="","",CupDraw!U6)</f>
        <v>17.322916666666668</v>
      </c>
      <c r="Q7" s="92" t="str">
        <f>IF(CupDraw!V6="","",CupDraw!V6)</f>
        <v/>
      </c>
      <c r="R7" s="89"/>
      <c r="S7" s="67"/>
      <c r="T7" s="69">
        <f>CupDraw!Y6</f>
        <v>3</v>
      </c>
      <c r="U7" s="79" t="str">
        <f>CupDraw!Z6</f>
        <v>Paul Ridgeway</v>
      </c>
      <c r="V7" s="107">
        <f>IF(CupDraw!AA6="","",CupDraw!AA6)</f>
        <v>-1.0909090909090908</v>
      </c>
      <c r="W7" s="82" t="str">
        <f>CupDraw!AB6</f>
        <v/>
      </c>
      <c r="X7" s="89"/>
      <c r="Y7" s="86"/>
      <c r="Z7" s="86"/>
      <c r="AA7" s="86"/>
      <c r="AB7" s="86"/>
      <c r="AC7" s="86"/>
    </row>
    <row r="8" spans="1:29" x14ac:dyDescent="0.25">
      <c r="B8" s="94"/>
      <c r="C8" s="80" t="str">
        <f>IF(CupDraw!H7="","",CupDraw!H7)</f>
        <v/>
      </c>
      <c r="D8" s="81" t="str">
        <f>IF(CupDraw!I7="","",CupDraw!I7)</f>
        <v/>
      </c>
      <c r="E8" s="148" t="str">
        <f>IF(CupDraw!J7="","",CupDraw!J7)</f>
        <v/>
      </c>
      <c r="F8" s="85"/>
      <c r="G8" s="67"/>
      <c r="H8" s="94"/>
      <c r="I8" s="77" t="str">
        <f>IF(CupDraw!N7="","",CupDraw!N7)</f>
        <v>Alfie Davies</v>
      </c>
      <c r="J8" s="81">
        <f>IF(CupDraw!O7="","",CupDraw!O7)</f>
        <v>-3.3</v>
      </c>
      <c r="K8" s="70" t="str">
        <f>IF(CupDraw!P7="","",CupDraw!P7)</f>
        <v/>
      </c>
      <c r="L8" s="89"/>
      <c r="M8" s="67"/>
      <c r="N8" s="72"/>
      <c r="O8" s="71" t="str">
        <f>CupDraw!T7</f>
        <v>John Evans</v>
      </c>
      <c r="P8" s="81">
        <f>IF(CupDraw!U7="","",CupDraw!U7)</f>
        <v>-7</v>
      </c>
      <c r="Q8" s="73" t="str">
        <f>IF(CupDraw!V7="","",CupDraw!V7)</f>
        <v/>
      </c>
      <c r="R8" s="89"/>
      <c r="S8" s="67"/>
      <c r="T8" s="72"/>
      <c r="U8" s="79" t="str">
        <f>CupDraw!Z7</f>
        <v>Andy Charleston</v>
      </c>
      <c r="V8" s="107">
        <f>IF(CupDraw!AA7="","",CupDraw!AA7)</f>
        <v>0.2333333333333325</v>
      </c>
      <c r="W8" s="73"/>
      <c r="X8" s="89"/>
      <c r="Y8" s="86"/>
      <c r="Z8" s="86"/>
      <c r="AA8" s="86"/>
      <c r="AB8" s="86"/>
      <c r="AC8" s="86"/>
    </row>
    <row r="9" spans="1:29" x14ac:dyDescent="0.25">
      <c r="B9" s="95">
        <f>CupDraw!G8</f>
        <v>4</v>
      </c>
      <c r="C9" s="80" t="str">
        <f>IF(CupDraw!H8="","",CupDraw!H8)</f>
        <v/>
      </c>
      <c r="D9" s="81" t="str">
        <f>IF(CupDraw!I8="","",CupDraw!I8)</f>
        <v/>
      </c>
      <c r="E9" s="92" t="str">
        <f>IF(CupDraw!J8="","",CupDraw!J8)</f>
        <v/>
      </c>
      <c r="F9" s="85"/>
      <c r="G9" s="66"/>
      <c r="H9" s="95">
        <f>CupDraw!M8</f>
        <v>4</v>
      </c>
      <c r="I9" s="77" t="str">
        <f>IF(CupDraw!N8="","",CupDraw!N8)</f>
        <v>Stephen Barr</v>
      </c>
      <c r="J9" s="81">
        <f>IF(CupDraw!O8="","",CupDraw!O8)</f>
        <v>-5.0909090909090908</v>
      </c>
      <c r="K9" s="92" t="str">
        <f>IF(CupDraw!P8="","",CupDraw!P8)</f>
        <v/>
      </c>
      <c r="L9" s="89"/>
      <c r="M9" s="67"/>
      <c r="N9" s="69">
        <f>CupDraw!S8</f>
        <v>4</v>
      </c>
      <c r="O9" s="71" t="str">
        <f>CupDraw!T8</f>
        <v>Ben Rosser</v>
      </c>
      <c r="P9" s="81">
        <f>IF(CupDraw!U8="","",CupDraw!U8)</f>
        <v>1.8599999999999994</v>
      </c>
      <c r="Q9" s="92" t="str">
        <f>IF(CupDraw!V8="","",CupDraw!V8)</f>
        <v/>
      </c>
      <c r="R9" s="89"/>
      <c r="S9" s="67"/>
      <c r="T9" s="69">
        <f>CupDraw!Y8</f>
        <v>4</v>
      </c>
      <c r="U9" s="79" t="str">
        <f>CupDraw!Z8</f>
        <v>Phil Brown</v>
      </c>
      <c r="V9" s="107">
        <f>IF(CupDraw!AA8="","",CupDraw!AA8)</f>
        <v>-7</v>
      </c>
      <c r="W9" s="82" t="str">
        <f>CupDraw!AB8</f>
        <v/>
      </c>
      <c r="X9" s="89"/>
      <c r="Y9" s="86"/>
      <c r="Z9" s="86"/>
      <c r="AA9" s="86"/>
      <c r="AB9" s="86"/>
      <c r="AC9" s="86"/>
    </row>
    <row r="10" spans="1:29" x14ac:dyDescent="0.25">
      <c r="B10" s="94"/>
      <c r="C10" s="80" t="str">
        <f>IF(CupDraw!H9="","",CupDraw!H9)</f>
        <v/>
      </c>
      <c r="D10" s="81" t="str">
        <f>IF(CupDraw!I9="","",CupDraw!I9)</f>
        <v/>
      </c>
      <c r="E10" s="148" t="str">
        <f>IF(CupDraw!J9="","",CupDraw!J9)</f>
        <v/>
      </c>
      <c r="F10" s="85"/>
      <c r="G10" s="66"/>
      <c r="H10" s="94"/>
      <c r="I10" s="77" t="str">
        <f>IF(CupDraw!N9="","",CupDraw!N9)</f>
        <v>Gerard Ventom</v>
      </c>
      <c r="J10" s="81">
        <f>IF(CupDraw!O9="","",CupDraw!O9)</f>
        <v>13</v>
      </c>
      <c r="K10" s="70" t="str">
        <f>IF(CupDraw!P9="","",CupDraw!P9)</f>
        <v/>
      </c>
      <c r="L10" s="89"/>
      <c r="M10" s="67"/>
      <c r="N10" s="72"/>
      <c r="O10" s="71" t="str">
        <f>CupDraw!T9</f>
        <v>Kevin Carter</v>
      </c>
      <c r="P10" s="81">
        <f>IF(CupDraw!U9="","",CupDraw!U9)</f>
        <v>-1.75</v>
      </c>
      <c r="Q10" s="73" t="str">
        <f>IF(CupDraw!V9="","",CupDraw!V9)</f>
        <v/>
      </c>
      <c r="R10" s="89"/>
      <c r="S10" s="67"/>
      <c r="T10" s="72"/>
      <c r="U10" s="79" t="str">
        <f>CupDraw!Z9</f>
        <v>Mo Sudell</v>
      </c>
      <c r="V10" s="107">
        <f>IF(CupDraw!AA9="","",CupDraw!AA9)</f>
        <v>-2</v>
      </c>
      <c r="W10" s="73"/>
      <c r="X10" s="89"/>
      <c r="Y10" s="86"/>
      <c r="Z10" s="86"/>
      <c r="AA10" s="86"/>
      <c r="AB10" s="86"/>
      <c r="AC10" s="86"/>
    </row>
    <row r="11" spans="1:29" x14ac:dyDescent="0.25">
      <c r="B11" s="95">
        <f>CupDraw!G10</f>
        <v>5</v>
      </c>
      <c r="C11" s="80" t="str">
        <f>IF(CupDraw!H10="","",CupDraw!H10)</f>
        <v/>
      </c>
      <c r="D11" s="81" t="str">
        <f>IF(CupDraw!I10="","",CupDraw!I10)</f>
        <v/>
      </c>
      <c r="E11" s="92" t="str">
        <f>IF(CupDraw!J10="","",CupDraw!J10)</f>
        <v/>
      </c>
      <c r="F11" s="85"/>
      <c r="G11" s="66"/>
      <c r="H11" s="95">
        <f>CupDraw!M10</f>
        <v>5</v>
      </c>
      <c r="I11" s="77" t="str">
        <f>IF(CupDraw!N10="","",CupDraw!N10)</f>
        <v>Ashley Houghton</v>
      </c>
      <c r="J11" s="81">
        <f>IF(CupDraw!O10="","",CupDraw!O10)</f>
        <v>0.29090909090909101</v>
      </c>
      <c r="K11" s="92" t="str">
        <f>IF(CupDraw!P10="","",CupDraw!P10)</f>
        <v/>
      </c>
      <c r="L11" s="89"/>
      <c r="M11" s="67"/>
      <c r="N11" s="69">
        <f>CupDraw!S10</f>
        <v>5</v>
      </c>
      <c r="O11" s="71" t="str">
        <f>CupDraw!T10</f>
        <v>Chris Bow</v>
      </c>
      <c r="P11" s="81">
        <f>IF(CupDraw!U10="","",CupDraw!U10)</f>
        <v>-7</v>
      </c>
      <c r="Q11" s="92" t="str">
        <f>IF(CupDraw!V10="","",CupDraw!V10)</f>
        <v/>
      </c>
      <c r="R11" s="89"/>
      <c r="S11" s="67"/>
      <c r="T11" s="69">
        <f>CupDraw!Y10</f>
        <v>5</v>
      </c>
      <c r="U11" s="79" t="str">
        <f>CupDraw!Z10</f>
        <v>Gareth Fallows</v>
      </c>
      <c r="V11" s="107">
        <f>IF(CupDraw!AA10="","",CupDraw!AA10)</f>
        <v>0.74000000000000021</v>
      </c>
      <c r="W11" s="82" t="str">
        <f>CupDraw!AB10</f>
        <v/>
      </c>
      <c r="X11" s="89"/>
      <c r="Y11" s="86"/>
      <c r="Z11" s="86"/>
      <c r="AA11" s="86"/>
      <c r="AB11" s="86"/>
      <c r="AC11" s="86"/>
    </row>
    <row r="12" spans="1:29" x14ac:dyDescent="0.25">
      <c r="B12" s="94"/>
      <c r="C12" s="80" t="str">
        <f>IF(CupDraw!H11="","",CupDraw!H11)</f>
        <v/>
      </c>
      <c r="D12" s="81" t="str">
        <f>IF(CupDraw!I11="","",CupDraw!I11)</f>
        <v/>
      </c>
      <c r="E12" s="148" t="str">
        <f>IF(CupDraw!J11="","",CupDraw!J11)</f>
        <v/>
      </c>
      <c r="F12" s="85"/>
      <c r="G12" s="66"/>
      <c r="H12" s="94"/>
      <c r="I12" s="77" t="str">
        <f>IF(CupDraw!N11="","",CupDraw!N11)</f>
        <v>Steve Baxter</v>
      </c>
      <c r="J12" s="81">
        <f>IF(CupDraw!O11="","",CupDraw!O11)</f>
        <v>-1.8928571428571423</v>
      </c>
      <c r="K12" s="70" t="str">
        <f>IF(CupDraw!P11="","",CupDraw!P11)</f>
        <v/>
      </c>
      <c r="L12" s="89"/>
      <c r="M12" s="67"/>
      <c r="N12" s="72"/>
      <c r="O12" s="71" t="str">
        <f>CupDraw!T11</f>
        <v>Paul Ridgeway</v>
      </c>
      <c r="P12" s="81">
        <f>IF(CupDraw!U11="","",CupDraw!U11)</f>
        <v>9.0454545454545467</v>
      </c>
      <c r="Q12" s="73" t="str">
        <f>IF(CupDraw!V11="","",CupDraw!V11)</f>
        <v/>
      </c>
      <c r="R12" s="89"/>
      <c r="S12" s="67"/>
      <c r="T12" s="72"/>
      <c r="U12" s="79" t="str">
        <f>CupDraw!Z11</f>
        <v>Paul Allen</v>
      </c>
      <c r="V12" s="107">
        <f>IF(CupDraw!AA11="","",CupDraw!AA11)</f>
        <v>14.454545454545453</v>
      </c>
      <c r="W12" s="73"/>
      <c r="X12" s="89"/>
      <c r="Y12" s="86"/>
      <c r="Z12" s="86"/>
      <c r="AA12" s="86"/>
      <c r="AB12" s="86"/>
      <c r="AC12" s="86"/>
    </row>
    <row r="13" spans="1:29" x14ac:dyDescent="0.25">
      <c r="B13" s="95">
        <f>CupDraw!G12</f>
        <v>6</v>
      </c>
      <c r="C13" s="80" t="str">
        <f>IF(CupDraw!H12="","",CupDraw!H12)</f>
        <v/>
      </c>
      <c r="D13" s="81" t="str">
        <f>IF(CupDraw!I12="","",CupDraw!I12)</f>
        <v/>
      </c>
      <c r="E13" s="92" t="str">
        <f>IF(CupDraw!J12="","",CupDraw!J12)</f>
        <v/>
      </c>
      <c r="F13" s="85"/>
      <c r="G13" s="66"/>
      <c r="H13" s="95">
        <f>CupDraw!M12</f>
        <v>6</v>
      </c>
      <c r="I13" s="77" t="str">
        <f>IF(CupDraw!N12="","",CupDraw!N12)</f>
        <v>John Evans</v>
      </c>
      <c r="J13" s="81">
        <f>IF(CupDraw!O12="","",CupDraw!O12)</f>
        <v>8.5</v>
      </c>
      <c r="K13" s="92" t="str">
        <f>IF(CupDraw!P12="","",CupDraw!P12)</f>
        <v/>
      </c>
      <c r="L13" s="89"/>
      <c r="M13" s="67"/>
      <c r="N13" s="69">
        <f>CupDraw!S12</f>
        <v>6</v>
      </c>
      <c r="O13" s="71" t="str">
        <f>CupDraw!T12</f>
        <v>John Brown</v>
      </c>
      <c r="P13" s="81">
        <f>IF(CupDraw!U12="","",CupDraw!U12)</f>
        <v>-7</v>
      </c>
      <c r="Q13" s="92" t="str">
        <f>IF(CupDraw!V12="","",CupDraw!V12)</f>
        <v/>
      </c>
      <c r="R13" s="89"/>
      <c r="S13" s="67"/>
      <c r="T13" s="69">
        <f>CupDraw!Y12</f>
        <v>6</v>
      </c>
      <c r="U13" s="79" t="str">
        <f>CupDraw!Z12</f>
        <v>Graeme Holmes</v>
      </c>
      <c r="V13" s="107">
        <f>IF(CupDraw!AA12="","",CupDraw!AA12)</f>
        <v>-1.1818181818181817</v>
      </c>
      <c r="W13" s="82" t="str">
        <f>CupDraw!AB12</f>
        <v/>
      </c>
      <c r="X13" s="89"/>
      <c r="Y13" s="86"/>
      <c r="Z13" s="86"/>
      <c r="AA13" s="86"/>
      <c r="AB13" s="86"/>
      <c r="AC13" s="86"/>
    </row>
    <row r="14" spans="1:29" x14ac:dyDescent="0.25">
      <c r="B14" s="94"/>
      <c r="C14" s="80" t="str">
        <f>IF(CupDraw!H13="","",CupDraw!H13)</f>
        <v/>
      </c>
      <c r="D14" s="81" t="str">
        <f>IF(CupDraw!I13="","",CupDraw!I13)</f>
        <v/>
      </c>
      <c r="E14" s="148" t="str">
        <f>IF(CupDraw!J13="","",CupDraw!J13)</f>
        <v/>
      </c>
      <c r="F14" s="85"/>
      <c r="G14" s="66"/>
      <c r="H14" s="94"/>
      <c r="I14" s="77" t="str">
        <f>IF(CupDraw!N13="","",CupDraw!N13)</f>
        <v>Howard Bradley</v>
      </c>
      <c r="J14" s="81">
        <f>IF(CupDraw!O13="","",CupDraw!O13)</f>
        <v>6.9173789173789171</v>
      </c>
      <c r="K14" s="70" t="str">
        <f>IF(CupDraw!P13="","",CupDraw!P13)</f>
        <v/>
      </c>
      <c r="L14" s="89"/>
      <c r="M14" s="67"/>
      <c r="N14" s="72"/>
      <c r="O14" s="71" t="str">
        <f>CupDraw!T13</f>
        <v>Andy Charleston</v>
      </c>
      <c r="P14" s="81">
        <f>IF(CupDraw!U13="","",CupDraw!U13)</f>
        <v>17.23725</v>
      </c>
      <c r="Q14" s="73" t="str">
        <f>IF(CupDraw!V13="","",CupDraw!V13)</f>
        <v/>
      </c>
      <c r="R14" s="89"/>
      <c r="S14" s="67"/>
      <c r="T14" s="72"/>
      <c r="U14" s="79" t="str">
        <f>CupDraw!Z13</f>
        <v>Jack Walsh</v>
      </c>
      <c r="V14" s="107">
        <f>IF(CupDraw!AA13="","",CupDraw!AA13)</f>
        <v>-5.2727272727272725</v>
      </c>
      <c r="W14" s="73"/>
      <c r="X14" s="89"/>
      <c r="Y14" s="86"/>
      <c r="Z14" s="86"/>
      <c r="AA14" s="86"/>
      <c r="AB14" s="86"/>
      <c r="AC14" s="86"/>
    </row>
    <row r="15" spans="1:29" x14ac:dyDescent="0.25">
      <c r="B15" s="95">
        <f>CupDraw!G14</f>
        <v>7</v>
      </c>
      <c r="C15" s="80" t="str">
        <f>IF(CupDraw!H14="","",CupDraw!H14)</f>
        <v/>
      </c>
      <c r="D15" s="81" t="str">
        <f>IF(CupDraw!I14="","",CupDraw!I14)</f>
        <v/>
      </c>
      <c r="E15" s="92" t="str">
        <f>IF(CupDraw!J14="","",CupDraw!J14)</f>
        <v/>
      </c>
      <c r="F15" s="85"/>
      <c r="G15" s="66"/>
      <c r="H15" s="95">
        <f>CupDraw!M14</f>
        <v>7</v>
      </c>
      <c r="I15" s="77" t="str">
        <f>IF(CupDraw!N14="","",CupDraw!N14)</f>
        <v>Ben Rosser</v>
      </c>
      <c r="J15" s="81">
        <f>IF(CupDraw!O14="","",CupDraw!O14)</f>
        <v>2.3199999999999985</v>
      </c>
      <c r="K15" s="92" t="str">
        <f>IF(CupDraw!P14="","",CupDraw!P14)</f>
        <v/>
      </c>
      <c r="L15" s="89"/>
      <c r="M15" s="67"/>
      <c r="N15" s="69">
        <f>CupDraw!S14</f>
        <v>7</v>
      </c>
      <c r="O15" s="71" t="str">
        <f>CupDraw!T14</f>
        <v>Phil Brown</v>
      </c>
      <c r="P15" s="81">
        <f>IF(CupDraw!U14="","",CupDraw!U14)</f>
        <v>8.7199999999999989</v>
      </c>
      <c r="Q15" s="92" t="str">
        <f>IF(CupDraw!V14="","",CupDraw!V14)</f>
        <v/>
      </c>
      <c r="R15" s="89"/>
      <c r="S15" s="67"/>
      <c r="T15" s="69">
        <f>CupDraw!Y14</f>
        <v>7</v>
      </c>
      <c r="U15" s="79" t="str">
        <f>CupDraw!Z14</f>
        <v>David Dunn</v>
      </c>
      <c r="V15" s="107">
        <f>IF(CupDraw!AA14="","",CupDraw!AA14)</f>
        <v>-4.6500000000000004</v>
      </c>
      <c r="W15" s="82" t="str">
        <f>CupDraw!AB14</f>
        <v/>
      </c>
      <c r="X15" s="89"/>
      <c r="Y15" s="86"/>
      <c r="Z15" s="86"/>
      <c r="AA15" s="86"/>
      <c r="AB15" s="86"/>
      <c r="AC15" s="86"/>
    </row>
    <row r="16" spans="1:29" x14ac:dyDescent="0.25">
      <c r="B16" s="94"/>
      <c r="C16" s="80" t="str">
        <f>IF(CupDraw!H15="","",CupDraw!H15)</f>
        <v/>
      </c>
      <c r="D16" s="81" t="str">
        <f>IF(CupDraw!I15="","",CupDraw!I15)</f>
        <v/>
      </c>
      <c r="E16" s="148" t="str">
        <f>IF(CupDraw!J15="","",CupDraw!J15)</f>
        <v/>
      </c>
      <c r="F16" s="85"/>
      <c r="G16" s="66"/>
      <c r="H16" s="94"/>
      <c r="I16" s="77" t="str">
        <f>IF(CupDraw!N15="","",CupDraw!N15)</f>
        <v>Aaron Sudell</v>
      </c>
      <c r="J16" s="81">
        <f>IF(CupDraw!O15="","",CupDraw!O15)</f>
        <v>-7</v>
      </c>
      <c r="K16" s="70" t="str">
        <f>IF(CupDraw!P15="","",CupDraw!P15)</f>
        <v/>
      </c>
      <c r="L16" s="89"/>
      <c r="M16" s="67"/>
      <c r="N16" s="72"/>
      <c r="O16" s="71" t="str">
        <f>CupDraw!T15</f>
        <v>Paul Fairhurst</v>
      </c>
      <c r="P16" s="81">
        <f>IF(CupDraw!U15="","",CupDraw!U15)</f>
        <v>-7</v>
      </c>
      <c r="Q16" s="73" t="str">
        <f>IF(CupDraw!V15="","",CupDraw!V15)</f>
        <v/>
      </c>
      <c r="R16" s="89"/>
      <c r="S16" s="67"/>
      <c r="T16" s="72"/>
      <c r="U16" s="79" t="str">
        <f>CupDraw!Z15</f>
        <v>Nigel Heyes</v>
      </c>
      <c r="V16" s="107">
        <f>IF(CupDraw!AA15="","",CupDraw!AA15)</f>
        <v>-7</v>
      </c>
      <c r="W16" s="73"/>
      <c r="X16" s="89"/>
      <c r="Y16" s="86"/>
      <c r="Z16" s="86"/>
      <c r="AA16" s="86"/>
      <c r="AB16" s="86"/>
      <c r="AC16" s="86"/>
    </row>
    <row r="17" spans="2:29" x14ac:dyDescent="0.25">
      <c r="B17" s="95">
        <f>CupDraw!G16</f>
        <v>8</v>
      </c>
      <c r="C17" s="80" t="str">
        <f>IF(CupDraw!H16="","",CupDraw!H16)</f>
        <v/>
      </c>
      <c r="D17" s="81" t="str">
        <f>IF(CupDraw!I16="","",CupDraw!I16)</f>
        <v/>
      </c>
      <c r="E17" s="92" t="str">
        <f>IF(CupDraw!J16="","",CupDraw!J16)</f>
        <v/>
      </c>
      <c r="F17" s="85"/>
      <c r="G17" s="66"/>
      <c r="H17" s="95">
        <f>CupDraw!M16</f>
        <v>8</v>
      </c>
      <c r="I17" s="77" t="str">
        <f>IF(CupDraw!N16="","",CupDraw!N16)</f>
        <v>Barry Birchall</v>
      </c>
      <c r="J17" s="81">
        <f>IF(CupDraw!O16="","",CupDraw!O16)</f>
        <v>-1.8974358974358978</v>
      </c>
      <c r="K17" s="92" t="str">
        <f>IF(CupDraw!P16="","",CupDraw!P16)</f>
        <v/>
      </c>
      <c r="L17" s="89"/>
      <c r="M17" s="67"/>
      <c r="N17" s="69">
        <f>CupDraw!S16</f>
        <v>8</v>
      </c>
      <c r="O17" s="71" t="str">
        <f>CupDraw!T16</f>
        <v>Charlie Griffiths</v>
      </c>
      <c r="P17" s="81">
        <f>IF(CupDraw!U16="","",CupDraw!U16)</f>
        <v>-4.9000000000000004</v>
      </c>
      <c r="Q17" s="92" t="str">
        <f>IF(CupDraw!V16="","",CupDraw!V16)</f>
        <v/>
      </c>
      <c r="R17" s="89"/>
      <c r="S17" s="67"/>
      <c r="T17" s="69">
        <f>CupDraw!Y16</f>
        <v>8</v>
      </c>
      <c r="U17" s="79" t="str">
        <f>CupDraw!Z16</f>
        <v>Dan Baxter</v>
      </c>
      <c r="V17" s="107">
        <f>IF(CupDraw!AA16="","",CupDraw!AA16)</f>
        <v>-10</v>
      </c>
      <c r="W17" s="82" t="str">
        <f>CupDraw!AB16</f>
        <v/>
      </c>
      <c r="X17" s="89"/>
      <c r="Y17" s="86"/>
      <c r="Z17" s="86"/>
      <c r="AA17" s="86"/>
      <c r="AB17" s="86"/>
      <c r="AC17" s="86"/>
    </row>
    <row r="18" spans="2:29" x14ac:dyDescent="0.25">
      <c r="B18" s="94"/>
      <c r="C18" s="80" t="str">
        <f>IF(CupDraw!H17="","",CupDraw!H17)</f>
        <v/>
      </c>
      <c r="D18" s="81" t="str">
        <f>IF(CupDraw!I17="","",CupDraw!I17)</f>
        <v/>
      </c>
      <c r="E18" s="148" t="str">
        <f>IF(CupDraw!J17="","",CupDraw!J17)</f>
        <v/>
      </c>
      <c r="F18" s="85"/>
      <c r="G18" s="66"/>
      <c r="H18" s="94"/>
      <c r="I18" s="77" t="str">
        <f>IF(CupDraw!N17="","",CupDraw!N17)</f>
        <v>Kevin Carter</v>
      </c>
      <c r="J18" s="81">
        <f>IF(CupDraw!O17="","",CupDraw!O17)</f>
        <v>5.9499999999999993</v>
      </c>
      <c r="K18" s="70" t="str">
        <f>IF(CupDraw!P17="","",CupDraw!P17)</f>
        <v/>
      </c>
      <c r="L18" s="89"/>
      <c r="M18" s="67"/>
      <c r="N18" s="72"/>
      <c r="O18" s="71" t="str">
        <f>CupDraw!T17</f>
        <v>Mo Sudell</v>
      </c>
      <c r="P18" s="81">
        <f>IF(CupDraw!U17="","",CupDraw!U17)</f>
        <v>1.745454545454546</v>
      </c>
      <c r="Q18" s="73" t="str">
        <f>IF(CupDraw!V17="","",CupDraw!V17)</f>
        <v/>
      </c>
      <c r="R18" s="89"/>
      <c r="S18" s="67"/>
      <c r="T18" s="76"/>
      <c r="U18" s="79" t="str">
        <f>CupDraw!Z17</f>
        <v>Graham Miller</v>
      </c>
      <c r="V18" s="107">
        <f>IF(CupDraw!AA17="","",CupDraw!AA17)</f>
        <v>-7</v>
      </c>
      <c r="W18" s="70"/>
      <c r="X18" s="89"/>
      <c r="Y18" s="86"/>
      <c r="Z18" s="86"/>
      <c r="AA18" s="86"/>
      <c r="AB18" s="86"/>
      <c r="AC18" s="86"/>
    </row>
    <row r="19" spans="2:29" x14ac:dyDescent="0.25">
      <c r="B19" s="95">
        <f>CupDraw!G18</f>
        <v>9</v>
      </c>
      <c r="C19" s="80" t="str">
        <f>IF(CupDraw!H18="","",CupDraw!H18)</f>
        <v/>
      </c>
      <c r="D19" s="81" t="str">
        <f>IF(CupDraw!I18="","",CupDraw!I18)</f>
        <v/>
      </c>
      <c r="E19" s="92" t="str">
        <f>IF(CupDraw!J18="","",CupDraw!J18)</f>
        <v/>
      </c>
      <c r="F19" s="85"/>
      <c r="G19" s="66"/>
      <c r="H19" s="95">
        <f>CupDraw!M18</f>
        <v>9</v>
      </c>
      <c r="I19" s="77" t="str">
        <f>IF(CupDraw!N18="","",CupDraw!N18)</f>
        <v>Sally Williams</v>
      </c>
      <c r="J19" s="81">
        <f>IF(CupDraw!O18="","",CupDraw!O18)</f>
        <v>-7</v>
      </c>
      <c r="K19" s="92" t="str">
        <f>IF(CupDraw!P18="","",CupDraw!P18)</f>
        <v/>
      </c>
      <c r="L19" s="89"/>
      <c r="M19" s="67"/>
      <c r="N19" s="69">
        <f>CupDraw!S18</f>
        <v>9</v>
      </c>
      <c r="O19" s="71" t="str">
        <f>CupDraw!T18</f>
        <v>Liam Wah</v>
      </c>
      <c r="P19" s="81">
        <f>IF(CupDraw!U18="","",CupDraw!U18)</f>
        <v>1.75</v>
      </c>
      <c r="Q19" s="92" t="str">
        <f>IF(CupDraw!V18="","",CupDraw!V18)</f>
        <v/>
      </c>
      <c r="R19" s="89"/>
      <c r="S19" s="67"/>
      <c r="T19" s="66"/>
      <c r="U19" s="66"/>
      <c r="V19" s="66"/>
      <c r="W19" s="66"/>
      <c r="X19" s="91"/>
      <c r="Y19" s="86"/>
      <c r="Z19" s="86"/>
      <c r="AA19" s="86"/>
      <c r="AB19" s="86"/>
      <c r="AC19" s="86"/>
    </row>
    <row r="20" spans="2:29" x14ac:dyDescent="0.25">
      <c r="B20" s="94"/>
      <c r="C20" s="80" t="str">
        <f>IF(CupDraw!H19="","",CupDraw!H19)</f>
        <v/>
      </c>
      <c r="D20" s="81" t="str">
        <f>IF(CupDraw!I19="","",CupDraw!I19)</f>
        <v/>
      </c>
      <c r="E20" s="148" t="str">
        <f>IF(CupDraw!J19="","",CupDraw!J19)</f>
        <v/>
      </c>
      <c r="F20" s="85"/>
      <c r="G20" s="66"/>
      <c r="H20" s="94"/>
      <c r="I20" s="77" t="str">
        <f>IF(CupDraw!N19="","",CupDraw!N19)</f>
        <v>Chris Bow</v>
      </c>
      <c r="J20" s="81">
        <f>IF(CupDraw!O19="","",CupDraw!O19)</f>
        <v>-4.0999999999999996</v>
      </c>
      <c r="K20" s="70" t="str">
        <f>IF(CupDraw!P19="","",CupDraw!P19)</f>
        <v/>
      </c>
      <c r="L20" s="89"/>
      <c r="M20" s="67"/>
      <c r="N20" s="72"/>
      <c r="O20" s="71" t="str">
        <f>CupDraw!T19</f>
        <v>Gareth Fallows</v>
      </c>
      <c r="P20" s="81">
        <f>IF(CupDraw!U19="","",CupDraw!U19)</f>
        <v>18.18</v>
      </c>
      <c r="Q20" s="73" t="str">
        <f>IF(CupDraw!V19="","",CupDraw!V19)</f>
        <v/>
      </c>
      <c r="R20" s="89"/>
      <c r="S20" s="67"/>
      <c r="T20" s="66"/>
      <c r="U20" s="66"/>
      <c r="V20" s="66"/>
      <c r="W20" s="66"/>
      <c r="X20" s="91"/>
      <c r="Y20" s="86"/>
      <c r="Z20" s="86"/>
      <c r="AA20" s="86"/>
      <c r="AB20" s="86"/>
      <c r="AC20" s="86"/>
    </row>
    <row r="21" spans="2:29" x14ac:dyDescent="0.25">
      <c r="B21" s="95">
        <f>CupDraw!G20</f>
        <v>10</v>
      </c>
      <c r="C21" s="80" t="str">
        <f>IF(CupDraw!H20="","",CupDraw!H20)</f>
        <v/>
      </c>
      <c r="D21" s="81" t="str">
        <f>IF(CupDraw!I20="","",CupDraw!I20)</f>
        <v/>
      </c>
      <c r="E21" s="92" t="str">
        <f>IF(CupDraw!J20="","",CupDraw!J20)</f>
        <v/>
      </c>
      <c r="F21" s="85"/>
      <c r="G21" s="66"/>
      <c r="H21" s="95">
        <f>CupDraw!M20</f>
        <v>10</v>
      </c>
      <c r="I21" s="77" t="str">
        <f>IF(CupDraw!N20="","",CupDraw!N20)</f>
        <v>John Ronan</v>
      </c>
      <c r="J21" s="81">
        <f>IF(CupDraw!O20="","",CupDraw!O20)</f>
        <v>-0.70000000000000018</v>
      </c>
      <c r="K21" s="92" t="str">
        <f>IF(CupDraw!P20="","",CupDraw!P20)</f>
        <v/>
      </c>
      <c r="L21" s="89"/>
      <c r="M21" s="67"/>
      <c r="N21" s="69">
        <f>CupDraw!S20</f>
        <v>10</v>
      </c>
      <c r="O21" s="71" t="str">
        <f>CupDraw!T20</f>
        <v>Nick Blocksidge</v>
      </c>
      <c r="P21" s="81">
        <f>IF(CupDraw!U20="","",CupDraw!U20)</f>
        <v>-7</v>
      </c>
      <c r="Q21" s="92" t="str">
        <f>IF(CupDraw!V20="","",CupDraw!V20)</f>
        <v/>
      </c>
      <c r="R21" s="89"/>
      <c r="S21" s="67"/>
      <c r="T21" s="66"/>
      <c r="U21" s="66"/>
      <c r="V21" s="66"/>
      <c r="W21" s="66"/>
      <c r="X21" s="91"/>
      <c r="Y21" s="86"/>
      <c r="Z21" s="86"/>
      <c r="AA21" s="86"/>
      <c r="AB21" s="86"/>
      <c r="AC21" s="86"/>
    </row>
    <row r="22" spans="2:29" x14ac:dyDescent="0.25">
      <c r="B22" s="94"/>
      <c r="C22" s="80" t="str">
        <f>IF(CupDraw!H21="","",CupDraw!H21)</f>
        <v/>
      </c>
      <c r="D22" s="81" t="str">
        <f>IF(CupDraw!I21="","",CupDraw!I21)</f>
        <v/>
      </c>
      <c r="E22" s="148" t="str">
        <f>IF(CupDraw!J21="","",CupDraw!J21)</f>
        <v/>
      </c>
      <c r="F22" s="85"/>
      <c r="G22" s="66"/>
      <c r="H22" s="94"/>
      <c r="I22" s="77" t="str">
        <f>IF(CupDraw!N21="","",CupDraw!N21)</f>
        <v>Paul Ridgeway</v>
      </c>
      <c r="J22" s="81">
        <f>IF(CupDraw!O21="","",CupDraw!O21)</f>
        <v>1.5999999999999996</v>
      </c>
      <c r="K22" s="70" t="str">
        <f>IF(CupDraw!P21="","",CupDraw!P21)</f>
        <v/>
      </c>
      <c r="L22" s="89"/>
      <c r="M22" s="67"/>
      <c r="N22" s="72"/>
      <c r="O22" s="71" t="str">
        <f>CupDraw!T21</f>
        <v>Paul Allen</v>
      </c>
      <c r="P22" s="81">
        <f>IF(CupDraw!U21="","",CupDraw!U21)</f>
        <v>-0.72727272727272663</v>
      </c>
      <c r="Q22" s="73" t="str">
        <f>IF(CupDraw!V21="","",CupDraw!V21)</f>
        <v/>
      </c>
      <c r="R22" s="89"/>
      <c r="S22" s="67"/>
      <c r="T22" s="66" t="str">
        <f>CupDraw!Y21</f>
        <v>Earlier Ties</v>
      </c>
      <c r="U22" s="66"/>
      <c r="V22" s="66"/>
      <c r="W22" s="66"/>
      <c r="X22" s="91"/>
      <c r="Y22" s="86"/>
      <c r="Z22" s="86"/>
      <c r="AA22" s="86"/>
      <c r="AB22" s="86"/>
      <c r="AC22" s="86"/>
    </row>
    <row r="23" spans="2:29" x14ac:dyDescent="0.25">
      <c r="B23" s="95">
        <f>CupDraw!G22</f>
        <v>11</v>
      </c>
      <c r="C23" s="80" t="str">
        <f>IF(CupDraw!H22="","",CupDraw!H22)</f>
        <v/>
      </c>
      <c r="D23" s="81" t="str">
        <f>IF(CupDraw!I22="","",CupDraw!I22)</f>
        <v/>
      </c>
      <c r="E23" s="92" t="str">
        <f>IF(CupDraw!J22="","",CupDraw!J22)</f>
        <v/>
      </c>
      <c r="F23" s="85"/>
      <c r="G23" s="66"/>
      <c r="H23" s="95">
        <f>CupDraw!M22</f>
        <v>11</v>
      </c>
      <c r="I23" s="77" t="str">
        <f>IF(CupDraw!N22="","",CupDraw!N22)</f>
        <v>John Brown</v>
      </c>
      <c r="J23" s="81">
        <f>IF(CupDraw!O22="","",CupDraw!O22)</f>
        <v>5.9499999999999993</v>
      </c>
      <c r="K23" s="92" t="str">
        <f>IF(CupDraw!P22="","",CupDraw!P22)</f>
        <v/>
      </c>
      <c r="L23" s="89"/>
      <c r="M23" s="67"/>
      <c r="N23" s="69">
        <f>CupDraw!S22</f>
        <v>11</v>
      </c>
      <c r="O23" s="71" t="str">
        <f>CupDraw!T22</f>
        <v>Graeme Holmes</v>
      </c>
      <c r="P23" s="81">
        <f>IF(CupDraw!U22="","",CupDraw!U22)</f>
        <v>-2.84375</v>
      </c>
      <c r="Q23" s="92" t="str">
        <f>IF(CupDraw!V22="","",CupDraw!V22)</f>
        <v/>
      </c>
      <c r="R23" s="89"/>
      <c r="S23" s="67"/>
      <c r="T23" s="69"/>
      <c r="U23" s="79"/>
      <c r="V23" s="81"/>
      <c r="W23" s="92"/>
      <c r="X23" s="91"/>
      <c r="Y23" s="86"/>
      <c r="Z23" s="86"/>
      <c r="AA23" s="86"/>
      <c r="AB23" s="86"/>
      <c r="AC23" s="86"/>
    </row>
    <row r="24" spans="2:29" x14ac:dyDescent="0.25">
      <c r="B24" s="94"/>
      <c r="C24" s="80" t="str">
        <f>IF(CupDraw!H23="","",CupDraw!H23)</f>
        <v/>
      </c>
      <c r="D24" s="81" t="str">
        <f>IF(CupDraw!I23="","",CupDraw!I23)</f>
        <v/>
      </c>
      <c r="E24" s="148" t="str">
        <f>IF(CupDraw!J23="","",CupDraw!J23)</f>
        <v/>
      </c>
      <c r="F24" s="85"/>
      <c r="G24" s="66"/>
      <c r="H24" s="94"/>
      <c r="I24" s="77" t="str">
        <f>IF(CupDraw!N23="","",CupDraw!N23)</f>
        <v>Antony Robinson</v>
      </c>
      <c r="J24" s="81">
        <f>IF(CupDraw!O23="","",CupDraw!O23)</f>
        <v>-5.666666666666667</v>
      </c>
      <c r="K24" s="70" t="str">
        <f>IF(CupDraw!P23="","",CupDraw!P23)</f>
        <v/>
      </c>
      <c r="L24" s="89"/>
      <c r="M24" s="67"/>
      <c r="N24" s="72"/>
      <c r="O24" s="71" t="str">
        <f>CupDraw!T23</f>
        <v>Chris Townsend</v>
      </c>
      <c r="P24" s="81">
        <f>IF(CupDraw!U23="","",CupDraw!U23)</f>
        <v>-7</v>
      </c>
      <c r="Q24" s="73" t="str">
        <f>IF(CupDraw!V23="","",CupDraw!V23)</f>
        <v/>
      </c>
      <c r="R24" s="89"/>
      <c r="S24" s="67"/>
      <c r="T24" s="72"/>
      <c r="U24" s="79"/>
      <c r="V24" s="81"/>
      <c r="W24" s="73"/>
      <c r="X24" s="91"/>
      <c r="Y24" s="86"/>
      <c r="Z24" s="86"/>
      <c r="AA24" s="86"/>
      <c r="AB24" s="86"/>
      <c r="AC24" s="86"/>
    </row>
    <row r="25" spans="2:29" x14ac:dyDescent="0.25">
      <c r="B25" s="95">
        <f>CupDraw!G24</f>
        <v>12</v>
      </c>
      <c r="C25" s="80" t="str">
        <f>IF(CupDraw!H24="","",CupDraw!H24)</f>
        <v/>
      </c>
      <c r="D25" s="81" t="str">
        <f>IF(CupDraw!I24="","",CupDraw!I24)</f>
        <v/>
      </c>
      <c r="E25" s="92" t="str">
        <f>IF(CupDraw!J24="","",CupDraw!J24)</f>
        <v/>
      </c>
      <c r="F25" s="66"/>
      <c r="G25" s="66"/>
      <c r="H25" s="95">
        <f>CupDraw!M24</f>
        <v>12</v>
      </c>
      <c r="I25" s="77" t="str">
        <f>IF(CupDraw!N24="","",CupDraw!N24)</f>
        <v>Andy Charleston</v>
      </c>
      <c r="J25" s="81">
        <f>IF(CupDraw!O24="","",CupDraw!O24)</f>
        <v>0.29999999999999982</v>
      </c>
      <c r="K25" s="92" t="str">
        <f>IF(CupDraw!P24="","",CupDraw!P24)</f>
        <v/>
      </c>
      <c r="L25" s="89"/>
      <c r="M25" s="67"/>
      <c r="N25" s="69">
        <f>CupDraw!S24</f>
        <v>12</v>
      </c>
      <c r="O25" s="71" t="str">
        <f>CupDraw!T24</f>
        <v>Jack Walsh</v>
      </c>
      <c r="P25" s="81">
        <f>IF(CupDraw!U24="","",CupDraw!U24)</f>
        <v>-5.2727272727272725</v>
      </c>
      <c r="Q25" s="92" t="str">
        <f>IF(CupDraw!V24="","",CupDraw!V24)</f>
        <v/>
      </c>
      <c r="R25" s="89"/>
      <c r="S25" s="67"/>
      <c r="T25" s="69"/>
      <c r="U25" s="71" t="str">
        <f>IF(CupDraw!Z24="","",CupDraw!Z24)</f>
        <v/>
      </c>
      <c r="V25" s="81" t="str">
        <f>IF(CupDraw!AA24="","",CupDraw!AA24)</f>
        <v/>
      </c>
      <c r="W25" s="92"/>
      <c r="X25" s="91"/>
      <c r="Y25" s="86"/>
      <c r="Z25" s="86"/>
      <c r="AA25" s="86"/>
      <c r="AB25" s="86"/>
      <c r="AC25" s="86"/>
    </row>
    <row r="26" spans="2:29" x14ac:dyDescent="0.25">
      <c r="B26" s="94"/>
      <c r="C26" s="80" t="str">
        <f>IF(CupDraw!H25="","",CupDraw!H25)</f>
        <v/>
      </c>
      <c r="D26" s="81" t="str">
        <f>IF(CupDraw!I25="","",CupDraw!I25)</f>
        <v/>
      </c>
      <c r="E26" s="148" t="str">
        <f>IF(CupDraw!J25="","",CupDraw!J25)</f>
        <v/>
      </c>
      <c r="F26" s="66"/>
      <c r="G26" s="66"/>
      <c r="H26" s="94"/>
      <c r="I26" s="77" t="str">
        <f>IF(CupDraw!N25="","",CupDraw!N25)</f>
        <v>Lennie Bow</v>
      </c>
      <c r="J26" s="81">
        <f>IF(CupDraw!O25="","",CupDraw!O25)</f>
        <v>-2.2962962962962967</v>
      </c>
      <c r="K26" s="70" t="str">
        <f>IF(CupDraw!P25="","",CupDraw!P25)</f>
        <v/>
      </c>
      <c r="L26" s="89"/>
      <c r="M26" s="67"/>
      <c r="N26" s="72"/>
      <c r="O26" s="71" t="str">
        <f>CupDraw!T25</f>
        <v>Dave Orrell</v>
      </c>
      <c r="P26" s="81">
        <f>IF(CupDraw!U25="","",CupDraw!U25)</f>
        <v>-7</v>
      </c>
      <c r="Q26" s="73" t="str">
        <f>IF(CupDraw!V25="","",CupDraw!V25)</f>
        <v/>
      </c>
      <c r="R26" s="89"/>
      <c r="S26" s="67"/>
      <c r="T26" s="76"/>
      <c r="U26" s="71" t="str">
        <f>IF(CupDraw!Z25="","",CupDraw!Z25)</f>
        <v/>
      </c>
      <c r="V26" s="81" t="str">
        <f>IF(CupDraw!AA25="","",CupDraw!AA25)</f>
        <v/>
      </c>
      <c r="W26" s="70"/>
      <c r="X26" s="91"/>
      <c r="Y26" s="86"/>
      <c r="Z26" s="86"/>
      <c r="AA26" s="86"/>
      <c r="AB26" s="86"/>
      <c r="AC26" s="86"/>
    </row>
    <row r="27" spans="2:29" x14ac:dyDescent="0.25">
      <c r="B27" s="95">
        <f>CupDraw!G26</f>
        <v>13</v>
      </c>
      <c r="C27" s="80" t="str">
        <f>IF(CupDraw!H26="","",CupDraw!H26)</f>
        <v/>
      </c>
      <c r="D27" s="81" t="str">
        <f>IF(CupDraw!I26="","",CupDraw!I26)</f>
        <v/>
      </c>
      <c r="E27" s="92" t="str">
        <f>IF(CupDraw!J26="","",CupDraw!J26)</f>
        <v/>
      </c>
      <c r="F27" s="66"/>
      <c r="G27" s="66"/>
      <c r="H27" s="95">
        <f>CupDraw!M26</f>
        <v>13</v>
      </c>
      <c r="I27" s="77" t="str">
        <f>IF(CupDraw!N26="","",CupDraw!N26)</f>
        <v>Phil Brown</v>
      </c>
      <c r="J27" s="81">
        <f>IF(CupDraw!O26="","",CupDraw!O26)</f>
        <v>-4.4000000000000004</v>
      </c>
      <c r="K27" s="92" t="str">
        <f>IF(CupDraw!P26="","",CupDraw!P26)</f>
        <v/>
      </c>
      <c r="L27" s="89"/>
      <c r="M27" s="67"/>
      <c r="N27" s="69">
        <f>CupDraw!S26</f>
        <v>13</v>
      </c>
      <c r="O27" s="71" t="str">
        <f>CupDraw!T26</f>
        <v>Rob England</v>
      </c>
      <c r="P27" s="81">
        <f>IF(CupDraw!U26="","",CupDraw!U26)</f>
        <v>-7</v>
      </c>
      <c r="Q27" s="92" t="str">
        <f>IF(CupDraw!V26="","",CupDraw!V26)</f>
        <v/>
      </c>
      <c r="R27" s="89"/>
      <c r="S27" s="67"/>
      <c r="T27" s="69"/>
      <c r="U27" s="79" t="str">
        <f>IF(CupDraw!Z26="","",CupDraw!Z26)</f>
        <v/>
      </c>
      <c r="V27" s="81" t="str">
        <f>IF(CupDraw!AA26="","",CupDraw!AA26)</f>
        <v/>
      </c>
      <c r="W27" s="92" t="str">
        <f>CupDraw!AB26</f>
        <v/>
      </c>
      <c r="X27" s="91"/>
      <c r="Y27" s="86"/>
      <c r="Z27" s="86"/>
      <c r="AA27" s="86"/>
      <c r="AB27" s="86"/>
      <c r="AC27" s="86"/>
    </row>
    <row r="28" spans="2:29" x14ac:dyDescent="0.25">
      <c r="B28" s="94"/>
      <c r="C28" s="80" t="str">
        <f>IF(CupDraw!H27="","",CupDraw!H27)</f>
        <v/>
      </c>
      <c r="D28" s="81" t="str">
        <f>IF(CupDraw!I27="","",CupDraw!I27)</f>
        <v/>
      </c>
      <c r="E28" s="148" t="str">
        <f>IF(CupDraw!J27="","",CupDraw!J27)</f>
        <v/>
      </c>
      <c r="F28" s="66"/>
      <c r="G28" s="66"/>
      <c r="H28" s="94"/>
      <c r="I28" s="77" t="str">
        <f>IF(CupDraw!N27="","",CupDraw!N27)</f>
        <v>Dave Bell</v>
      </c>
      <c r="J28" s="81">
        <f>IF(CupDraw!O27="","",CupDraw!O27)</f>
        <v>-7</v>
      </c>
      <c r="K28" s="70" t="str">
        <f>IF(CupDraw!P27="","",CupDraw!P27)</f>
        <v/>
      </c>
      <c r="L28" s="89"/>
      <c r="M28" s="67"/>
      <c r="N28" s="72"/>
      <c r="O28" s="71" t="str">
        <f>CupDraw!T27</f>
        <v>David Dunn</v>
      </c>
      <c r="P28" s="81">
        <f>IF(CupDraw!U27="","",CupDraw!U27)</f>
        <v>18.232307692307689</v>
      </c>
      <c r="Q28" s="73" t="str">
        <f>IF(CupDraw!V27="","",CupDraw!V27)</f>
        <v/>
      </c>
      <c r="R28" s="89"/>
      <c r="S28" s="67"/>
      <c r="T28" s="72"/>
      <c r="U28" s="79" t="str">
        <f>IF(CupDraw!Z27="","",CupDraw!Z27)</f>
        <v/>
      </c>
      <c r="V28" s="81" t="str">
        <f>IF(CupDraw!AA27="","",CupDraw!AA27)</f>
        <v/>
      </c>
      <c r="W28" s="73"/>
      <c r="X28" s="91"/>
      <c r="Y28" s="86"/>
      <c r="Z28" s="86"/>
      <c r="AA28" s="86"/>
      <c r="AB28" s="86"/>
      <c r="AC28" s="86"/>
    </row>
    <row r="29" spans="2:29" x14ac:dyDescent="0.25">
      <c r="B29" s="95">
        <f>CupDraw!G28</f>
        <v>14</v>
      </c>
      <c r="C29" s="80" t="str">
        <f>IF(CupDraw!H28="","",CupDraw!H28)</f>
        <v/>
      </c>
      <c r="D29" s="81" t="str">
        <f>IF(CupDraw!I28="","",CupDraw!I28)</f>
        <v/>
      </c>
      <c r="E29" s="92" t="str">
        <f>IF(CupDraw!J28="","",CupDraw!J28)</f>
        <v/>
      </c>
      <c r="F29" s="66"/>
      <c r="G29" s="66"/>
      <c r="H29" s="95">
        <f>CupDraw!M28</f>
        <v>14</v>
      </c>
      <c r="I29" s="77" t="str">
        <f>IF(CupDraw!N28="","",CupDraw!N28)</f>
        <v>Andy White</v>
      </c>
      <c r="J29" s="81">
        <f>IF(CupDraw!O28="","",CupDraw!O28)</f>
        <v>-5.0909090909090908</v>
      </c>
      <c r="K29" s="92" t="str">
        <f>IF(CupDraw!P28="","",CupDraw!P28)</f>
        <v/>
      </c>
      <c r="L29" s="89"/>
      <c r="M29" s="67"/>
      <c r="N29" s="69">
        <f>CupDraw!S28</f>
        <v>14</v>
      </c>
      <c r="O29" s="71" t="str">
        <f>CupDraw!T28</f>
        <v>Nigel Heyes</v>
      </c>
      <c r="P29" s="81">
        <f>IF(CupDraw!U28="","",CupDraw!U28)</f>
        <v>-5.05</v>
      </c>
      <c r="Q29" s="92" t="str">
        <f>IF(CupDraw!V28="","",CupDraw!V28)</f>
        <v/>
      </c>
      <c r="R29" s="89"/>
      <c r="S29" s="67"/>
      <c r="T29" s="69"/>
      <c r="U29" s="71" t="str">
        <f>IF(CupDraw!Z28="","",CupDraw!Z28)</f>
        <v/>
      </c>
      <c r="V29" s="81" t="str">
        <f>IF(CupDraw!AA28="","",CupDraw!AA28)</f>
        <v/>
      </c>
      <c r="W29" s="92" t="str">
        <f>CupDraw!AB28</f>
        <v/>
      </c>
      <c r="X29" s="91"/>
      <c r="Y29" s="86"/>
      <c r="Z29" s="86"/>
      <c r="AA29" s="86"/>
      <c r="AB29" s="86"/>
      <c r="AC29" s="86"/>
    </row>
    <row r="30" spans="2:29" x14ac:dyDescent="0.25">
      <c r="B30" s="94"/>
      <c r="C30" s="80" t="str">
        <f>IF(CupDraw!H29="","",CupDraw!H29)</f>
        <v/>
      </c>
      <c r="D30" s="81" t="str">
        <f>IF(CupDraw!I29="","",CupDraw!I29)</f>
        <v/>
      </c>
      <c r="E30" s="148" t="str">
        <f>IF(CupDraw!J29="","",CupDraw!J29)</f>
        <v/>
      </c>
      <c r="F30" s="66"/>
      <c r="G30" s="66"/>
      <c r="H30" s="94"/>
      <c r="I30" s="77" t="str">
        <f>IF(CupDraw!N29="","",CupDraw!N29)</f>
        <v>Paul Fairhurst</v>
      </c>
      <c r="J30" s="81">
        <f>IF(CupDraw!O29="","",CupDraw!O29)</f>
        <v>-3</v>
      </c>
      <c r="K30" s="70" t="str">
        <f>IF(CupDraw!P29="","",CupDraw!P29)</f>
        <v/>
      </c>
      <c r="L30" s="89"/>
      <c r="M30" s="67"/>
      <c r="N30" s="72"/>
      <c r="O30" s="71" t="str">
        <f>CupDraw!T29</f>
        <v>Martin Molyneux</v>
      </c>
      <c r="P30" s="81">
        <f>IF(CupDraw!U29="","",CupDraw!U29)</f>
        <v>-7</v>
      </c>
      <c r="Q30" s="73" t="str">
        <f>IF(CupDraw!V29="","",CupDraw!V29)</f>
        <v/>
      </c>
      <c r="R30" s="89"/>
      <c r="S30" s="67"/>
      <c r="T30" s="76"/>
      <c r="U30" s="71" t="str">
        <f>IF(CupDraw!Z29="","",CupDraw!Z29)</f>
        <v/>
      </c>
      <c r="V30" s="81" t="str">
        <f>IF(CupDraw!AA29="","",CupDraw!AA29)</f>
        <v/>
      </c>
      <c r="W30" s="70"/>
      <c r="X30" s="91"/>
      <c r="Y30" s="86"/>
      <c r="Z30" s="86"/>
      <c r="AA30" s="86"/>
      <c r="AB30" s="86"/>
      <c r="AC30" s="86"/>
    </row>
    <row r="31" spans="2:29" x14ac:dyDescent="0.25">
      <c r="B31" s="95">
        <f>CupDraw!G30</f>
        <v>15</v>
      </c>
      <c r="C31" s="80" t="str">
        <f>IF(CupDraw!H30="","",CupDraw!H30)</f>
        <v/>
      </c>
      <c r="D31" s="81" t="str">
        <f>IF(CupDraw!I30="","",CupDraw!I30)</f>
        <v/>
      </c>
      <c r="E31" s="92" t="str">
        <f>IF(CupDraw!J30="","",CupDraw!J30)</f>
        <v/>
      </c>
      <c r="F31" s="66"/>
      <c r="G31" s="66"/>
      <c r="H31" s="95">
        <f>CupDraw!M30</f>
        <v>15</v>
      </c>
      <c r="I31" s="77" t="str">
        <f>IF(CupDraw!N30="","",CupDraw!N30)</f>
        <v>Martin Tarbuck</v>
      </c>
      <c r="J31" s="81">
        <f>IF(CupDraw!O30="","",CupDraw!O30)</f>
        <v>-5.0909090909090908</v>
      </c>
      <c r="K31" s="92" t="str">
        <f>IF(CupDraw!P30="","",CupDraw!P30)</f>
        <v/>
      </c>
      <c r="L31" s="89"/>
      <c r="M31" s="67"/>
      <c r="N31" s="69">
        <f>CupDraw!S30</f>
        <v>15</v>
      </c>
      <c r="O31" s="71" t="str">
        <f>CupDraw!T30</f>
        <v>Pete Baron</v>
      </c>
      <c r="P31" s="81">
        <f>IF(CupDraw!U30="","",CupDraw!U30)</f>
        <v>-4.9000000000000004</v>
      </c>
      <c r="Q31" s="92" t="str">
        <f>IF(CupDraw!V30="","",CupDraw!V30)</f>
        <v/>
      </c>
      <c r="R31" s="89"/>
      <c r="S31" s="67"/>
      <c r="T31" s="86"/>
      <c r="U31" s="86"/>
      <c r="V31" s="86"/>
      <c r="W31" s="86"/>
      <c r="X31" s="91"/>
      <c r="Y31" s="86"/>
      <c r="Z31" s="86"/>
      <c r="AA31" s="86"/>
      <c r="AB31" s="86"/>
      <c r="AC31" s="86"/>
    </row>
    <row r="32" spans="2:29" x14ac:dyDescent="0.25">
      <c r="B32" s="94"/>
      <c r="C32" s="80" t="str">
        <f>IF(CupDraw!H31="","",CupDraw!H31)</f>
        <v/>
      </c>
      <c r="D32" s="81" t="str">
        <f>IF(CupDraw!I31="","",CupDraw!I31)</f>
        <v/>
      </c>
      <c r="E32" s="148" t="str">
        <f>IF(CupDraw!J31="","",CupDraw!J31)</f>
        <v/>
      </c>
      <c r="F32" s="66"/>
      <c r="G32" s="66"/>
      <c r="H32" s="94"/>
      <c r="I32" s="77" t="str">
        <f>IF(CupDraw!N31="","",CupDraw!N31)</f>
        <v>Charlie Griffiths</v>
      </c>
      <c r="J32" s="81">
        <f>IF(CupDraw!O31="","",CupDraw!O31)</f>
        <v>-4.7</v>
      </c>
      <c r="K32" s="70" t="str">
        <f>IF(CupDraw!P31="","",CupDraw!P31)</f>
        <v/>
      </c>
      <c r="L32" s="89"/>
      <c r="M32" s="67"/>
      <c r="N32" s="72"/>
      <c r="O32" s="71" t="str">
        <f>CupDraw!T31</f>
        <v>Dan Baxter</v>
      </c>
      <c r="P32" s="81">
        <f>IF(CupDraw!U31="","",CupDraw!U31)</f>
        <v>19.003846153846155</v>
      </c>
      <c r="Q32" s="73" t="str">
        <f>IF(CupDraw!V31="","",CupDraw!V31)</f>
        <v/>
      </c>
      <c r="R32" s="89"/>
      <c r="S32" s="67"/>
      <c r="T32" s="86"/>
      <c r="U32" s="86"/>
      <c r="V32" s="86"/>
      <c r="W32" s="86"/>
      <c r="X32" s="91"/>
      <c r="Y32" s="86"/>
      <c r="Z32" s="86"/>
      <c r="AA32" s="86"/>
      <c r="AB32" s="86"/>
      <c r="AC32" s="86"/>
    </row>
    <row r="33" spans="2:29" x14ac:dyDescent="0.25">
      <c r="B33" s="95">
        <f>CupDraw!G32</f>
        <v>16</v>
      </c>
      <c r="C33" s="80" t="str">
        <f>IF(CupDraw!H32="","",CupDraw!H32)</f>
        <v/>
      </c>
      <c r="D33" s="81" t="str">
        <f>IF(CupDraw!I32="","",CupDraw!I32)</f>
        <v/>
      </c>
      <c r="E33" s="92" t="str">
        <f>IF(CupDraw!J32="","",CupDraw!J32)</f>
        <v/>
      </c>
      <c r="F33" s="66"/>
      <c r="G33" s="66"/>
      <c r="H33" s="95">
        <f>CupDraw!M32</f>
        <v>16</v>
      </c>
      <c r="I33" s="77" t="str">
        <f>IF(CupDraw!N32="","",CupDraw!N32)</f>
        <v>Mo Sudell</v>
      </c>
      <c r="J33" s="81">
        <f>IF(CupDraw!O32="","",CupDraw!O32)</f>
        <v>1.745454545454546</v>
      </c>
      <c r="K33" s="92" t="str">
        <f>IF(CupDraw!P32="","",CupDraw!P32)</f>
        <v/>
      </c>
      <c r="L33" s="89"/>
      <c r="M33" s="67"/>
      <c r="N33" s="69">
        <f>CupDraw!S32</f>
        <v>16</v>
      </c>
      <c r="O33" s="71" t="str">
        <f>CupDraw!T32</f>
        <v>Chris Luck</v>
      </c>
      <c r="P33" s="81">
        <f>IF(CupDraw!U32="","",CupDraw!U32)</f>
        <v>-7</v>
      </c>
      <c r="Q33" s="92" t="str">
        <f>IF(CupDraw!V32="","",CupDraw!V32)</f>
        <v/>
      </c>
      <c r="R33" s="89"/>
      <c r="S33" s="67"/>
      <c r="T33" s="86"/>
      <c r="U33" s="86"/>
      <c r="V33" s="86"/>
      <c r="W33" s="86"/>
      <c r="X33" s="91"/>
      <c r="Y33" s="86"/>
      <c r="Z33" s="86"/>
      <c r="AA33" s="86"/>
      <c r="AB33" s="86"/>
      <c r="AC33" s="86"/>
    </row>
    <row r="34" spans="2:29" x14ac:dyDescent="0.25">
      <c r="B34" s="94"/>
      <c r="C34" s="80" t="str">
        <f>IF(CupDraw!H33="","",CupDraw!H33)</f>
        <v/>
      </c>
      <c r="D34" s="81" t="str">
        <f>IF(CupDraw!I33="","",CupDraw!I33)</f>
        <v/>
      </c>
      <c r="E34" s="148" t="str">
        <f>IF(CupDraw!J33="","",CupDraw!J33)</f>
        <v/>
      </c>
      <c r="F34" s="66"/>
      <c r="G34" s="66"/>
      <c r="H34" s="94"/>
      <c r="I34" s="77" t="str">
        <f>IF(CupDraw!N33="","",CupDraw!N33)</f>
        <v>Paul Fiddler</v>
      </c>
      <c r="J34" s="81">
        <f>IF(CupDraw!O33="","",CupDraw!O33)</f>
        <v>-0.90909090909090917</v>
      </c>
      <c r="K34" s="70" t="str">
        <f>IF(CupDraw!P33="","",CupDraw!P33)</f>
        <v/>
      </c>
      <c r="L34" s="89"/>
      <c r="M34" s="67"/>
      <c r="N34" s="76"/>
      <c r="O34" s="71" t="str">
        <f>CupDraw!T33</f>
        <v>Graham Miller</v>
      </c>
      <c r="P34" s="81">
        <f>IF(CupDraw!U33="","",CupDraw!U33)</f>
        <v>-0.86713286713286752</v>
      </c>
      <c r="Q34" s="70" t="str">
        <f>IF(CupDraw!V33="","",CupDraw!V33)</f>
        <v/>
      </c>
      <c r="R34" s="89"/>
      <c r="S34" s="67"/>
      <c r="T34" s="86"/>
      <c r="U34" s="86"/>
      <c r="V34" s="86"/>
      <c r="W34" s="86"/>
      <c r="X34" s="91"/>
      <c r="Y34" s="86"/>
      <c r="Z34" s="86"/>
      <c r="AA34" s="86"/>
      <c r="AB34" s="86"/>
      <c r="AC34" s="86"/>
    </row>
    <row r="35" spans="2:29" x14ac:dyDescent="0.25">
      <c r="B35" s="95">
        <f>CupDraw!G34</f>
        <v>17</v>
      </c>
      <c r="C35" s="80" t="str">
        <f>IF(CupDraw!H34="","",CupDraw!H34)</f>
        <v/>
      </c>
      <c r="D35" s="81" t="str">
        <f>IF(CupDraw!I34="","",CupDraw!I34)</f>
        <v/>
      </c>
      <c r="E35" s="92" t="str">
        <f>IF(CupDraw!J34="","",CupDraw!J34)</f>
        <v/>
      </c>
      <c r="F35" s="66"/>
      <c r="G35" s="66"/>
      <c r="H35" s="95">
        <f>CupDraw!M34</f>
        <v>17</v>
      </c>
      <c r="I35" s="77" t="str">
        <f>IF(CupDraw!N34="","",CupDraw!N34)</f>
        <v>Vinny Topping</v>
      </c>
      <c r="J35" s="81">
        <f>IF(CupDraw!O34="","",CupDraw!O34)</f>
        <v>-4.625</v>
      </c>
      <c r="K35" s="92" t="str">
        <f>IF(CupDraw!P34="","",CupDraw!P34)</f>
        <v/>
      </c>
      <c r="L35" s="89"/>
      <c r="M35" s="66"/>
      <c r="N35" s="66"/>
      <c r="O35" s="66"/>
      <c r="P35" s="66"/>
      <c r="Q35" s="66" t="str">
        <f>IF(CupDraw!V34="","",CupDraw!V34)</f>
        <v/>
      </c>
      <c r="R35" s="90"/>
      <c r="S35" s="66"/>
      <c r="T35" s="86"/>
      <c r="U35" s="86"/>
      <c r="V35" s="86"/>
      <c r="W35" s="86"/>
      <c r="X35" s="91"/>
      <c r="Y35" s="86"/>
      <c r="Z35" s="86"/>
      <c r="AA35" s="86"/>
      <c r="AB35" s="86"/>
      <c r="AC35" s="86"/>
    </row>
    <row r="36" spans="2:29" x14ac:dyDescent="0.25">
      <c r="B36" s="94"/>
      <c r="C36" s="80" t="str">
        <f>IF(CupDraw!H35="","",CupDraw!H35)</f>
        <v/>
      </c>
      <c r="D36" s="81" t="str">
        <f>IF(CupDraw!I35="","",CupDraw!I35)</f>
        <v/>
      </c>
      <c r="E36" s="148" t="str">
        <f>IF(CupDraw!J35="","",CupDraw!J35)</f>
        <v/>
      </c>
      <c r="F36" s="66"/>
      <c r="G36" s="66"/>
      <c r="H36" s="94"/>
      <c r="I36" s="77" t="str">
        <f>IF(CupDraw!N35="","",CupDraw!N35)</f>
        <v>Liam Wah</v>
      </c>
      <c r="J36" s="81">
        <f>IF(CupDraw!O35="","",CupDraw!O35)</f>
        <v>13</v>
      </c>
      <c r="K36" s="70" t="str">
        <f>IF(CupDraw!P35="","",CupDraw!P35)</f>
        <v/>
      </c>
      <c r="L36" s="89"/>
      <c r="M36" s="66"/>
      <c r="N36" s="66"/>
      <c r="O36" s="66"/>
      <c r="P36" s="66"/>
      <c r="Q36" s="66" t="str">
        <f>IF(CupDraw!V35="","",CupDraw!V35)</f>
        <v/>
      </c>
      <c r="R36" s="90"/>
      <c r="S36" s="66"/>
      <c r="T36" s="86"/>
      <c r="U36" s="86"/>
      <c r="V36" s="86"/>
      <c r="W36" s="86"/>
      <c r="X36" s="91"/>
      <c r="Y36" s="86"/>
      <c r="Z36" s="86"/>
      <c r="AA36" s="86"/>
      <c r="AB36" s="86"/>
      <c r="AC36" s="86"/>
    </row>
    <row r="37" spans="2:29" x14ac:dyDescent="0.25">
      <c r="B37" s="95">
        <f>CupDraw!G36</f>
        <v>18</v>
      </c>
      <c r="C37" s="80" t="str">
        <f>IF(CupDraw!H36="","",CupDraw!H36)</f>
        <v/>
      </c>
      <c r="D37" s="81" t="str">
        <f>IF(CupDraw!I36="","",CupDraw!I36)</f>
        <v/>
      </c>
      <c r="E37" s="92" t="str">
        <f>IF(CupDraw!J36="","",CupDraw!J36)</f>
        <v/>
      </c>
      <c r="F37" s="66"/>
      <c r="G37" s="66"/>
      <c r="H37" s="95">
        <f>CupDraw!M36</f>
        <v>18</v>
      </c>
      <c r="I37" s="77" t="str">
        <f>IF(CupDraw!N36="","",CupDraw!N36)</f>
        <v>Chris Griffin</v>
      </c>
      <c r="J37" s="81">
        <f>IF(CupDraw!O36="","",CupDraw!O36)</f>
        <v>1</v>
      </c>
      <c r="K37" s="92" t="str">
        <f>IF(CupDraw!P36="","",CupDraw!P36)</f>
        <v/>
      </c>
      <c r="L37" s="89"/>
      <c r="M37" s="66"/>
      <c r="N37" s="66"/>
      <c r="O37" s="66"/>
      <c r="P37" s="66"/>
      <c r="Q37" s="66" t="str">
        <f>IF(CupDraw!V36="","",CupDraw!V36)</f>
        <v/>
      </c>
      <c r="R37" s="90"/>
      <c r="S37" s="66"/>
      <c r="T37" s="86"/>
      <c r="U37" s="86"/>
      <c r="V37" s="86"/>
      <c r="W37" s="86"/>
      <c r="X37" s="91"/>
      <c r="Y37" s="86"/>
      <c r="Z37" s="86"/>
      <c r="AA37" s="86"/>
      <c r="AB37" s="86"/>
      <c r="AC37" s="86"/>
    </row>
    <row r="38" spans="2:29" x14ac:dyDescent="0.25">
      <c r="B38" s="94"/>
      <c r="C38" s="80" t="str">
        <f>IF(CupDraw!H37="","",CupDraw!H37)</f>
        <v/>
      </c>
      <c r="D38" s="81" t="str">
        <f>IF(CupDraw!I37="","",CupDraw!I37)</f>
        <v/>
      </c>
      <c r="E38" s="148" t="str">
        <f>IF(CupDraw!J37="","",CupDraw!J37)</f>
        <v/>
      </c>
      <c r="F38" s="66"/>
      <c r="G38" s="66"/>
      <c r="H38" s="94"/>
      <c r="I38" s="77" t="str">
        <f>IF(CupDraw!N37="","",CupDraw!N37)</f>
        <v>Gareth Fallows</v>
      </c>
      <c r="J38" s="81">
        <f>IF(CupDraw!O37="","",CupDraw!O37)</f>
        <v>7.48</v>
      </c>
      <c r="K38" s="70" t="str">
        <f>IF(CupDraw!P37="","",CupDraw!P37)</f>
        <v/>
      </c>
      <c r="L38" s="89"/>
      <c r="M38" s="66"/>
      <c r="N38" s="66" t="str">
        <f>CupDraw!S37</f>
        <v>Replay</v>
      </c>
      <c r="O38" s="66"/>
      <c r="P38" s="66"/>
      <c r="Q38" s="66" t="str">
        <f>IF(CupDraw!V37="","",CupDraw!V37)</f>
        <v/>
      </c>
      <c r="R38" s="90"/>
      <c r="S38" s="66"/>
      <c r="T38" s="86"/>
      <c r="U38" s="86"/>
      <c r="V38" s="86"/>
      <c r="W38" s="86"/>
      <c r="X38" s="91"/>
      <c r="Y38" s="86"/>
      <c r="Z38" s="86"/>
      <c r="AA38" s="86"/>
      <c r="AB38" s="86"/>
      <c r="AC38" s="86"/>
    </row>
    <row r="39" spans="2:29" x14ac:dyDescent="0.25">
      <c r="B39" s="95">
        <f>CupDraw!G38</f>
        <v>19</v>
      </c>
      <c r="C39" s="80" t="str">
        <f>IF(CupDraw!H38="","",CupDraw!H38)</f>
        <v/>
      </c>
      <c r="D39" s="81" t="str">
        <f>IF(CupDraw!I38="","",CupDraw!I38)</f>
        <v/>
      </c>
      <c r="E39" s="92" t="str">
        <f>IF(CupDraw!J38="","",CupDraw!J38)</f>
        <v/>
      </c>
      <c r="F39" s="66"/>
      <c r="G39" s="66"/>
      <c r="H39" s="95">
        <f>CupDraw!M38</f>
        <v>19</v>
      </c>
      <c r="I39" s="77" t="str">
        <f>IF(CupDraw!N38="","",CupDraw!N38)</f>
        <v>Gareth Powell</v>
      </c>
      <c r="J39" s="81">
        <f>IF(CupDraw!O38="","",CupDraw!O38)</f>
        <v>-7</v>
      </c>
      <c r="K39" s="92" t="str">
        <f>IF(CupDraw!P38="","",CupDraw!P38)</f>
        <v/>
      </c>
      <c r="L39" s="89"/>
      <c r="M39" s="66"/>
      <c r="N39" s="69"/>
      <c r="O39" s="79" t="str">
        <f>IF(CupDraw!T38="","",CupDraw!T38)</f>
        <v>Ashley Houghton</v>
      </c>
      <c r="P39" s="81">
        <f>IF(CupDraw!U38="","",CupDraw!U38)</f>
        <v>17.322916666666668</v>
      </c>
      <c r="Q39" s="92" t="str">
        <f>IF(CupDraw!V38="","",CupDraw!V38)</f>
        <v/>
      </c>
      <c r="R39" s="89"/>
      <c r="S39" s="66"/>
      <c r="T39" s="65" t="str">
        <f>CupDraw!Y38</f>
        <v>QF</v>
      </c>
      <c r="U39" s="160">
        <f>CupDraw!Z38</f>
        <v>43547</v>
      </c>
      <c r="V39" s="66"/>
      <c r="W39" s="66"/>
      <c r="X39" s="91"/>
      <c r="Y39" s="86"/>
      <c r="Z39" s="86"/>
      <c r="AA39" s="86"/>
      <c r="AB39" s="86"/>
      <c r="AC39" s="86"/>
    </row>
    <row r="40" spans="2:29" x14ac:dyDescent="0.25">
      <c r="B40" s="94"/>
      <c r="C40" s="80" t="str">
        <f>IF(CupDraw!H39="","",CupDraw!H39)</f>
        <v/>
      </c>
      <c r="D40" s="81" t="str">
        <f>IF(CupDraw!I39="","",CupDraw!I39)</f>
        <v/>
      </c>
      <c r="E40" s="148" t="str">
        <f>IF(CupDraw!J39="","",CupDraw!J39)</f>
        <v/>
      </c>
      <c r="F40" s="66"/>
      <c r="G40" s="66"/>
      <c r="H40" s="94"/>
      <c r="I40" s="77" t="str">
        <f>IF(CupDraw!N39="","",CupDraw!N39)</f>
        <v>Nick Blocksidge</v>
      </c>
      <c r="J40" s="81">
        <f>IF(CupDraw!O39="","",CupDraw!O39)</f>
        <v>-0.79999999999999982</v>
      </c>
      <c r="K40" s="70" t="str">
        <f>IF(CupDraw!P39="","",CupDraw!P39)</f>
        <v/>
      </c>
      <c r="L40" s="89"/>
      <c r="M40" s="66"/>
      <c r="N40" s="72"/>
      <c r="O40" s="79" t="str">
        <f>IF(CupDraw!T39="","",CupDraw!T39)</f>
        <v>John Evans</v>
      </c>
      <c r="P40" s="81">
        <f>IF(CupDraw!U39="","",CupDraw!U39)</f>
        <v>-7</v>
      </c>
      <c r="Q40" s="73" t="str">
        <f>IF(CupDraw!V39="","",CupDraw!V39)</f>
        <v/>
      </c>
      <c r="R40" s="89"/>
      <c r="S40" s="66"/>
      <c r="T40" s="69">
        <f>CupDraw!Y39</f>
        <v>1</v>
      </c>
      <c r="U40" s="79" t="str">
        <f>CupDraw!Z39</f>
        <v>Mike Penk</v>
      </c>
      <c r="V40" s="107">
        <f>IF(CupDraw!AA39="","",CupDraw!AA39)</f>
        <v>-5.2</v>
      </c>
      <c r="W40" s="82" t="str">
        <f>IF(CupDraw!AB39="","",CupDraw!AB39)</f>
        <v/>
      </c>
      <c r="X40" s="89"/>
      <c r="Y40" s="86"/>
      <c r="Z40" s="86"/>
      <c r="AA40" s="86"/>
      <c r="AB40" s="86"/>
      <c r="AC40" s="86"/>
    </row>
    <row r="41" spans="2:29" x14ac:dyDescent="0.25">
      <c r="B41" s="95">
        <f>CupDraw!G40</f>
        <v>20</v>
      </c>
      <c r="C41" s="80" t="str">
        <f>IF(CupDraw!H40="","",CupDraw!H40)</f>
        <v/>
      </c>
      <c r="D41" s="81" t="str">
        <f>IF(CupDraw!I40="","",CupDraw!I40)</f>
        <v/>
      </c>
      <c r="E41" s="92" t="str">
        <f>IF(CupDraw!J40="","",CupDraw!J40)</f>
        <v/>
      </c>
      <c r="F41" s="66"/>
      <c r="G41" s="66"/>
      <c r="H41" s="95">
        <f>CupDraw!M40</f>
        <v>20</v>
      </c>
      <c r="I41" s="77" t="str">
        <f>IF(CupDraw!N40="","",CupDraw!N40)</f>
        <v>Kei Lok Ma</v>
      </c>
      <c r="J41" s="81">
        <f>IF(CupDraw!O40="","",CupDraw!O40)</f>
        <v>-7</v>
      </c>
      <c r="K41" s="92" t="str">
        <f>IF(CupDraw!P40="","",CupDraw!P40)</f>
        <v/>
      </c>
      <c r="L41" s="89"/>
      <c r="M41" s="66"/>
      <c r="N41" s="69"/>
      <c r="O41" s="71" t="str">
        <f>IF(CupDraw!T40="","",CupDraw!T40)</f>
        <v>Liam Wah</v>
      </c>
      <c r="P41" s="81">
        <f>IF(CupDraw!U40="","",CupDraw!U40)</f>
        <v>1.75</v>
      </c>
      <c r="Q41" s="92" t="str">
        <f>IF(CupDraw!V40="","",CupDraw!V40)</f>
        <v/>
      </c>
      <c r="R41" s="89"/>
      <c r="S41" s="66"/>
      <c r="T41" s="72"/>
      <c r="U41" s="79" t="str">
        <f>CupDraw!Z40</f>
        <v>Ashley Houghton</v>
      </c>
      <c r="V41" s="107">
        <f>IF(CupDraw!AA40="","",CupDraw!AA40)</f>
        <v>16.196666666666669</v>
      </c>
      <c r="W41" s="73" t="str">
        <f>IF(CupDraw!AB40="","",CupDraw!AB40)</f>
        <v/>
      </c>
      <c r="X41" s="89"/>
      <c r="Y41" s="86"/>
      <c r="Z41" s="86"/>
      <c r="AA41" s="86"/>
      <c r="AB41" s="86"/>
      <c r="AC41" s="86"/>
    </row>
    <row r="42" spans="2:29" x14ac:dyDescent="0.25">
      <c r="B42" s="94"/>
      <c r="C42" s="80" t="str">
        <f>IF(CupDraw!H41="","",CupDraw!H41)</f>
        <v/>
      </c>
      <c r="D42" s="81" t="str">
        <f>IF(CupDraw!I41="","",CupDraw!I41)</f>
        <v/>
      </c>
      <c r="E42" s="148" t="str">
        <f>IF(CupDraw!J41="","",CupDraw!J41)</f>
        <v/>
      </c>
      <c r="F42" s="66"/>
      <c r="G42" s="66"/>
      <c r="H42" s="94"/>
      <c r="I42" s="77" t="str">
        <f>IF(CupDraw!N41="","",CupDraw!N41)</f>
        <v>Paul Allen</v>
      </c>
      <c r="J42" s="81">
        <f>IF(CupDraw!O41="","",CupDraw!O41)</f>
        <v>-5.5555555555555554</v>
      </c>
      <c r="K42" s="70" t="str">
        <f>IF(CupDraw!P41="","",CupDraw!P41)</f>
        <v/>
      </c>
      <c r="L42" s="89"/>
      <c r="M42" s="66"/>
      <c r="N42" s="72"/>
      <c r="O42" s="71" t="str">
        <f>IF(CupDraw!T41="","",CupDraw!T41)</f>
        <v>Gareth Fallows</v>
      </c>
      <c r="P42" s="81">
        <f>IF(CupDraw!U41="","",CupDraw!U41)</f>
        <v>18.18</v>
      </c>
      <c r="Q42" s="73" t="str">
        <f>IF(CupDraw!V41="","",CupDraw!V41)</f>
        <v/>
      </c>
      <c r="R42" s="89"/>
      <c r="S42" s="66"/>
      <c r="T42" s="69">
        <f>CupDraw!Y41</f>
        <v>2</v>
      </c>
      <c r="U42" s="79" t="str">
        <f>CupDraw!Z41</f>
        <v>Andy Charleston</v>
      </c>
      <c r="V42" s="107">
        <f>IF(CupDraw!AA41="","",CupDraw!AA41)</f>
        <v>-2.5949999999999998</v>
      </c>
      <c r="W42" s="82" t="str">
        <f>IF(CupDraw!AB41="","",CupDraw!AB41)</f>
        <v/>
      </c>
      <c r="X42" s="89"/>
      <c r="Y42" s="86"/>
      <c r="Z42" s="86"/>
      <c r="AA42" s="86"/>
      <c r="AB42" s="86"/>
      <c r="AC42" s="86"/>
    </row>
    <row r="43" spans="2:29" x14ac:dyDescent="0.25">
      <c r="B43" s="95">
        <f>CupDraw!G42</f>
        <v>21</v>
      </c>
      <c r="C43" s="80" t="str">
        <f>IF(CupDraw!H42="","",CupDraw!H42)</f>
        <v/>
      </c>
      <c r="D43" s="81" t="str">
        <f>IF(CupDraw!I42="","",CupDraw!I42)</f>
        <v/>
      </c>
      <c r="E43" s="92" t="str">
        <f>IF(CupDraw!J42="","",CupDraw!J42)</f>
        <v/>
      </c>
      <c r="F43" s="66"/>
      <c r="G43" s="66"/>
      <c r="H43" s="95">
        <f>CupDraw!M42</f>
        <v>21</v>
      </c>
      <c r="I43" s="77" t="str">
        <f>IF(CupDraw!N42="","",CupDraw!N42)</f>
        <v>Graeme Holmes</v>
      </c>
      <c r="J43" s="81">
        <f>IF(CupDraw!O42="","",CupDraw!O42)</f>
        <v>-1.4449999999999994</v>
      </c>
      <c r="K43" s="92" t="str">
        <f>IF(CupDraw!P42="","",CupDraw!P42)</f>
        <v/>
      </c>
      <c r="L43" s="89"/>
      <c r="M43" s="66"/>
      <c r="N43" s="69"/>
      <c r="O43" s="71" t="str">
        <f>IF(CupDraw!T42="","",CupDraw!T42)</f>
        <v/>
      </c>
      <c r="P43" s="81" t="str">
        <f>IF(CupDraw!U42="","",CupDraw!U42)</f>
        <v/>
      </c>
      <c r="Q43" s="92" t="str">
        <f>IF(CupDraw!V42="","",CupDraw!V42)</f>
        <v/>
      </c>
      <c r="R43" s="89"/>
      <c r="S43" s="66"/>
      <c r="T43" s="72"/>
      <c r="U43" s="79" t="str">
        <f>CupDraw!Z42</f>
        <v>Mo Sudell</v>
      </c>
      <c r="V43" s="107">
        <f>IF(CupDraw!AA42="","",CupDraw!AA42)</f>
        <v>-5.5</v>
      </c>
      <c r="W43" s="73" t="str">
        <f>IF(CupDraw!AB42="","",CupDraw!AB42)</f>
        <v/>
      </c>
      <c r="X43" s="89"/>
      <c r="Y43" s="86"/>
      <c r="Z43" s="86"/>
      <c r="AA43" s="86"/>
      <c r="AB43" s="86"/>
      <c r="AC43" s="86"/>
    </row>
    <row r="44" spans="2:29" x14ac:dyDescent="0.25">
      <c r="B44" s="94"/>
      <c r="C44" s="80" t="str">
        <f>IF(CupDraw!H43="","",CupDraw!H43)</f>
        <v/>
      </c>
      <c r="D44" s="81" t="str">
        <f>IF(CupDraw!I43="","",CupDraw!I43)</f>
        <v/>
      </c>
      <c r="E44" s="148" t="str">
        <f>IF(CupDraw!J43="","",CupDraw!J43)</f>
        <v/>
      </c>
      <c r="F44" s="66"/>
      <c r="G44" s="66"/>
      <c r="H44" s="94"/>
      <c r="I44" s="77" t="str">
        <f>IF(CupDraw!N43="","",CupDraw!N43)</f>
        <v>Mark Saunders</v>
      </c>
      <c r="J44" s="81">
        <f>IF(CupDraw!O43="","",CupDraw!O43)</f>
        <v>-3</v>
      </c>
      <c r="K44" s="70" t="str">
        <f>IF(CupDraw!P43="","",CupDraw!P43)</f>
        <v/>
      </c>
      <c r="L44" s="89"/>
      <c r="M44" s="66"/>
      <c r="N44" s="72"/>
      <c r="O44" s="71" t="str">
        <f>IF(CupDraw!T43="","",CupDraw!T43)</f>
        <v/>
      </c>
      <c r="P44" s="81" t="str">
        <f>IF(CupDraw!U43="","",CupDraw!U43)</f>
        <v/>
      </c>
      <c r="Q44" s="73" t="str">
        <f>IF(CupDraw!V43="","",CupDraw!V43)</f>
        <v/>
      </c>
      <c r="R44" s="89"/>
      <c r="S44" s="66"/>
      <c r="T44" s="69">
        <f>CupDraw!Y43</f>
        <v>3</v>
      </c>
      <c r="U44" s="79" t="str">
        <f>CupDraw!Z43</f>
        <v>Paul Allen</v>
      </c>
      <c r="V44" s="107">
        <f>IF(CupDraw!AA43="","",CupDraw!AA43)</f>
        <v>22.744</v>
      </c>
      <c r="W44" s="82" t="str">
        <f>IF(CupDraw!AB43="","",CupDraw!AB43)</f>
        <v/>
      </c>
      <c r="X44" s="89"/>
      <c r="Y44" s="86"/>
      <c r="Z44" s="86"/>
      <c r="AA44" s="86"/>
      <c r="AB44" s="86"/>
      <c r="AC44" s="86"/>
    </row>
    <row r="45" spans="2:29" x14ac:dyDescent="0.25">
      <c r="B45" s="95">
        <f>CupDraw!G44</f>
        <v>22</v>
      </c>
      <c r="C45" s="80" t="str">
        <f>IF(CupDraw!H44="","",CupDraw!H44)</f>
        <v/>
      </c>
      <c r="D45" s="81" t="str">
        <f>IF(CupDraw!I44="","",CupDraw!I44)</f>
        <v/>
      </c>
      <c r="E45" s="92" t="str">
        <f>IF(CupDraw!J44="","",CupDraw!J44)</f>
        <v/>
      </c>
      <c r="F45" s="66"/>
      <c r="G45" s="66"/>
      <c r="H45" s="95">
        <f>CupDraw!M44</f>
        <v>22</v>
      </c>
      <c r="I45" s="77" t="str">
        <f>IF(CupDraw!N44="","",CupDraw!N44)</f>
        <v>James Bell</v>
      </c>
      <c r="J45" s="81">
        <f>IF(CupDraw!O44="","",CupDraw!O44)</f>
        <v>-7</v>
      </c>
      <c r="K45" s="92" t="str">
        <f>IF(CupDraw!P44="","",CupDraw!P44)</f>
        <v/>
      </c>
      <c r="L45" s="89"/>
      <c r="M45" s="66"/>
      <c r="N45" s="69"/>
      <c r="O45" s="71" t="str">
        <f>IF(CupDraw!T44="","",CupDraw!T44)</f>
        <v/>
      </c>
      <c r="P45" s="81" t="str">
        <f>IF(CupDraw!U44="","",CupDraw!U44)</f>
        <v/>
      </c>
      <c r="Q45" s="82" t="str">
        <f>IF(CupDraw!V44="","",CupDraw!V44)</f>
        <v/>
      </c>
      <c r="R45" s="89"/>
      <c r="S45" s="66"/>
      <c r="T45" s="72"/>
      <c r="U45" s="79" t="str">
        <f>CupDraw!Z44</f>
        <v>Graeme Holmes</v>
      </c>
      <c r="V45" s="107">
        <f>IF(CupDraw!AA44="","",CupDraw!AA44)</f>
        <v>-1</v>
      </c>
      <c r="W45" s="73" t="str">
        <f>IF(CupDraw!AB44="","",CupDraw!AB44)</f>
        <v/>
      </c>
      <c r="X45" s="89"/>
      <c r="Y45" s="86"/>
      <c r="Z45" s="86"/>
      <c r="AA45" s="86"/>
      <c r="AB45" s="86"/>
      <c r="AC45" s="86"/>
    </row>
    <row r="46" spans="2:29" x14ac:dyDescent="0.25">
      <c r="B46" s="94"/>
      <c r="C46" s="80" t="str">
        <f>IF(CupDraw!H45="","",CupDraw!H45)</f>
        <v/>
      </c>
      <c r="D46" s="81" t="str">
        <f>IF(CupDraw!I45="","",CupDraw!I45)</f>
        <v/>
      </c>
      <c r="E46" s="148" t="str">
        <f>IF(CupDraw!J45="","",CupDraw!J45)</f>
        <v/>
      </c>
      <c r="F46" s="66"/>
      <c r="G46" s="66"/>
      <c r="H46" s="94"/>
      <c r="I46" s="77" t="str">
        <f>IF(CupDraw!N45="","",CupDraw!N45)</f>
        <v>Chris Townsend</v>
      </c>
      <c r="J46" s="81">
        <f>IF(CupDraw!O45="","",CupDraw!O45)</f>
        <v>16.5</v>
      </c>
      <c r="K46" s="70" t="str">
        <f>IF(CupDraw!P45="","",CupDraw!P45)</f>
        <v/>
      </c>
      <c r="L46" s="89"/>
      <c r="M46" s="66"/>
      <c r="N46" s="76"/>
      <c r="O46" s="71" t="str">
        <f>IF(CupDraw!T45="","",CupDraw!T45)</f>
        <v/>
      </c>
      <c r="P46" s="81" t="str">
        <f>IF(CupDraw!U45="","",CupDraw!U45)</f>
        <v/>
      </c>
      <c r="Q46" s="70" t="str">
        <f>IF(CupDraw!V45="","",CupDraw!V45)</f>
        <v/>
      </c>
      <c r="R46" s="89"/>
      <c r="S46" s="66"/>
      <c r="T46" s="69">
        <f>CupDraw!Y45</f>
        <v>4</v>
      </c>
      <c r="U46" s="79" t="str">
        <f>CupDraw!Z45</f>
        <v>David Dunn</v>
      </c>
      <c r="V46" s="107">
        <f>IF(CupDraw!AA45="","",CupDraw!AA45)</f>
        <v>1.8900000000000006</v>
      </c>
      <c r="W46" s="82" t="str">
        <f>IF(CupDraw!AB45="","",CupDraw!AB45)</f>
        <v/>
      </c>
      <c r="X46" s="89"/>
      <c r="Y46" s="86"/>
      <c r="Z46" s="86"/>
      <c r="AA46" s="86"/>
      <c r="AB46" s="86"/>
      <c r="AC46" s="86"/>
    </row>
    <row r="47" spans="2:29" x14ac:dyDescent="0.25">
      <c r="B47" s="95">
        <f>CupDraw!G46</f>
        <v>23</v>
      </c>
      <c r="C47" s="80" t="str">
        <f>IF(CupDraw!H46="","",CupDraw!H46)</f>
        <v/>
      </c>
      <c r="D47" s="81" t="str">
        <f>IF(CupDraw!I46="","",CupDraw!I46)</f>
        <v/>
      </c>
      <c r="E47" s="92" t="str">
        <f>IF(CupDraw!J46="","",CupDraw!J46)</f>
        <v/>
      </c>
      <c r="F47" s="66"/>
      <c r="G47" s="66"/>
      <c r="H47" s="95">
        <f>CupDraw!M46</f>
        <v>23</v>
      </c>
      <c r="I47" s="77" t="str">
        <f>IF(CupDraw!N46="","",CupDraw!N46)</f>
        <v>Paul Adderley</v>
      </c>
      <c r="J47" s="81">
        <f>IF(CupDraw!O46="","",CupDraw!O46)</f>
        <v>-7</v>
      </c>
      <c r="K47" s="92" t="str">
        <f>IF(CupDraw!P46="","",CupDraw!P46)</f>
        <v/>
      </c>
      <c r="L47" s="89"/>
      <c r="M47" s="66"/>
      <c r="N47" s="69"/>
      <c r="O47" s="71" t="str">
        <f>IF(CupDraw!T46="","",CupDraw!T46)</f>
        <v/>
      </c>
      <c r="P47" s="81" t="str">
        <f>IF(CupDraw!U46="","",CupDraw!U46)</f>
        <v/>
      </c>
      <c r="Q47" s="82" t="str">
        <f>IF(CupDraw!V46="","",CupDraw!V46)</f>
        <v/>
      </c>
      <c r="R47" s="90"/>
      <c r="S47" s="66"/>
      <c r="T47" s="76"/>
      <c r="U47" s="79" t="str">
        <f>CupDraw!Z46</f>
        <v>Graham Miller</v>
      </c>
      <c r="V47" s="107">
        <f>IF(CupDraw!AA46="","",CupDraw!AA46)</f>
        <v>-7</v>
      </c>
      <c r="W47" s="70" t="str">
        <f>IF(CupDraw!AB46="","",CupDraw!AB46)</f>
        <v/>
      </c>
      <c r="X47" s="89"/>
      <c r="Y47" s="86"/>
      <c r="Z47" s="86"/>
      <c r="AA47" s="86"/>
      <c r="AB47" s="86"/>
      <c r="AC47" s="86"/>
    </row>
    <row r="48" spans="2:29" x14ac:dyDescent="0.25">
      <c r="B48" s="94"/>
      <c r="C48" s="80" t="str">
        <f>IF(CupDraw!H47="","",CupDraw!H47)</f>
        <v/>
      </c>
      <c r="D48" s="81" t="str">
        <f>IF(CupDraw!I47="","",CupDraw!I47)</f>
        <v/>
      </c>
      <c r="E48" s="148" t="str">
        <f>IF(CupDraw!J47="","",CupDraw!J47)</f>
        <v/>
      </c>
      <c r="F48" s="66"/>
      <c r="G48" s="66"/>
      <c r="H48" s="94"/>
      <c r="I48" s="77" t="str">
        <f>IF(CupDraw!N47="","",CupDraw!N47)</f>
        <v>Jack Walsh</v>
      </c>
      <c r="J48" s="81">
        <f>IF(CupDraw!O47="","",CupDraw!O47)</f>
        <v>4.2550000000000008</v>
      </c>
      <c r="K48" s="70" t="str">
        <f>IF(CupDraw!P47="","",CupDraw!P47)</f>
        <v/>
      </c>
      <c r="L48" s="89"/>
      <c r="M48" s="66"/>
      <c r="N48" s="76"/>
      <c r="O48" s="71" t="str">
        <f>IF(CupDraw!T47="","",CupDraw!T47)</f>
        <v/>
      </c>
      <c r="P48" s="81" t="str">
        <f>IF(CupDraw!U47="","",CupDraw!U47)</f>
        <v/>
      </c>
      <c r="Q48" s="70" t="str">
        <f>IF(CupDraw!V47="","",CupDraw!V47)</f>
        <v/>
      </c>
      <c r="R48" s="90"/>
      <c r="S48" s="66"/>
      <c r="T48" s="86"/>
      <c r="U48" s="86"/>
      <c r="V48" s="99"/>
      <c r="W48" s="86"/>
      <c r="X48" s="91"/>
      <c r="Y48" s="86"/>
      <c r="Z48" s="86"/>
      <c r="AA48" s="86"/>
      <c r="AB48" s="86"/>
      <c r="AC48" s="86"/>
    </row>
    <row r="49" spans="2:29" x14ac:dyDescent="0.25">
      <c r="B49" s="95">
        <f>CupDraw!G48</f>
        <v>24</v>
      </c>
      <c r="C49" s="80" t="str">
        <f>IF(CupDraw!H48="","",CupDraw!H48)</f>
        <v/>
      </c>
      <c r="D49" s="81" t="str">
        <f>IF(CupDraw!I48="","",CupDraw!I48)</f>
        <v/>
      </c>
      <c r="E49" s="92" t="str">
        <f>IF(CupDraw!J48="","",CupDraw!J48)</f>
        <v/>
      </c>
      <c r="F49" s="66"/>
      <c r="G49" s="66"/>
      <c r="H49" s="95">
        <f>CupDraw!M48</f>
        <v>24</v>
      </c>
      <c r="I49" s="77" t="str">
        <f>IF(CupDraw!N48="","",CupDraw!N48)</f>
        <v>Dave Orrell</v>
      </c>
      <c r="J49" s="81">
        <f>IF(CupDraw!O48="","",CupDraw!O48)</f>
        <v>-4.95</v>
      </c>
      <c r="K49" s="92" t="str">
        <f>IF(CupDraw!P48="","",CupDraw!P48)</f>
        <v/>
      </c>
      <c r="L49" s="89"/>
      <c r="M49" s="66"/>
      <c r="N49" s="66"/>
      <c r="O49" s="66"/>
      <c r="P49" s="66"/>
      <c r="Q49" s="66"/>
      <c r="R49" s="90"/>
      <c r="S49" s="66"/>
      <c r="T49" s="86"/>
      <c r="U49" s="86"/>
      <c r="V49" s="99"/>
      <c r="W49" s="86"/>
      <c r="X49" s="91"/>
      <c r="Y49" s="86"/>
      <c r="Z49" s="86"/>
      <c r="AA49" s="86"/>
      <c r="AB49" s="86"/>
      <c r="AC49" s="86"/>
    </row>
    <row r="50" spans="2:29" x14ac:dyDescent="0.25">
      <c r="B50" s="94"/>
      <c r="C50" s="80" t="str">
        <f>IF(CupDraw!H49="","",CupDraw!H49)</f>
        <v/>
      </c>
      <c r="D50" s="81" t="str">
        <f>IF(CupDraw!I49="","",CupDraw!I49)</f>
        <v/>
      </c>
      <c r="E50" s="148" t="str">
        <f>IF(CupDraw!J49="","",CupDraw!J49)</f>
        <v/>
      </c>
      <c r="F50" s="66"/>
      <c r="G50" s="66"/>
      <c r="H50" s="94"/>
      <c r="I50" s="77" t="str">
        <f>IF(CupDraw!N49="","",CupDraw!N49)</f>
        <v>Oscar Jackson</v>
      </c>
      <c r="J50" s="81">
        <f>IF(CupDraw!O49="","",CupDraw!O49)</f>
        <v>-7</v>
      </c>
      <c r="K50" s="70" t="str">
        <f>IF(CupDraw!P49="","",CupDraw!P49)</f>
        <v/>
      </c>
      <c r="L50" s="89"/>
      <c r="M50" s="66"/>
      <c r="N50" s="66"/>
      <c r="O50" s="66"/>
      <c r="P50" s="66"/>
      <c r="Q50" s="66"/>
      <c r="R50" s="90"/>
      <c r="S50" s="66"/>
      <c r="T50" s="66" t="str">
        <f>CupDraw!Y49</f>
        <v>Earlier Ties</v>
      </c>
      <c r="U50" s="66"/>
      <c r="V50" s="98"/>
      <c r="W50" s="66"/>
      <c r="X50" s="91"/>
      <c r="Y50" s="86"/>
      <c r="Z50" s="86"/>
      <c r="AA50" s="86"/>
      <c r="AB50" s="86"/>
      <c r="AC50" s="86"/>
    </row>
    <row r="51" spans="2:29" x14ac:dyDescent="0.25">
      <c r="B51" s="95">
        <f>CupDraw!G50</f>
        <v>25</v>
      </c>
      <c r="C51" s="80" t="str">
        <f>IF(CupDraw!H50="","",CupDraw!H50)</f>
        <v/>
      </c>
      <c r="D51" s="81" t="str">
        <f>IF(CupDraw!I50="","",CupDraw!I50)</f>
        <v/>
      </c>
      <c r="E51" s="92" t="str">
        <f>IF(CupDraw!J50="","",CupDraw!J50)</f>
        <v/>
      </c>
      <c r="F51" s="66"/>
      <c r="G51" s="66"/>
      <c r="H51" s="95">
        <f>CupDraw!M50</f>
        <v>25</v>
      </c>
      <c r="I51" s="77" t="str">
        <f>IF(CupDraw!N50="","",CupDraw!N50)</f>
        <v>Rob England</v>
      </c>
      <c r="J51" s="81">
        <f>IF(CupDraw!O50="","",CupDraw!O50)</f>
        <v>-1.6068376068376065</v>
      </c>
      <c r="K51" s="92" t="str">
        <f>IF(CupDraw!P50="","",CupDraw!P50)</f>
        <v/>
      </c>
      <c r="L51" s="89"/>
      <c r="M51" s="86"/>
      <c r="N51" s="86"/>
      <c r="O51" s="86"/>
      <c r="P51" s="86"/>
      <c r="Q51" s="86"/>
      <c r="R51" s="90"/>
      <c r="S51" s="86"/>
      <c r="T51" s="69"/>
      <c r="U51" s="79" t="str">
        <f>IF(CupDraw!Z50="","",CupDraw!Z50)</f>
        <v/>
      </c>
      <c r="V51" s="81" t="str">
        <f>IF(CupDraw!AA50="","",CupDraw!AA50)</f>
        <v/>
      </c>
      <c r="W51" s="92" t="str">
        <f>IF(CupDraw!AB50="","",CupDraw!AB50)</f>
        <v/>
      </c>
      <c r="X51" s="1"/>
      <c r="Y51" s="86"/>
      <c r="Z51" s="86"/>
      <c r="AA51" s="86"/>
      <c r="AB51" s="86"/>
      <c r="AC51" s="86"/>
    </row>
    <row r="52" spans="2:29" x14ac:dyDescent="0.25">
      <c r="B52" s="94"/>
      <c r="C52" s="80" t="str">
        <f>IF(CupDraw!H51="","",CupDraw!H51)</f>
        <v/>
      </c>
      <c r="D52" s="81" t="str">
        <f>IF(CupDraw!I51="","",CupDraw!I51)</f>
        <v/>
      </c>
      <c r="E52" s="148" t="str">
        <f>IF(CupDraw!J51="","",CupDraw!J51)</f>
        <v/>
      </c>
      <c r="F52" s="66"/>
      <c r="G52" s="66"/>
      <c r="H52" s="94"/>
      <c r="I52" s="77" t="str">
        <f>IF(CupDraw!N51="","",CupDraw!N51)</f>
        <v>John Robinson</v>
      </c>
      <c r="J52" s="81">
        <f>IF(CupDraw!O51="","",CupDraw!O51)</f>
        <v>-3</v>
      </c>
      <c r="K52" s="70" t="str">
        <f>IF(CupDraw!P51="","",CupDraw!P51)</f>
        <v/>
      </c>
      <c r="L52" s="89"/>
      <c r="M52" s="86"/>
      <c r="N52" s="86"/>
      <c r="O52" s="86"/>
      <c r="P52" s="86"/>
      <c r="Q52" s="86"/>
      <c r="R52" s="90"/>
      <c r="S52" s="86"/>
      <c r="T52" s="72"/>
      <c r="U52" s="79" t="str">
        <f>IF(CupDraw!Z51="","",CupDraw!Z51)</f>
        <v/>
      </c>
      <c r="V52" s="81" t="str">
        <f>IF(CupDraw!AA51="","",CupDraw!AA51)</f>
        <v/>
      </c>
      <c r="W52" s="73" t="str">
        <f>IF(CupDraw!AB51="","",CupDraw!AB51)</f>
        <v/>
      </c>
      <c r="X52" s="91"/>
      <c r="Y52" s="86"/>
      <c r="Z52" s="86"/>
      <c r="AA52" s="86"/>
      <c r="AB52" s="86"/>
      <c r="AC52" s="86"/>
    </row>
    <row r="53" spans="2:29" x14ac:dyDescent="0.25">
      <c r="B53" s="95">
        <f>CupDraw!G52</f>
        <v>26</v>
      </c>
      <c r="C53" s="80" t="str">
        <f>IF(CupDraw!H52="","",CupDraw!H52)</f>
        <v/>
      </c>
      <c r="D53" s="81" t="str">
        <f>IF(CupDraw!I52="","",CupDraw!I52)</f>
        <v/>
      </c>
      <c r="E53" s="92" t="str">
        <f>IF(CupDraw!J52="","",CupDraw!J52)</f>
        <v/>
      </c>
      <c r="F53" s="66"/>
      <c r="G53" s="66"/>
      <c r="H53" s="95">
        <f>CupDraw!M52</f>
        <v>26</v>
      </c>
      <c r="I53" s="77" t="str">
        <f>IF(CupDraw!N52="","",CupDraw!N52)</f>
        <v>Ian Davies</v>
      </c>
      <c r="J53" s="81">
        <f>IF(CupDraw!O52="","",CupDraw!O52)</f>
        <v>-10</v>
      </c>
      <c r="K53" s="92" t="str">
        <f>IF(CupDraw!P52="","",CupDraw!P52)</f>
        <v/>
      </c>
      <c r="L53" s="89"/>
      <c r="M53" s="86"/>
      <c r="N53" s="86"/>
      <c r="O53" s="86"/>
      <c r="P53" s="86"/>
      <c r="Q53" s="86"/>
      <c r="R53" s="90"/>
      <c r="S53" s="86"/>
      <c r="T53" s="69"/>
      <c r="U53" s="71" t="str">
        <f>IF(CupDraw!Z52="","",CupDraw!Z52)</f>
        <v/>
      </c>
      <c r="V53" s="81" t="str">
        <f>IF(CupDraw!AA52="","",CupDraw!AA52)</f>
        <v/>
      </c>
      <c r="W53" s="92" t="str">
        <f>IF(CupDraw!AB52="","",CupDraw!AB52)</f>
        <v/>
      </c>
      <c r="X53" s="91"/>
      <c r="Y53" s="86"/>
      <c r="Z53" s="86"/>
      <c r="AA53" s="86"/>
      <c r="AB53" s="86"/>
      <c r="AC53" s="86"/>
    </row>
    <row r="54" spans="2:29" x14ac:dyDescent="0.25">
      <c r="B54" s="94"/>
      <c r="C54" s="80" t="str">
        <f>IF(CupDraw!H53="","",CupDraw!H53)</f>
        <v/>
      </c>
      <c r="D54" s="81" t="str">
        <f>IF(CupDraw!I53="","",CupDraw!I53)</f>
        <v/>
      </c>
      <c r="E54" s="148" t="str">
        <f>IF(CupDraw!J53="","",CupDraw!J53)</f>
        <v/>
      </c>
      <c r="F54" s="66"/>
      <c r="G54" s="66"/>
      <c r="H54" s="94"/>
      <c r="I54" s="77" t="str">
        <f>IF(CupDraw!N53="","",CupDraw!N53)</f>
        <v>David Dunn</v>
      </c>
      <c r="J54" s="81">
        <f>IF(CupDraw!O53="","",CupDraw!O53)</f>
        <v>-5.8571428571428577</v>
      </c>
      <c r="K54" s="70" t="str">
        <f>IF(CupDraw!P53="","",CupDraw!P53)</f>
        <v/>
      </c>
      <c r="L54" s="89"/>
      <c r="M54" s="86"/>
      <c r="N54" s="86"/>
      <c r="O54" s="86"/>
      <c r="P54" s="86"/>
      <c r="Q54" s="86"/>
      <c r="R54" s="90"/>
      <c r="S54" s="86"/>
      <c r="T54" s="76"/>
      <c r="U54" s="71" t="str">
        <f>IF(CupDraw!Z53="","",CupDraw!Z53)</f>
        <v/>
      </c>
      <c r="V54" s="81" t="str">
        <f>IF(CupDraw!AA53="","",CupDraw!AA53)</f>
        <v/>
      </c>
      <c r="W54" s="70" t="str">
        <f>IF(CupDraw!AB53="","",CupDraw!AB53)</f>
        <v/>
      </c>
      <c r="X54" s="91"/>
      <c r="Y54" s="86"/>
      <c r="Z54" s="86"/>
      <c r="AA54" s="86"/>
      <c r="AB54" s="86"/>
      <c r="AC54" s="86"/>
    </row>
    <row r="55" spans="2:29" x14ac:dyDescent="0.25">
      <c r="B55" s="95">
        <f>CupDraw!G54</f>
        <v>27</v>
      </c>
      <c r="C55" s="80" t="str">
        <f>IF(CupDraw!H54="","",CupDraw!H54)</f>
        <v/>
      </c>
      <c r="D55" s="81" t="str">
        <f>IF(CupDraw!I54="","",CupDraw!I54)</f>
        <v/>
      </c>
      <c r="E55" s="92" t="str">
        <f>IF(CupDraw!J54="","",CupDraw!J54)</f>
        <v/>
      </c>
      <c r="F55" s="66"/>
      <c r="G55" s="66"/>
      <c r="H55" s="95">
        <f>CupDraw!M54</f>
        <v>27</v>
      </c>
      <c r="I55" s="77" t="str">
        <f>IF(CupDraw!N54="","",CupDraw!N54)</f>
        <v>Simon Greenhalgh</v>
      </c>
      <c r="J55" s="81">
        <f>IF(CupDraw!O54="","",CupDraw!O54)</f>
        <v>-3</v>
      </c>
      <c r="K55" s="92" t="str">
        <f>IF(CupDraw!P54="","",CupDraw!P54)</f>
        <v/>
      </c>
      <c r="L55" s="89"/>
      <c r="M55" s="86"/>
      <c r="N55" s="86"/>
      <c r="O55" s="86"/>
      <c r="P55" s="86"/>
      <c r="Q55" s="86"/>
      <c r="R55" s="90"/>
      <c r="S55" s="86"/>
      <c r="T55" s="69"/>
      <c r="U55" s="79" t="str">
        <f>IF(CupDraw!Z54="","",CupDraw!Z54)</f>
        <v/>
      </c>
      <c r="V55" s="81" t="str">
        <f>IF(CupDraw!AA54="","",CupDraw!AA54)</f>
        <v/>
      </c>
      <c r="W55" s="92" t="str">
        <f>IF(CupDraw!AB54="","",CupDraw!AB54)</f>
        <v/>
      </c>
      <c r="X55" s="91"/>
      <c r="Y55" s="86"/>
      <c r="Z55" s="86"/>
      <c r="AA55" s="86"/>
      <c r="AB55" s="86"/>
      <c r="AC55" s="86"/>
    </row>
    <row r="56" spans="2:29" x14ac:dyDescent="0.25">
      <c r="B56" s="94"/>
      <c r="C56" s="80" t="str">
        <f>IF(CupDraw!H55="","",CupDraw!H55)</f>
        <v/>
      </c>
      <c r="D56" s="81" t="str">
        <f>IF(CupDraw!I55="","",CupDraw!I55)</f>
        <v/>
      </c>
      <c r="E56" s="148" t="str">
        <f>IF(CupDraw!J55="","",CupDraw!J55)</f>
        <v/>
      </c>
      <c r="F56" s="66"/>
      <c r="G56" s="66"/>
      <c r="H56" s="94"/>
      <c r="I56" s="77" t="str">
        <f>IF(CupDraw!N55="","",CupDraw!N55)</f>
        <v>Nigel Heyes</v>
      </c>
      <c r="J56" s="81">
        <f>IF(CupDraw!O55="","",CupDraw!O55)</f>
        <v>2.4727272727272727</v>
      </c>
      <c r="K56" s="70" t="str">
        <f>IF(CupDraw!P55="","",CupDraw!P55)</f>
        <v/>
      </c>
      <c r="L56" s="89"/>
      <c r="M56" s="86"/>
      <c r="N56" s="86"/>
      <c r="O56" s="86"/>
      <c r="P56" s="86"/>
      <c r="Q56" s="86"/>
      <c r="R56" s="90"/>
      <c r="S56" s="86"/>
      <c r="T56" s="72"/>
      <c r="U56" s="79" t="str">
        <f>IF(CupDraw!Z55="","",CupDraw!Z55)</f>
        <v/>
      </c>
      <c r="V56" s="81" t="str">
        <f>IF(CupDraw!AA55="","",CupDraw!AA55)</f>
        <v/>
      </c>
      <c r="W56" s="73" t="str">
        <f>IF(CupDraw!AB55="","",CupDraw!AB55)</f>
        <v/>
      </c>
      <c r="X56" s="91"/>
      <c r="Y56" s="86"/>
      <c r="Z56" s="86"/>
      <c r="AA56" s="86"/>
      <c r="AB56" s="86"/>
      <c r="AC56" s="86"/>
    </row>
    <row r="57" spans="2:29" x14ac:dyDescent="0.25">
      <c r="B57" s="95">
        <f>CupDraw!G56</f>
        <v>28</v>
      </c>
      <c r="C57" s="80" t="str">
        <f>IF(CupDraw!H56="","",CupDraw!H56)</f>
        <v/>
      </c>
      <c r="D57" s="81" t="str">
        <f>IF(CupDraw!I56="","",CupDraw!I56)</f>
        <v/>
      </c>
      <c r="E57" s="92" t="str">
        <f>IF(CupDraw!J56="","",CupDraw!J56)</f>
        <v/>
      </c>
      <c r="F57" s="66"/>
      <c r="G57" s="66"/>
      <c r="H57" s="95">
        <f>CupDraw!M56</f>
        <v>28</v>
      </c>
      <c r="I57" s="77" t="str">
        <f>IF(CupDraw!N56="","",CupDraw!N56)</f>
        <v>Martin Molyneux</v>
      </c>
      <c r="J57" s="81">
        <f>IF(CupDraw!O56="","",CupDraw!O56)</f>
        <v>-3.8</v>
      </c>
      <c r="K57" s="92" t="str">
        <f>IF(CupDraw!P56="","",CupDraw!P56)</f>
        <v/>
      </c>
      <c r="L57" s="89"/>
      <c r="M57" s="86"/>
      <c r="N57" s="86"/>
      <c r="O57" s="86"/>
      <c r="P57" s="86"/>
      <c r="Q57" s="86"/>
      <c r="R57" s="90"/>
      <c r="S57" s="86"/>
      <c r="T57" s="69"/>
      <c r="U57" s="71" t="str">
        <f>IF(CupDraw!Z56="","",CupDraw!Z56)</f>
        <v/>
      </c>
      <c r="V57" s="81" t="str">
        <f>IF(CupDraw!AA56="","",CupDraw!AA56)</f>
        <v/>
      </c>
      <c r="W57" s="92" t="str">
        <f>IF(CupDraw!AB56="","",CupDraw!AB56)</f>
        <v/>
      </c>
      <c r="X57" s="91"/>
      <c r="Y57" s="86"/>
      <c r="Z57" s="86"/>
      <c r="AA57" s="86"/>
      <c r="AB57" s="86"/>
      <c r="AC57" s="86"/>
    </row>
    <row r="58" spans="2:29" x14ac:dyDescent="0.25">
      <c r="B58" s="94"/>
      <c r="C58" s="80" t="str">
        <f>IF(CupDraw!H57="","",CupDraw!H57)</f>
        <v/>
      </c>
      <c r="D58" s="81" t="str">
        <f>IF(CupDraw!I57="","",CupDraw!I57)</f>
        <v/>
      </c>
      <c r="E58" s="148" t="str">
        <f>IF(CupDraw!J57="","",CupDraw!J57)</f>
        <v/>
      </c>
      <c r="F58" s="66"/>
      <c r="G58" s="66"/>
      <c r="H58" s="94"/>
      <c r="I58" s="77" t="str">
        <f>IF(CupDraw!N57="","",CupDraw!N57)</f>
        <v>Alan Rogers</v>
      </c>
      <c r="J58" s="81">
        <f>IF(CupDraw!O57="","",CupDraw!O57)</f>
        <v>-4.625</v>
      </c>
      <c r="K58" s="70" t="str">
        <f>IF(CupDraw!P57="","",CupDraw!P57)</f>
        <v/>
      </c>
      <c r="L58" s="89"/>
      <c r="M58" s="86"/>
      <c r="N58" s="86"/>
      <c r="O58" s="86"/>
      <c r="P58" s="86"/>
      <c r="Q58" s="86"/>
      <c r="R58" s="90"/>
      <c r="S58" s="86"/>
      <c r="T58" s="76"/>
      <c r="U58" s="71" t="str">
        <f>IF(CupDraw!Z57="","",CupDraw!Z57)</f>
        <v/>
      </c>
      <c r="V58" s="81" t="str">
        <f>IF(CupDraw!AA57="","",CupDraw!AA57)</f>
        <v/>
      </c>
      <c r="W58" s="70" t="str">
        <f>IF(CupDraw!AB57="","",CupDraw!AB57)</f>
        <v/>
      </c>
      <c r="X58" s="91"/>
      <c r="Y58" s="86"/>
      <c r="Z58" s="86"/>
      <c r="AA58" s="86"/>
      <c r="AB58" s="86"/>
      <c r="AC58" s="86"/>
    </row>
    <row r="59" spans="2:29" x14ac:dyDescent="0.25">
      <c r="B59" s="95">
        <f>CupDraw!G58</f>
        <v>29</v>
      </c>
      <c r="C59" s="80" t="str">
        <f>IF(CupDraw!H58="","",CupDraw!H58)</f>
        <v/>
      </c>
      <c r="D59" s="81" t="str">
        <f>IF(CupDraw!I58="","",CupDraw!I58)</f>
        <v/>
      </c>
      <c r="E59" s="92" t="str">
        <f>IF(CupDraw!J58="","",CupDraw!J58)</f>
        <v/>
      </c>
      <c r="F59" s="66"/>
      <c r="G59" s="66"/>
      <c r="H59" s="95">
        <f>CupDraw!M58</f>
        <v>29</v>
      </c>
      <c r="I59" s="77" t="str">
        <f>IF(CupDraw!N58="","",CupDraw!N58)</f>
        <v>Mark Bunn</v>
      </c>
      <c r="J59" s="81">
        <f>IF(CupDraw!O58="","",CupDraw!O58)</f>
        <v>-4.7</v>
      </c>
      <c r="K59" s="92" t="str">
        <f>IF(CupDraw!P58="","",CupDraw!P58)</f>
        <v/>
      </c>
      <c r="L59" s="89"/>
      <c r="M59" s="86"/>
      <c r="N59" s="86"/>
      <c r="O59" s="86"/>
      <c r="P59" s="86"/>
      <c r="Q59" s="86"/>
      <c r="R59" s="90"/>
      <c r="S59" s="86"/>
      <c r="T59" s="66"/>
      <c r="U59" s="66"/>
      <c r="V59" s="66"/>
      <c r="W59" s="66"/>
      <c r="X59" s="91"/>
      <c r="Y59" s="86"/>
      <c r="Z59" s="86"/>
      <c r="AA59" s="86"/>
      <c r="AB59" s="86"/>
      <c r="AC59" s="86"/>
    </row>
    <row r="60" spans="2:29" x14ac:dyDescent="0.25">
      <c r="B60" s="94"/>
      <c r="C60" s="80" t="str">
        <f>IF(CupDraw!H59="","",CupDraw!H59)</f>
        <v/>
      </c>
      <c r="D60" s="81" t="str">
        <f>IF(CupDraw!I59="","",CupDraw!I59)</f>
        <v/>
      </c>
      <c r="E60" s="148" t="str">
        <f>IF(CupDraw!J59="","",CupDraw!J59)</f>
        <v/>
      </c>
      <c r="F60" s="66"/>
      <c r="G60" s="66"/>
      <c r="H60" s="94"/>
      <c r="I60" s="77" t="str">
        <f>IF(CupDraw!N59="","",CupDraw!N59)</f>
        <v>Pete Baron</v>
      </c>
      <c r="J60" s="81">
        <f>IF(CupDraw!O59="","",CupDraw!O59)</f>
        <v>-4.3</v>
      </c>
      <c r="K60" s="70" t="str">
        <f>IF(CupDraw!P59="","",CupDraw!P59)</f>
        <v/>
      </c>
      <c r="L60" s="89"/>
      <c r="M60" s="86"/>
      <c r="N60" s="86"/>
      <c r="O60" s="86"/>
      <c r="P60" s="86"/>
      <c r="Q60" s="86"/>
      <c r="R60" s="90"/>
      <c r="S60" s="86"/>
      <c r="T60" s="66"/>
      <c r="U60" s="66"/>
      <c r="V60" s="66"/>
      <c r="W60" s="66"/>
      <c r="X60" s="91"/>
      <c r="Y60" s="86"/>
      <c r="Z60" s="86"/>
      <c r="AA60" s="86"/>
      <c r="AB60" s="86"/>
      <c r="AC60" s="86"/>
    </row>
    <row r="61" spans="2:29" x14ac:dyDescent="0.25">
      <c r="B61" s="95">
        <f>CupDraw!G60</f>
        <v>30</v>
      </c>
      <c r="C61" s="80" t="str">
        <f>IF(CupDraw!H60="","",CupDraw!H60)</f>
        <v/>
      </c>
      <c r="D61" s="81" t="str">
        <f>IF(CupDraw!I60="","",CupDraw!I60)</f>
        <v/>
      </c>
      <c r="E61" s="92" t="str">
        <f>IF(CupDraw!J60="","",CupDraw!J60)</f>
        <v/>
      </c>
      <c r="F61" s="66"/>
      <c r="G61" s="66"/>
      <c r="H61" s="95">
        <f>CupDraw!M60</f>
        <v>30</v>
      </c>
      <c r="I61" s="77" t="str">
        <f>IF(CupDraw!N60="","",CupDraw!N60)</f>
        <v>Paul Barnes</v>
      </c>
      <c r="J61" s="81">
        <f>IF(CupDraw!O60="","",CupDraw!O60)</f>
        <v>-7</v>
      </c>
      <c r="K61" s="92" t="str">
        <f>IF(CupDraw!P60="","",CupDraw!P60)</f>
        <v/>
      </c>
      <c r="L61" s="89"/>
      <c r="M61" s="86"/>
      <c r="N61" s="86"/>
      <c r="O61" s="86"/>
      <c r="P61" s="86"/>
      <c r="Q61" s="86"/>
      <c r="R61" s="90"/>
      <c r="S61" s="86"/>
      <c r="T61" s="66"/>
      <c r="U61" s="66"/>
      <c r="V61" s="66"/>
      <c r="W61" s="66"/>
      <c r="X61" s="91"/>
      <c r="Y61" s="86"/>
      <c r="Z61" s="86"/>
      <c r="AA61" s="86"/>
      <c r="AB61" s="86"/>
      <c r="AC61" s="86"/>
    </row>
    <row r="62" spans="2:29" x14ac:dyDescent="0.25">
      <c r="B62" s="94"/>
      <c r="C62" s="80" t="str">
        <f>IF(CupDraw!H61="","",CupDraw!H61)</f>
        <v/>
      </c>
      <c r="D62" s="81" t="str">
        <f>IF(CupDraw!I61="","",CupDraw!I61)</f>
        <v/>
      </c>
      <c r="E62" s="148" t="str">
        <f>IF(CupDraw!J61="","",CupDraw!J61)</f>
        <v/>
      </c>
      <c r="F62" s="66"/>
      <c r="G62" s="66"/>
      <c r="H62" s="94"/>
      <c r="I62" s="77" t="str">
        <f>IF(CupDraw!N61="","",CupDraw!N61)</f>
        <v>Dan Baxter</v>
      </c>
      <c r="J62" s="81">
        <f>IF(CupDraw!O61="","",CupDraw!O61)</f>
        <v>-1.4449999999999994</v>
      </c>
      <c r="K62" s="70" t="str">
        <f>IF(CupDraw!P61="","",CupDraw!P61)</f>
        <v/>
      </c>
      <c r="L62" s="89"/>
      <c r="M62" s="86"/>
      <c r="N62" s="86"/>
      <c r="O62" s="86"/>
      <c r="P62" s="86"/>
      <c r="Q62" s="86"/>
      <c r="R62" s="90"/>
      <c r="S62" s="86"/>
      <c r="T62" s="66"/>
      <c r="U62" s="66"/>
      <c r="V62" s="66"/>
      <c r="W62" s="66"/>
      <c r="X62" s="91"/>
      <c r="Y62" s="86"/>
      <c r="Z62" s="86"/>
      <c r="AA62" s="86"/>
      <c r="AB62" s="86"/>
      <c r="AC62" s="86"/>
    </row>
    <row r="63" spans="2:29" x14ac:dyDescent="0.25">
      <c r="B63" s="95">
        <f>CupDraw!G62</f>
        <v>31</v>
      </c>
      <c r="C63" s="80" t="str">
        <f>IF(CupDraw!H62="","",CupDraw!H62)</f>
        <v/>
      </c>
      <c r="D63" s="81" t="str">
        <f>IF(CupDraw!I62="","",CupDraw!I62)</f>
        <v/>
      </c>
      <c r="E63" s="92" t="str">
        <f>IF(CupDraw!J62="","",CupDraw!J62)</f>
        <v/>
      </c>
      <c r="F63" s="66"/>
      <c r="G63" s="66"/>
      <c r="H63" s="95">
        <f>CupDraw!M62</f>
        <v>31</v>
      </c>
      <c r="I63" s="77" t="str">
        <f>IF(CupDraw!N62="","",CupDraw!N62)</f>
        <v>Chris Luck</v>
      </c>
      <c r="J63" s="81">
        <f>IF(CupDraw!O62="","",CupDraw!O62)</f>
        <v>-3.8</v>
      </c>
      <c r="K63" s="92" t="str">
        <f>IF(CupDraw!P62="","",CupDraw!P62)</f>
        <v/>
      </c>
      <c r="L63" s="89"/>
      <c r="M63" s="86"/>
      <c r="N63" s="86"/>
      <c r="O63" s="86"/>
      <c r="P63" s="86"/>
      <c r="Q63" s="86"/>
      <c r="R63" s="90"/>
      <c r="S63" s="86"/>
      <c r="T63" s="66"/>
      <c r="U63" s="66"/>
      <c r="V63" s="66"/>
      <c r="W63" s="66"/>
      <c r="X63" s="91"/>
      <c r="Y63" s="86"/>
      <c r="Z63" s="86"/>
      <c r="AA63" s="86"/>
      <c r="AB63" s="86"/>
      <c r="AC63" s="86"/>
    </row>
    <row r="64" spans="2:29" x14ac:dyDescent="0.25">
      <c r="B64" s="94"/>
      <c r="C64" s="80" t="str">
        <f>IF(CupDraw!H63="","",CupDraw!H63)</f>
        <v/>
      </c>
      <c r="D64" s="81" t="str">
        <f>IF(CupDraw!I63="","",CupDraw!I63)</f>
        <v/>
      </c>
      <c r="E64" s="148" t="str">
        <f>IF(CupDraw!J63="","",CupDraw!J63)</f>
        <v/>
      </c>
      <c r="F64" s="66"/>
      <c r="G64" s="66"/>
      <c r="H64" s="94"/>
      <c r="I64" s="77" t="str">
        <f>IF(CupDraw!N63="","",CupDraw!N63)</f>
        <v>Steve Carter</v>
      </c>
      <c r="J64" s="81">
        <f>IF(CupDraw!O63="","",CupDraw!O63)</f>
        <v>-5.0909090909090908</v>
      </c>
      <c r="K64" s="70" t="str">
        <f>IF(CupDraw!P63="","",CupDraw!P63)</f>
        <v/>
      </c>
      <c r="L64" s="89"/>
      <c r="M64" s="86"/>
      <c r="N64" s="86"/>
      <c r="O64" s="86"/>
      <c r="P64" s="86"/>
      <c r="Q64" s="86"/>
      <c r="R64" s="90"/>
      <c r="S64" s="86"/>
      <c r="T64" s="65" t="str">
        <f>CupDraw!Y63</f>
        <v>SF</v>
      </c>
      <c r="U64" s="160">
        <f>CupDraw!Z63</f>
        <v>43561</v>
      </c>
      <c r="V64" s="66"/>
      <c r="W64" s="66"/>
      <c r="X64" s="91"/>
      <c r="Y64" s="86"/>
      <c r="Z64" s="86"/>
      <c r="AA64" s="86"/>
      <c r="AB64" s="86"/>
      <c r="AC64" s="86"/>
    </row>
    <row r="65" spans="2:29" x14ac:dyDescent="0.25">
      <c r="B65" s="95">
        <f>CupDraw!G64</f>
        <v>32</v>
      </c>
      <c r="C65" s="80" t="str">
        <f>IF(CupDraw!H64="","",CupDraw!H64)</f>
        <v/>
      </c>
      <c r="D65" s="81" t="str">
        <f>IF(CupDraw!I64="","",CupDraw!I64)</f>
        <v/>
      </c>
      <c r="E65" s="92" t="str">
        <f>IF(CupDraw!J64="","",CupDraw!J64)</f>
        <v/>
      </c>
      <c r="F65" s="66"/>
      <c r="G65" s="66"/>
      <c r="H65" s="95">
        <f>CupDraw!M64</f>
        <v>32</v>
      </c>
      <c r="I65" s="77" t="str">
        <f>IF(CupDraw!N64="","",CupDraw!N64)</f>
        <v>Phil Miller</v>
      </c>
      <c r="J65" s="81">
        <f>IF(CupDraw!O64="","",CupDraw!O64)</f>
        <v>-5.15</v>
      </c>
      <c r="K65" s="92" t="str">
        <f>IF(CupDraw!P64="","",CupDraw!P64)</f>
        <v/>
      </c>
      <c r="L65" s="89"/>
      <c r="M65" s="86"/>
      <c r="N65" s="86"/>
      <c r="O65" s="86"/>
      <c r="P65" s="86"/>
      <c r="Q65" s="86"/>
      <c r="R65" s="90"/>
      <c r="S65" s="86"/>
      <c r="T65" s="69">
        <f>CupDraw!Y64</f>
        <v>1</v>
      </c>
      <c r="U65" s="79" t="str">
        <f>IF(CupDraw!Z64="","",CupDraw!Z64)</f>
        <v>Ashley Houghton</v>
      </c>
      <c r="V65" s="107">
        <f>IF(CupDraw!AA64="","",CupDraw!AA64)</f>
        <v>-1.1600000000000001</v>
      </c>
      <c r="W65" s="82" t="str">
        <f>CupDraw!AB64</f>
        <v/>
      </c>
      <c r="X65" s="89"/>
      <c r="Y65" s="86"/>
      <c r="Z65" s="86"/>
      <c r="AA65" s="86"/>
      <c r="AB65" s="86"/>
      <c r="AC65" s="86"/>
    </row>
    <row r="66" spans="2:29" x14ac:dyDescent="0.25">
      <c r="B66" s="94"/>
      <c r="C66" s="80" t="str">
        <f>IF(CupDraw!H65="","",CupDraw!H65)</f>
        <v/>
      </c>
      <c r="D66" s="81" t="str">
        <f>IF(CupDraw!I65="","",CupDraw!I65)</f>
        <v/>
      </c>
      <c r="E66" s="148" t="str">
        <f>IF(CupDraw!J65="","",CupDraw!J65)</f>
        <v/>
      </c>
      <c r="F66" s="66"/>
      <c r="G66" s="66"/>
      <c r="H66" s="94"/>
      <c r="I66" s="77" t="str">
        <f>IF(CupDraw!N65="","",CupDraw!N65)</f>
        <v>Graham Miller</v>
      </c>
      <c r="J66" s="81">
        <f>IF(CupDraw!O65="","",CupDraw!O65)</f>
        <v>4.2181818181818187</v>
      </c>
      <c r="K66" s="70" t="str">
        <f>IF(CupDraw!P65="","",CupDraw!P65)</f>
        <v/>
      </c>
      <c r="L66" s="89"/>
      <c r="M66" s="86"/>
      <c r="N66" s="86"/>
      <c r="O66" s="86"/>
      <c r="P66" s="86"/>
      <c r="Q66" s="86"/>
      <c r="R66" s="90"/>
      <c r="S66" s="86"/>
      <c r="T66" s="72"/>
      <c r="U66" s="79" t="str">
        <f>CupDraw!Z65</f>
        <v>Andy Charleston</v>
      </c>
      <c r="V66" s="107">
        <f>IF(CupDraw!AA65="","",CupDraw!AA65)</f>
        <v>-7</v>
      </c>
      <c r="W66" s="73"/>
      <c r="X66" s="89"/>
      <c r="Y66" s="86"/>
      <c r="Z66" s="86"/>
      <c r="AA66" s="86"/>
      <c r="AB66" s="86"/>
      <c r="AC66" s="86"/>
    </row>
    <row r="67" spans="2:29" x14ac:dyDescent="0.25">
      <c r="B67" s="95">
        <f>CupDraw!G66</f>
        <v>33</v>
      </c>
      <c r="C67" s="80" t="str">
        <f>IF(CupDraw!H66="","",CupDraw!H66)</f>
        <v/>
      </c>
      <c r="D67" s="81" t="str">
        <f>IF(CupDraw!I66="","",CupDraw!I66)</f>
        <v/>
      </c>
      <c r="E67" s="92" t="str">
        <f>IF(CupDraw!J66="","",CupDraw!J66)</f>
        <v/>
      </c>
      <c r="F67" s="66"/>
      <c r="G67" s="66"/>
      <c r="H67" s="68"/>
      <c r="I67" s="66"/>
      <c r="J67" s="98"/>
      <c r="K67" s="66"/>
      <c r="L67" s="90"/>
      <c r="M67" s="86"/>
      <c r="N67" s="86"/>
      <c r="O67" s="86"/>
      <c r="P67" s="86"/>
      <c r="Q67" s="86"/>
      <c r="R67" s="90"/>
      <c r="S67" s="86"/>
      <c r="T67" s="69">
        <f>CupDraw!Y66</f>
        <v>2</v>
      </c>
      <c r="U67" s="79" t="str">
        <f>CupDraw!Z66</f>
        <v>Paul Allen</v>
      </c>
      <c r="V67" s="107">
        <f>IF(CupDraw!AA66="","",CupDraw!AA66)</f>
        <v>-1.2000000000000002</v>
      </c>
      <c r="W67" s="82" t="str">
        <f>CupDraw!AB66</f>
        <v/>
      </c>
      <c r="X67" s="89"/>
      <c r="Y67" s="86"/>
      <c r="Z67" s="86"/>
      <c r="AA67" s="86"/>
      <c r="AB67" s="86"/>
      <c r="AC67" s="86"/>
    </row>
    <row r="68" spans="2:29" x14ac:dyDescent="0.25">
      <c r="B68" s="94"/>
      <c r="C68" s="80" t="str">
        <f>IF(CupDraw!H67="","",CupDraw!H67)</f>
        <v/>
      </c>
      <c r="D68" s="81" t="str">
        <f>IF(CupDraw!I67="","",CupDraw!I67)</f>
        <v/>
      </c>
      <c r="E68" s="148" t="str">
        <f>IF(CupDraw!J67="","",CupDraw!J67)</f>
        <v/>
      </c>
      <c r="F68" s="66"/>
      <c r="G68" s="66"/>
      <c r="H68" s="68"/>
      <c r="I68" s="66"/>
      <c r="J68" s="98"/>
      <c r="K68" s="66"/>
      <c r="L68" s="90"/>
      <c r="M68" s="86"/>
      <c r="N68" s="86"/>
      <c r="O68" s="86"/>
      <c r="P68" s="86"/>
      <c r="Q68" s="86"/>
      <c r="R68" s="90"/>
      <c r="S68" s="86"/>
      <c r="T68" s="76"/>
      <c r="U68" s="79" t="str">
        <f>CupDraw!Z67</f>
        <v>David Dunn</v>
      </c>
      <c r="V68" s="107">
        <f>IF(CupDraw!AA67="","",CupDraw!AA67)</f>
        <v>6.625</v>
      </c>
      <c r="W68" s="70"/>
      <c r="X68" s="89"/>
      <c r="Y68" s="86"/>
      <c r="Z68" s="86"/>
      <c r="AA68" s="86"/>
      <c r="AB68" s="86"/>
      <c r="AC68" s="86"/>
    </row>
    <row r="69" spans="2:29" x14ac:dyDescent="0.25">
      <c r="B69" s="95">
        <f>CupDraw!G68</f>
        <v>34</v>
      </c>
      <c r="C69" s="80" t="str">
        <f>IF(CupDraw!H68="","",CupDraw!H68)</f>
        <v/>
      </c>
      <c r="D69" s="81" t="str">
        <f>IF(CupDraw!I68="","",CupDraw!I68)</f>
        <v/>
      </c>
      <c r="E69" s="92" t="str">
        <f>IF(CupDraw!J68="","",CupDraw!J68)</f>
        <v/>
      </c>
      <c r="F69" s="66"/>
      <c r="G69" s="66"/>
      <c r="H69" s="68" t="str">
        <f>CupDraw!M68</f>
        <v>Earlier ties</v>
      </c>
      <c r="I69" s="86"/>
      <c r="J69" s="99"/>
      <c r="K69" s="86"/>
      <c r="L69" s="91"/>
      <c r="M69" s="86"/>
      <c r="N69" s="86"/>
      <c r="O69" s="86"/>
      <c r="P69" s="86"/>
      <c r="Q69" s="86"/>
      <c r="R69" s="90"/>
      <c r="S69" s="86"/>
      <c r="T69" s="86"/>
      <c r="U69" s="86"/>
      <c r="V69" s="86"/>
      <c r="W69" s="86"/>
      <c r="X69" s="91"/>
      <c r="Y69" s="86"/>
      <c r="Z69" s="86"/>
      <c r="AA69" s="86"/>
      <c r="AB69" s="86"/>
      <c r="AC69" s="86"/>
    </row>
    <row r="70" spans="2:29" x14ac:dyDescent="0.25">
      <c r="B70" s="94"/>
      <c r="C70" s="80" t="str">
        <f>IF(CupDraw!H69="","",CupDraw!H69)</f>
        <v/>
      </c>
      <c r="D70" s="81" t="str">
        <f>IF(CupDraw!I69="","",CupDraw!I69)</f>
        <v/>
      </c>
      <c r="E70" s="148" t="str">
        <f>IF(CupDraw!J69="","",CupDraw!J69)</f>
        <v/>
      </c>
      <c r="F70" s="66"/>
      <c r="G70" s="66"/>
      <c r="H70" s="709">
        <f>IF(CupDraw!M69="","",CupDraw!M69)</f>
        <v>16</v>
      </c>
      <c r="I70" s="77" t="str">
        <f>IF(CupDraw!N69="","",CupDraw!N69)</f>
        <v>Mo Sudell</v>
      </c>
      <c r="J70" s="81">
        <f>IF(CupDraw!O69="","",CupDraw!O69)</f>
        <v>1.745454545454546</v>
      </c>
      <c r="K70" s="92" t="str">
        <f>IF(CupDraw!P69="","",CupDraw!P69)</f>
        <v/>
      </c>
      <c r="L70" s="89"/>
      <c r="M70" s="86"/>
      <c r="N70" s="86"/>
      <c r="O70" s="86"/>
      <c r="P70" s="86"/>
      <c r="Q70" s="86"/>
      <c r="R70" s="90"/>
      <c r="S70" s="86"/>
      <c r="T70" s="68" t="str">
        <f>CupDraw!Y69</f>
        <v>Earlier ties</v>
      </c>
      <c r="U70" s="66"/>
      <c r="V70" s="66"/>
      <c r="W70" s="66"/>
      <c r="X70" s="91"/>
      <c r="Y70" s="86"/>
      <c r="Z70" s="86"/>
      <c r="AA70" s="86"/>
      <c r="AB70" s="86"/>
      <c r="AC70" s="86"/>
    </row>
    <row r="71" spans="2:29" x14ac:dyDescent="0.25">
      <c r="B71" s="95">
        <f>CupDraw!G70</f>
        <v>35</v>
      </c>
      <c r="C71" s="80" t="str">
        <f>IF(CupDraw!H70="","",CupDraw!H70)</f>
        <v/>
      </c>
      <c r="D71" s="81" t="str">
        <f>IF(CupDraw!I70="","",CupDraw!I70)</f>
        <v/>
      </c>
      <c r="E71" s="92" t="str">
        <f>IF(CupDraw!J70="","",CupDraw!J70)</f>
        <v/>
      </c>
      <c r="F71" s="66"/>
      <c r="G71" s="66"/>
      <c r="H71" s="710">
        <f>CupDraw!M70</f>
        <v>0</v>
      </c>
      <c r="I71" s="77" t="str">
        <f>IF(CupDraw!N70="","",CupDraw!N70)</f>
        <v>Paul Fiddler</v>
      </c>
      <c r="J71" s="81">
        <f>IF(CupDraw!O70="","",CupDraw!O70)</f>
        <v>-0.90909090909090917</v>
      </c>
      <c r="K71" s="70" t="str">
        <f>IF(CupDraw!P70="","",CupDraw!P70)</f>
        <v/>
      </c>
      <c r="L71" s="89"/>
      <c r="M71" s="86"/>
      <c r="N71" s="86"/>
      <c r="O71" s="86"/>
      <c r="P71" s="86"/>
      <c r="Q71" s="86"/>
      <c r="R71" s="90"/>
      <c r="S71" s="86"/>
      <c r="T71" s="711"/>
      <c r="U71" s="77" t="str">
        <f>IF(CupDraw!Z70="","",CupDraw!Z70)</f>
        <v/>
      </c>
      <c r="V71" s="107" t="str">
        <f>IF(CupDraw!AA70="","",CupDraw!AA70)</f>
        <v/>
      </c>
      <c r="W71" s="92" t="str">
        <f>CupDraw!AB70</f>
        <v/>
      </c>
      <c r="X71" s="91"/>
      <c r="Y71" s="86"/>
      <c r="Z71" s="86"/>
      <c r="AA71" s="86"/>
      <c r="AB71" s="86"/>
      <c r="AC71" s="86"/>
    </row>
    <row r="72" spans="2:29" x14ac:dyDescent="0.25">
      <c r="B72" s="94"/>
      <c r="C72" s="80" t="str">
        <f>IF(CupDraw!H71="","",CupDraw!H71)</f>
        <v/>
      </c>
      <c r="D72" s="81" t="str">
        <f>IF(CupDraw!I71="","",CupDraw!I71)</f>
        <v/>
      </c>
      <c r="E72" s="148" t="str">
        <f>IF(CupDraw!J71="","",CupDraw!J71)</f>
        <v/>
      </c>
      <c r="F72" s="66"/>
      <c r="G72" s="66"/>
      <c r="H72" s="709" t="str">
        <f>IF(CupDraw!M71="","",CupDraw!M71)</f>
        <v/>
      </c>
      <c r="I72" s="77" t="str">
        <f>IF(CupDraw!N71="","",CupDraw!N71)</f>
        <v/>
      </c>
      <c r="J72" s="81" t="str">
        <f>IF(CupDraw!O71="","",CupDraw!O71)</f>
        <v/>
      </c>
      <c r="K72" s="92" t="str">
        <f>IF(CupDraw!P71="","",CupDraw!P71)</f>
        <v/>
      </c>
      <c r="L72" s="89"/>
      <c r="M72" s="86"/>
      <c r="N72" s="86"/>
      <c r="O72" s="86"/>
      <c r="P72" s="86"/>
      <c r="Q72" s="86"/>
      <c r="R72" s="90"/>
      <c r="S72" s="86"/>
      <c r="T72" s="712"/>
      <c r="U72" s="77" t="str">
        <f>IF(CupDraw!Z71="","",CupDraw!Z71)</f>
        <v/>
      </c>
      <c r="V72" s="107" t="str">
        <f>IF(CupDraw!AA71="","",CupDraw!AA71)</f>
        <v/>
      </c>
      <c r="W72" s="70"/>
      <c r="X72" s="91"/>
      <c r="Y72" s="86"/>
      <c r="Z72" s="86"/>
      <c r="AA72" s="86"/>
      <c r="AB72" s="86"/>
      <c r="AC72" s="86"/>
    </row>
    <row r="73" spans="2:29" x14ac:dyDescent="0.25">
      <c r="B73" s="95">
        <f>CupDraw!G72</f>
        <v>36</v>
      </c>
      <c r="C73" s="80" t="str">
        <f>IF(CupDraw!H72="","",CupDraw!H72)</f>
        <v/>
      </c>
      <c r="D73" s="81" t="str">
        <f>IF(CupDraw!I72="","",CupDraw!I72)</f>
        <v/>
      </c>
      <c r="E73" s="92" t="str">
        <f>IF(CupDraw!J72="","",CupDraw!J72)</f>
        <v/>
      </c>
      <c r="F73" s="66"/>
      <c r="G73" s="66"/>
      <c r="H73" s="710">
        <f>CupDraw!M72</f>
        <v>0</v>
      </c>
      <c r="I73" s="77" t="str">
        <f>IF(CupDraw!N72="","",CupDraw!N72)</f>
        <v/>
      </c>
      <c r="J73" s="81" t="str">
        <f>IF(CupDraw!O72="","",CupDraw!O72)</f>
        <v/>
      </c>
      <c r="K73" s="70" t="str">
        <f>IF(CupDraw!P72="","",CupDraw!P72)</f>
        <v/>
      </c>
      <c r="L73" s="89"/>
      <c r="M73" s="86"/>
      <c r="N73" s="86"/>
      <c r="O73" s="86"/>
      <c r="P73" s="86"/>
      <c r="Q73" s="86"/>
      <c r="R73" s="90"/>
      <c r="S73" s="86"/>
      <c r="T73" s="93"/>
      <c r="U73" s="77" t="str">
        <f>IF(CupDraw!Z72="","",CupDraw!Z72)</f>
        <v/>
      </c>
      <c r="V73" s="78" t="str">
        <f>IF(CupDraw!AA72="","",CupDraw!AA72)</f>
        <v/>
      </c>
      <c r="W73" s="92" t="str">
        <f>CupDraw!AB72</f>
        <v/>
      </c>
      <c r="X73" s="91"/>
      <c r="Y73" s="86"/>
      <c r="Z73" s="86"/>
      <c r="AA73" s="86"/>
      <c r="AB73" s="86"/>
      <c r="AC73" s="86"/>
    </row>
    <row r="74" spans="2:29" x14ac:dyDescent="0.25">
      <c r="B74" s="94"/>
      <c r="C74" s="80" t="str">
        <f>IF(CupDraw!H73="","",CupDraw!H73)</f>
        <v/>
      </c>
      <c r="D74" s="81" t="str">
        <f>IF(CupDraw!I73="","",CupDraw!I73)</f>
        <v/>
      </c>
      <c r="E74" s="148" t="str">
        <f>IF(CupDraw!J73="","",CupDraw!J73)</f>
        <v/>
      </c>
      <c r="F74" s="66"/>
      <c r="G74" s="66"/>
      <c r="H74" s="709" t="str">
        <f>IF(CupDraw!M73="","",CupDraw!M73)</f>
        <v/>
      </c>
      <c r="I74" s="77" t="str">
        <f>IF(CupDraw!N73="","",CupDraw!N73)</f>
        <v/>
      </c>
      <c r="J74" s="81" t="str">
        <f>IF(CupDraw!O73="","",CupDraw!O73)</f>
        <v/>
      </c>
      <c r="K74" s="92" t="str">
        <f>IF(CupDraw!P73="","",CupDraw!P73)</f>
        <v/>
      </c>
      <c r="L74" s="89"/>
      <c r="M74" s="86"/>
      <c r="N74" s="86"/>
      <c r="O74" s="86"/>
      <c r="P74" s="86"/>
      <c r="Q74" s="86"/>
      <c r="R74" s="90"/>
      <c r="S74" s="86"/>
      <c r="T74" s="94"/>
      <c r="U74" s="77" t="str">
        <f>IF(CupDraw!Z73="","",CupDraw!Z73)</f>
        <v/>
      </c>
      <c r="V74" s="78" t="str">
        <f>IF(CupDraw!AA73="","",CupDraw!AA73)</f>
        <v/>
      </c>
      <c r="W74" s="70"/>
      <c r="X74" s="91"/>
      <c r="Y74" s="86"/>
      <c r="Z74" s="86"/>
      <c r="AA74" s="86"/>
      <c r="AB74" s="86"/>
      <c r="AC74" s="86"/>
    </row>
    <row r="75" spans="2:29" x14ac:dyDescent="0.25">
      <c r="B75" s="15"/>
      <c r="C75" s="66"/>
      <c r="D75" s="66"/>
      <c r="E75" s="66"/>
      <c r="F75" s="66"/>
      <c r="G75" s="66"/>
      <c r="H75" s="710">
        <f>CupDraw!M74</f>
        <v>0</v>
      </c>
      <c r="I75" s="77" t="str">
        <f>IF(CupDraw!N74="","",CupDraw!N74)</f>
        <v/>
      </c>
      <c r="J75" s="81" t="str">
        <f>IF(CupDraw!O74="","",CupDraw!O74)</f>
        <v/>
      </c>
      <c r="K75" s="70" t="str">
        <f>IF(CupDraw!P74="","",CupDraw!P74)</f>
        <v/>
      </c>
      <c r="L75" s="89"/>
      <c r="M75" s="86"/>
      <c r="N75" s="86"/>
      <c r="O75" s="86"/>
      <c r="P75" s="86"/>
      <c r="Q75" s="86"/>
      <c r="R75" s="90"/>
      <c r="S75" s="86"/>
      <c r="T75" s="86"/>
      <c r="U75" s="86"/>
      <c r="V75" s="86"/>
      <c r="W75" s="86"/>
      <c r="X75" s="91"/>
      <c r="Y75" s="86"/>
      <c r="Z75" s="86"/>
      <c r="AA75" s="86"/>
      <c r="AB75" s="86"/>
      <c r="AC75" s="86"/>
    </row>
    <row r="76" spans="2:29" x14ac:dyDescent="0.25">
      <c r="B76" s="68"/>
      <c r="C76" s="66"/>
      <c r="D76" s="66"/>
      <c r="E76" s="66"/>
      <c r="F76" s="66"/>
      <c r="G76" s="66"/>
      <c r="H76" s="709" t="str">
        <f>IF(CupDraw!M75="","",CupDraw!M75)</f>
        <v/>
      </c>
      <c r="I76" s="77" t="str">
        <f>IF(CupDraw!N75="","",CupDraw!N75)</f>
        <v/>
      </c>
      <c r="J76" s="81" t="str">
        <f>IF(CupDraw!O75="","",CupDraw!O75)</f>
        <v/>
      </c>
      <c r="K76" s="92" t="str">
        <f>IF(CupDraw!P75="","",CupDraw!P75)</f>
        <v/>
      </c>
      <c r="L76" s="89"/>
      <c r="M76" s="86"/>
      <c r="N76" s="86"/>
      <c r="O76" s="86"/>
      <c r="P76" s="86"/>
      <c r="Q76" s="86"/>
      <c r="R76" s="90"/>
      <c r="S76" s="86"/>
      <c r="T76" s="86"/>
      <c r="U76" s="86"/>
      <c r="V76" s="86"/>
      <c r="W76" s="86"/>
      <c r="X76" s="91"/>
      <c r="Y76" s="86"/>
      <c r="Z76" s="86"/>
      <c r="AA76" s="86"/>
      <c r="AB76" s="86"/>
      <c r="AC76" s="86"/>
    </row>
    <row r="77" spans="2:29" x14ac:dyDescent="0.25">
      <c r="B77" s="68" t="s">
        <v>157</v>
      </c>
      <c r="C77" s="86"/>
      <c r="D77" s="86"/>
      <c r="E77" s="86"/>
      <c r="F77" s="66"/>
      <c r="G77" s="66"/>
      <c r="H77" s="710">
        <f>CupDraw!M76</f>
        <v>0</v>
      </c>
      <c r="I77" s="77" t="str">
        <f>IF(CupDraw!N76="","",CupDraw!N76)</f>
        <v/>
      </c>
      <c r="J77" s="81" t="str">
        <f>IF(CupDraw!O76="","",CupDraw!O76)</f>
        <v/>
      </c>
      <c r="K77" s="70" t="str">
        <f>IF(CupDraw!P76="","",CupDraw!P76)</f>
        <v/>
      </c>
      <c r="L77" s="89"/>
      <c r="M77" s="86"/>
      <c r="N77" s="86"/>
      <c r="O77" s="86"/>
      <c r="P77" s="86"/>
      <c r="Q77" s="86"/>
      <c r="R77" s="90"/>
      <c r="S77" s="86"/>
      <c r="T77" s="86"/>
      <c r="U77" s="86"/>
      <c r="V77" s="86"/>
      <c r="W77" s="86"/>
      <c r="X77" s="91"/>
      <c r="Y77" s="86"/>
      <c r="Z77" s="86"/>
      <c r="AA77" s="86"/>
      <c r="AB77" s="86"/>
      <c r="AC77" s="86"/>
    </row>
    <row r="78" spans="2:29" x14ac:dyDescent="0.25">
      <c r="B78" s="69"/>
      <c r="C78" s="77" t="str">
        <f>IF(CupDraw!H79="","",CupDraw!H79)</f>
        <v/>
      </c>
      <c r="D78" s="81" t="str">
        <f>IF(CupDraw!I79="","",CupDraw!I79)</f>
        <v/>
      </c>
      <c r="E78" s="713" t="str">
        <f>IF(CupDraw!J79="","",CupDraw!J79)</f>
        <v/>
      </c>
      <c r="F78" s="66"/>
      <c r="G78" s="66"/>
      <c r="H78" s="709" t="str">
        <f>IF(CupDraw!M77="","",CupDraw!M77)</f>
        <v/>
      </c>
      <c r="I78" s="77" t="str">
        <f>IF(CupDraw!N77="","",CupDraw!N77)</f>
        <v/>
      </c>
      <c r="J78" s="81" t="str">
        <f>IF(CupDraw!O77="","",CupDraw!O77)</f>
        <v/>
      </c>
      <c r="K78" s="92" t="str">
        <f>IF(CupDraw!P77="","",CupDraw!P77)</f>
        <v/>
      </c>
      <c r="L78" s="90"/>
      <c r="M78" s="86"/>
      <c r="N78" s="86"/>
      <c r="O78" s="86"/>
      <c r="P78" s="86"/>
      <c r="Q78" s="86"/>
      <c r="R78" s="90"/>
      <c r="S78" s="86"/>
      <c r="T78" s="86"/>
      <c r="U78" s="86"/>
      <c r="V78" s="86"/>
      <c r="W78" s="86"/>
      <c r="X78" s="91"/>
      <c r="Y78" s="86"/>
      <c r="Z78" s="86"/>
      <c r="AA78" s="86"/>
      <c r="AB78" s="86"/>
      <c r="AC78" s="86"/>
    </row>
    <row r="79" spans="2:29" x14ac:dyDescent="0.25">
      <c r="B79" s="76"/>
      <c r="C79" s="77" t="str">
        <f>IF(CupDraw!H80="","",CupDraw!H80)</f>
        <v/>
      </c>
      <c r="D79" s="81" t="str">
        <f>IF(CupDraw!I80="","",CupDraw!I80)</f>
        <v/>
      </c>
      <c r="E79" s="714"/>
      <c r="F79" s="66"/>
      <c r="G79" s="66"/>
      <c r="H79" s="710">
        <f>CupDraw!M78</f>
        <v>0</v>
      </c>
      <c r="I79" s="77" t="str">
        <f>IF(CupDraw!N78="","",CupDraw!N78)</f>
        <v/>
      </c>
      <c r="J79" s="81" t="str">
        <f>IF(CupDraw!O78="","",CupDraw!O78)</f>
        <v/>
      </c>
      <c r="K79" s="70" t="str">
        <f>IF(CupDraw!P78="","",CupDraw!P78)</f>
        <v/>
      </c>
      <c r="L79" s="90"/>
      <c r="M79" s="86"/>
      <c r="N79" s="86"/>
      <c r="O79" s="86"/>
      <c r="P79" s="86"/>
      <c r="Q79" s="86"/>
      <c r="R79" s="90"/>
      <c r="S79" s="86"/>
      <c r="T79" s="86"/>
      <c r="U79" s="86"/>
      <c r="V79" s="86"/>
      <c r="W79" s="86"/>
      <c r="X79" s="91"/>
      <c r="Y79" s="86"/>
      <c r="Z79" s="86"/>
      <c r="AA79" s="86"/>
      <c r="AB79" s="86"/>
      <c r="AC79" s="86"/>
    </row>
    <row r="80" spans="2:29" x14ac:dyDescent="0.25">
      <c r="B80" s="145"/>
      <c r="C80" s="77" t="str">
        <f>IF(CupDraw!H81="","",CupDraw!H81)</f>
        <v/>
      </c>
      <c r="D80" s="81" t="str">
        <f>IF(CupDraw!I81="","",CupDraw!I81)</f>
        <v/>
      </c>
      <c r="E80" s="713" t="str">
        <f>IF(CupDraw!J81="","",CupDraw!J81)</f>
        <v/>
      </c>
      <c r="F80" s="66"/>
      <c r="G80" s="66"/>
      <c r="H80" s="709" t="str">
        <f>IF(CupDraw!M79="","",CupDraw!M79)</f>
        <v/>
      </c>
      <c r="I80" s="77" t="str">
        <f>IF(CupDraw!N79="","",CupDraw!N79)</f>
        <v/>
      </c>
      <c r="J80" s="81" t="str">
        <f>IF(CupDraw!O79="","",CupDraw!O79)</f>
        <v/>
      </c>
      <c r="K80" s="92" t="str">
        <f>IF(CupDraw!P79="","",CupDraw!P79)</f>
        <v/>
      </c>
      <c r="L80" s="90"/>
      <c r="M80" s="86"/>
      <c r="N80" s="86"/>
      <c r="O80" s="86"/>
      <c r="P80" s="86"/>
      <c r="Q80" s="86"/>
      <c r="R80" s="90"/>
      <c r="S80" s="86"/>
      <c r="T80" s="86"/>
      <c r="U80" s="86"/>
      <c r="V80" s="86"/>
      <c r="W80" s="86"/>
      <c r="X80" s="91"/>
      <c r="Y80" s="86"/>
      <c r="Z80" s="86"/>
      <c r="AA80" s="86"/>
      <c r="AB80" s="86"/>
      <c r="AC80" s="86"/>
    </row>
    <row r="81" spans="2:30" x14ac:dyDescent="0.25">
      <c r="B81" s="146"/>
      <c r="C81" s="77" t="str">
        <f>IF(CupDraw!H82="","",CupDraw!H82)</f>
        <v/>
      </c>
      <c r="D81" s="81" t="str">
        <f>IF(CupDraw!I82="","",CupDraw!I82)</f>
        <v/>
      </c>
      <c r="E81" s="714"/>
      <c r="F81" s="66"/>
      <c r="G81" s="66"/>
      <c r="H81" s="710">
        <f>CupDraw!M80</f>
        <v>0</v>
      </c>
      <c r="I81" s="77" t="str">
        <f>IF(CupDraw!N80="","",CupDraw!N80)</f>
        <v/>
      </c>
      <c r="J81" s="81" t="str">
        <f>IF(CupDraw!O80="","",CupDraw!O80)</f>
        <v/>
      </c>
      <c r="K81" s="70" t="str">
        <f>IF(CupDraw!P80="","",CupDraw!P80)</f>
        <v/>
      </c>
      <c r="L81" s="90"/>
      <c r="M81" s="86"/>
      <c r="N81" s="86"/>
      <c r="O81" s="86"/>
      <c r="P81" s="86"/>
      <c r="Q81" s="86"/>
      <c r="R81" s="90"/>
      <c r="S81" s="86"/>
      <c r="T81" s="65" t="str">
        <f>CupDraw!Y80</f>
        <v>Final</v>
      </c>
      <c r="U81" s="160">
        <f>CupDraw!Z80</f>
        <v>43575</v>
      </c>
      <c r="V81" s="66"/>
      <c r="W81" s="66"/>
      <c r="X81" s="91"/>
      <c r="Y81" s="86"/>
      <c r="Z81" s="86"/>
      <c r="AA81" s="86"/>
      <c r="AB81" s="86"/>
      <c r="AC81" s="86"/>
    </row>
    <row r="82" spans="2:30" x14ac:dyDescent="0.25">
      <c r="B82" s="93"/>
      <c r="C82" s="77" t="str">
        <f>IF(CupDraw!H83="","",CupDraw!H83)</f>
        <v/>
      </c>
      <c r="D82" s="81" t="str">
        <f>IF(CupDraw!I83="","",CupDraw!I83)</f>
        <v/>
      </c>
      <c r="E82" s="713" t="str">
        <f>IF(CupDraw!J83="","",CupDraw!J83)</f>
        <v/>
      </c>
      <c r="F82" s="66"/>
      <c r="G82" s="66"/>
      <c r="H82" s="709" t="str">
        <f>IF(CupDraw!M81="","",CupDraw!M81)</f>
        <v/>
      </c>
      <c r="I82" s="77" t="str">
        <f>IF(CupDraw!N81="","",CupDraw!N81)</f>
        <v/>
      </c>
      <c r="J82" s="81" t="str">
        <f>IF(CupDraw!O81="","",CupDraw!O81)</f>
        <v/>
      </c>
      <c r="K82" s="92" t="str">
        <f>IF(CupDraw!P81="","",CupDraw!P81)</f>
        <v/>
      </c>
      <c r="L82" s="90"/>
      <c r="M82" s="86"/>
      <c r="N82" s="86"/>
      <c r="O82" s="86"/>
      <c r="P82" s="86"/>
      <c r="Q82" s="86"/>
      <c r="R82" s="90"/>
      <c r="S82" s="86"/>
      <c r="T82" s="69">
        <f>CupDraw!Y81</f>
        <v>1</v>
      </c>
      <c r="U82" s="79" t="str">
        <f>CupDraw!Z81</f>
        <v>Ashley Houghton</v>
      </c>
      <c r="V82" s="107">
        <f>IF(CupDraw!AA81="","",CupDraw!AA81)</f>
        <v>8.5454545454545467</v>
      </c>
      <c r="W82" s="82" t="str">
        <f>CupDraw!AB81</f>
        <v/>
      </c>
      <c r="X82" s="89"/>
      <c r="Y82" s="86"/>
      <c r="Z82" s="86"/>
      <c r="AA82" s="86"/>
      <c r="AB82" s="86"/>
      <c r="AC82" s="86"/>
    </row>
    <row r="83" spans="2:30" x14ac:dyDescent="0.25">
      <c r="B83" s="94"/>
      <c r="C83" s="77" t="str">
        <f>IF(CupDraw!H84="","",CupDraw!H84)</f>
        <v/>
      </c>
      <c r="D83" s="81" t="str">
        <f>IF(CupDraw!I84="","",CupDraw!I84)</f>
        <v/>
      </c>
      <c r="E83" s="714" t="str">
        <f>IF(CupDraw!J84="","",CupDraw!J84)</f>
        <v/>
      </c>
      <c r="F83" s="86"/>
      <c r="G83" s="86"/>
      <c r="H83" s="710">
        <f>CupDraw!M82</f>
        <v>0</v>
      </c>
      <c r="I83" s="77" t="str">
        <f>IF(CupDraw!N82="","",CupDraw!N82)</f>
        <v/>
      </c>
      <c r="J83" s="81" t="str">
        <f>IF(CupDraw!O82="","",CupDraw!O82)</f>
        <v/>
      </c>
      <c r="K83" s="70" t="str">
        <f>IF(CupDraw!P82="","",CupDraw!P82)</f>
        <v/>
      </c>
      <c r="L83" s="91"/>
      <c r="M83" s="86"/>
      <c r="N83" s="86"/>
      <c r="O83" s="86"/>
      <c r="P83" s="86"/>
      <c r="Q83" s="86"/>
      <c r="R83" s="91"/>
      <c r="S83" s="86"/>
      <c r="T83" s="76"/>
      <c r="U83" s="79" t="str">
        <f>CupDraw!Z82</f>
        <v>David Dunn</v>
      </c>
      <c r="V83" s="107">
        <f>IF(CupDraw!AA82="","",CupDraw!AA82)</f>
        <v>-1.3818181818181809</v>
      </c>
      <c r="W83" s="70"/>
      <c r="X83" s="89"/>
      <c r="Y83" s="86"/>
      <c r="Z83" s="86"/>
      <c r="AA83" s="86"/>
      <c r="AB83" s="86"/>
      <c r="AC83" s="86"/>
    </row>
    <row r="84" spans="2:30" x14ac:dyDescent="0.25">
      <c r="B84" s="145"/>
      <c r="C84" s="77" t="str">
        <f>IF(CupDraw!H85="","",CupDraw!H85)</f>
        <v/>
      </c>
      <c r="D84" s="81" t="str">
        <f>IF(CupDraw!I85="","",CupDraw!I85)</f>
        <v/>
      </c>
      <c r="E84" s="713" t="str">
        <f>IF(CupDraw!J85="","",CupDraw!J85)</f>
        <v/>
      </c>
      <c r="F84" s="86"/>
      <c r="G84" s="86"/>
      <c r="H84" s="709" t="str">
        <f>IF(CupDraw!M83="","",CupDraw!M83)</f>
        <v/>
      </c>
      <c r="I84" s="77" t="str">
        <f>IF(CupDraw!N83="","",CupDraw!N83)</f>
        <v/>
      </c>
      <c r="J84" s="81" t="str">
        <f>IF(CupDraw!O83="","",CupDraw!O83)</f>
        <v/>
      </c>
      <c r="K84" s="92" t="str">
        <f>IF(CupDraw!P83="","",CupDraw!P83)</f>
        <v/>
      </c>
      <c r="L84" s="91"/>
      <c r="M84" s="86"/>
      <c r="N84" s="86"/>
      <c r="O84" s="86"/>
      <c r="P84" s="86"/>
      <c r="Q84" s="86"/>
      <c r="R84" s="91"/>
      <c r="S84" s="86"/>
      <c r="T84" s="86"/>
      <c r="U84" s="86"/>
      <c r="V84" s="86"/>
      <c r="W84" s="86"/>
      <c r="X84" s="1"/>
      <c r="Y84" s="86"/>
      <c r="Z84" s="86"/>
      <c r="AA84" s="86"/>
      <c r="AB84" s="86"/>
      <c r="AC84" s="86"/>
    </row>
    <row r="85" spans="2:30" x14ac:dyDescent="0.25">
      <c r="B85" s="146"/>
      <c r="C85" s="77" t="str">
        <f>IF(CupDraw!H86="","",CupDraw!H86)</f>
        <v/>
      </c>
      <c r="D85" s="81" t="str">
        <f>IF(CupDraw!I86="","",CupDraw!I86)</f>
        <v/>
      </c>
      <c r="E85" s="714" t="str">
        <f>IF(CupDraw!J86="","",CupDraw!J86)</f>
        <v/>
      </c>
      <c r="F85" s="86"/>
      <c r="G85" s="86"/>
      <c r="H85" s="710">
        <f>CupDraw!M84</f>
        <v>0</v>
      </c>
      <c r="I85" s="77" t="str">
        <f>IF(CupDraw!N84="","",CupDraw!N84)</f>
        <v/>
      </c>
      <c r="J85" s="81" t="str">
        <f>IF(CupDraw!O84="","",CupDraw!O84)</f>
        <v/>
      </c>
      <c r="K85" s="70" t="str">
        <f>IF(CupDraw!P84="","",CupDraw!P84)</f>
        <v/>
      </c>
      <c r="L85" s="91"/>
      <c r="M85" s="86"/>
      <c r="N85" s="86"/>
      <c r="O85" s="86"/>
      <c r="P85" s="86"/>
      <c r="Q85" s="86"/>
      <c r="R85" s="91"/>
      <c r="S85" s="86"/>
      <c r="T85" s="68"/>
      <c r="U85" s="66"/>
      <c r="V85" s="66"/>
      <c r="W85" s="66"/>
      <c r="X85" s="90"/>
      <c r="Y85" s="86"/>
      <c r="Z85" s="86"/>
      <c r="AA85" s="86"/>
      <c r="AB85" s="86"/>
      <c r="AC85" s="86"/>
    </row>
    <row r="86" spans="2:30" x14ac:dyDescent="0.25">
      <c r="B86" s="93"/>
      <c r="C86" s="77" t="str">
        <f>IF(CupDraw!H87="","",CupDraw!H87)</f>
        <v/>
      </c>
      <c r="D86" s="81" t="str">
        <f>IF(CupDraw!I87="","",CupDraw!I87)</f>
        <v/>
      </c>
      <c r="E86" s="713" t="str">
        <f>IF(CupDraw!J87="","",CupDraw!J87)</f>
        <v/>
      </c>
      <c r="F86" s="86"/>
      <c r="G86" s="86"/>
      <c r="H86" s="709" t="str">
        <f>IF(CupDraw!M85="","",CupDraw!M85)</f>
        <v/>
      </c>
      <c r="I86" s="77" t="str">
        <f>IF(CupDraw!N85="","",CupDraw!N85)</f>
        <v/>
      </c>
      <c r="J86" s="81" t="str">
        <f>IF(CupDraw!O85="","",CupDraw!O85)</f>
        <v/>
      </c>
      <c r="K86" s="92" t="str">
        <f>IF(CupDraw!P85="","",CupDraw!P85)</f>
        <v/>
      </c>
      <c r="L86" s="91"/>
      <c r="M86" s="86"/>
      <c r="N86" s="86"/>
      <c r="O86" s="86"/>
      <c r="P86" s="86"/>
      <c r="Q86" s="86"/>
      <c r="R86" s="91"/>
      <c r="S86" s="86"/>
      <c r="T86" s="68" t="str">
        <f>CupDraw!Y85</f>
        <v>Earlier ties</v>
      </c>
      <c r="U86" s="66"/>
      <c r="V86" s="66"/>
      <c r="W86" s="66"/>
      <c r="X86" s="90"/>
      <c r="Y86" s="86"/>
      <c r="Z86" s="86"/>
      <c r="AA86" s="86"/>
      <c r="AB86" s="86"/>
      <c r="AC86" s="86"/>
    </row>
    <row r="87" spans="2:30" x14ac:dyDescent="0.25">
      <c r="B87" s="94"/>
      <c r="C87" s="77" t="str">
        <f>IF(CupDraw!H88="","",CupDraw!H88)</f>
        <v/>
      </c>
      <c r="D87" s="81" t="str">
        <f>IF(CupDraw!I88="","",CupDraw!I88)</f>
        <v/>
      </c>
      <c r="E87" s="714" t="str">
        <f>IF(CupDraw!J88="","",CupDraw!J88)</f>
        <v/>
      </c>
      <c r="F87" s="86"/>
      <c r="G87" s="86"/>
      <c r="H87" s="710">
        <f>CupDraw!M86</f>
        <v>0</v>
      </c>
      <c r="I87" s="77" t="str">
        <f>IF(CupDraw!N86="","",CupDraw!N86)</f>
        <v/>
      </c>
      <c r="J87" s="81" t="str">
        <f>IF(CupDraw!O86="","",CupDraw!O86)</f>
        <v/>
      </c>
      <c r="K87" s="70" t="str">
        <f>IF(CupDraw!P86="","",CupDraw!P86)</f>
        <v/>
      </c>
      <c r="L87" s="91"/>
      <c r="M87" s="86"/>
      <c r="N87" s="86"/>
      <c r="O87" s="86"/>
      <c r="P87" s="86"/>
      <c r="Q87" s="86"/>
      <c r="R87" s="91"/>
      <c r="S87" s="86"/>
      <c r="T87" s="711"/>
      <c r="U87" s="77" t="str">
        <f>IF(CupDraw!Z86="","",CupDraw!Z86)</f>
        <v/>
      </c>
      <c r="V87" s="78" t="str">
        <f>IF(CupDraw!AA86="","",CupDraw!AA86)</f>
        <v/>
      </c>
      <c r="W87" s="92" t="str">
        <f>IF(CupDraw!AB86="","",CupDraw!AB86)</f>
        <v/>
      </c>
      <c r="X87" s="90"/>
      <c r="Y87" s="86"/>
      <c r="Z87" s="86"/>
      <c r="AA87" s="86"/>
      <c r="AB87" s="86"/>
      <c r="AC87" s="86"/>
    </row>
    <row r="88" spans="2:30" x14ac:dyDescent="0.25">
      <c r="B88" s="709"/>
      <c r="C88" s="77" t="str">
        <f>IF(CupDraw!H89="","",CupDraw!H89)</f>
        <v/>
      </c>
      <c r="D88" s="81" t="str">
        <f>IF(CupDraw!I89="","",CupDraw!I89)</f>
        <v/>
      </c>
      <c r="E88" s="713" t="str">
        <f>IF(CupDraw!J89="","",CupDraw!J89)</f>
        <v/>
      </c>
      <c r="F88" s="86"/>
      <c r="G88" s="86"/>
      <c r="H88" s="709" t="str">
        <f>IF(CupDraw!M87="","",CupDraw!M87)</f>
        <v/>
      </c>
      <c r="I88" s="77" t="str">
        <f>IF(CupDraw!N87="","",CupDraw!N87)</f>
        <v/>
      </c>
      <c r="J88" s="81" t="str">
        <f>IF(CupDraw!O87="","",CupDraw!O87)</f>
        <v/>
      </c>
      <c r="K88" s="92" t="str">
        <f>IF(CupDraw!P87="","",CupDraw!P87)</f>
        <v/>
      </c>
      <c r="L88" s="91"/>
      <c r="M88" s="86"/>
      <c r="N88" s="86"/>
      <c r="O88" s="86"/>
      <c r="P88" s="86"/>
      <c r="Q88" s="86"/>
      <c r="R88" s="91"/>
      <c r="S88" s="86"/>
      <c r="T88" s="712"/>
      <c r="U88" s="77" t="str">
        <f>IF(CupDraw!Z87="","",CupDraw!Z87)</f>
        <v/>
      </c>
      <c r="V88" s="78" t="str">
        <f>IF(CupDraw!AA87="","",CupDraw!AA87)</f>
        <v/>
      </c>
      <c r="W88" s="70" t="str">
        <f>IF(CupDraw!AB87="","",CupDraw!AB87)</f>
        <v/>
      </c>
      <c r="X88" s="90"/>
      <c r="Y88" s="86"/>
      <c r="Z88" s="86"/>
      <c r="AA88" s="86"/>
      <c r="AB88" s="86"/>
      <c r="AC88" s="86"/>
    </row>
    <row r="89" spans="2:30" x14ac:dyDescent="0.25">
      <c r="B89" s="710"/>
      <c r="C89" s="77" t="str">
        <f>IF(CupDraw!H90="","",CupDraw!H90)</f>
        <v/>
      </c>
      <c r="D89" s="81" t="str">
        <f>IF(CupDraw!I90="","",CupDraw!I90)</f>
        <v/>
      </c>
      <c r="E89" s="714" t="str">
        <f>IF(CupDraw!J90="","",CupDraw!J90)</f>
        <v/>
      </c>
      <c r="F89" s="86"/>
      <c r="G89" s="86"/>
      <c r="H89" s="710">
        <f>CupDraw!M88</f>
        <v>0</v>
      </c>
      <c r="I89" s="77" t="str">
        <f>IF(CupDraw!N88="","",CupDraw!N88)</f>
        <v/>
      </c>
      <c r="J89" s="81" t="str">
        <f>IF(CupDraw!O88="","",CupDraw!O88)</f>
        <v/>
      </c>
      <c r="K89" s="70" t="str">
        <f>IF(CupDraw!P88="","",CupDraw!P88)</f>
        <v/>
      </c>
      <c r="L89" s="91"/>
      <c r="M89" s="86"/>
      <c r="N89" s="86"/>
      <c r="O89" s="86"/>
      <c r="P89" s="86"/>
      <c r="Q89" s="86"/>
      <c r="R89" s="91"/>
      <c r="S89" s="86"/>
      <c r="T89" s="709"/>
      <c r="U89" s="77" t="str">
        <f>IF(CupDraw!Z88="","",CupDraw!Z88)</f>
        <v/>
      </c>
      <c r="V89" s="78" t="str">
        <f>IF(CupDraw!AA88="","",CupDraw!AA88)</f>
        <v/>
      </c>
      <c r="W89" s="92" t="str">
        <f>IF(CupDraw!AB88="","",CupDraw!AB88)</f>
        <v/>
      </c>
      <c r="X89" s="90"/>
      <c r="Y89" s="86"/>
      <c r="Z89" s="86"/>
      <c r="AA89" s="86"/>
      <c r="AB89" s="86"/>
      <c r="AC89" s="86"/>
    </row>
    <row r="90" spans="2:30" x14ac:dyDescent="0.25">
      <c r="B90" s="93"/>
      <c r="C90" s="77" t="str">
        <f>IF(CupDraw!H91="","",CupDraw!H91)</f>
        <v/>
      </c>
      <c r="D90" s="81" t="str">
        <f>IF(CupDraw!I91="","",CupDraw!I91)</f>
        <v/>
      </c>
      <c r="E90" s="713" t="str">
        <f>IF(CupDraw!J91="","",CupDraw!J91)</f>
        <v/>
      </c>
      <c r="F90" s="86"/>
      <c r="G90" s="86"/>
      <c r="H90" s="709" t="str">
        <f>IF(CupDraw!M89="","",CupDraw!M89)</f>
        <v/>
      </c>
      <c r="I90" s="77" t="str">
        <f>IF(CupDraw!N89="","",CupDraw!N89)</f>
        <v/>
      </c>
      <c r="J90" s="81" t="str">
        <f>IF(CupDraw!O89="","",CupDraw!O89)</f>
        <v/>
      </c>
      <c r="K90" s="92" t="str">
        <f>IF(CupDraw!P89="","",CupDraw!P89)</f>
        <v/>
      </c>
      <c r="L90" s="91"/>
      <c r="M90" s="86"/>
      <c r="N90" s="86"/>
      <c r="O90" s="86"/>
      <c r="P90" s="86"/>
      <c r="Q90" s="86"/>
      <c r="R90" s="91"/>
      <c r="S90" s="86"/>
      <c r="T90" s="710"/>
      <c r="U90" s="77" t="str">
        <f>IF(CupDraw!Z89="","",CupDraw!Z89)</f>
        <v/>
      </c>
      <c r="V90" s="78" t="str">
        <f>IF(CupDraw!AA89="","",CupDraw!AA89)</f>
        <v/>
      </c>
      <c r="W90" s="70" t="str">
        <f>IF(CupDraw!AB89="","",CupDraw!AB89)</f>
        <v/>
      </c>
      <c r="X90" s="90"/>
      <c r="Y90" s="86"/>
      <c r="Z90" s="86"/>
      <c r="AA90" s="86"/>
      <c r="AB90" s="86"/>
      <c r="AC90" s="86"/>
    </row>
    <row r="91" spans="2:30" x14ac:dyDescent="0.25">
      <c r="B91" s="94"/>
      <c r="C91" s="77" t="str">
        <f>IF(CupDraw!H92="","",CupDraw!H92)</f>
        <v/>
      </c>
      <c r="D91" s="81" t="str">
        <f>IF(CupDraw!I92="","",CupDraw!I92)</f>
        <v/>
      </c>
      <c r="E91" s="714" t="str">
        <f>IF(CupDraw!J92="","",CupDraw!J92)</f>
        <v/>
      </c>
      <c r="F91" s="86"/>
      <c r="G91" s="86"/>
      <c r="H91" s="710">
        <f>CupDraw!M90</f>
        <v>0</v>
      </c>
      <c r="I91" s="77" t="str">
        <f>IF(CupDraw!N90="","",CupDraw!N90)</f>
        <v/>
      </c>
      <c r="J91" s="81" t="str">
        <f>IF(CupDraw!O90="","",CupDraw!O90)</f>
        <v/>
      </c>
      <c r="K91" s="70" t="str">
        <f>IF(CupDraw!P90="","",CupDraw!P90)</f>
        <v/>
      </c>
      <c r="L91" s="91"/>
      <c r="M91" s="86"/>
      <c r="N91" s="86"/>
      <c r="O91" s="86"/>
      <c r="P91" s="86"/>
      <c r="Q91" s="86"/>
      <c r="R91" s="91"/>
      <c r="S91" s="86"/>
      <c r="T91" s="86"/>
      <c r="U91" s="86"/>
      <c r="V91" s="86"/>
      <c r="W91" s="86"/>
      <c r="X91" s="91"/>
      <c r="Y91" s="86"/>
      <c r="Z91" s="86"/>
      <c r="AA91" s="86"/>
      <c r="AB91" s="86"/>
      <c r="AC91" s="86"/>
    </row>
    <row r="92" spans="2:30" x14ac:dyDescent="0.25">
      <c r="B92" s="709"/>
      <c r="C92" s="77" t="str">
        <f>IF(CupDraw!H93="","",CupDraw!H93)</f>
        <v/>
      </c>
      <c r="D92" s="81" t="str">
        <f>IF(CupDraw!I93="","",CupDraw!I93)</f>
        <v/>
      </c>
      <c r="E92" s="713" t="str">
        <f>IF(CupDraw!J93="","",CupDraw!J93)</f>
        <v/>
      </c>
      <c r="F92" s="86"/>
      <c r="G92" s="86"/>
      <c r="H92" s="709" t="str">
        <f>IF(CupDraw!M91="","",CupDraw!M91)</f>
        <v/>
      </c>
      <c r="I92" s="77" t="str">
        <f>IF(CupDraw!N91="","",CupDraw!N91)</f>
        <v/>
      </c>
      <c r="J92" s="81" t="str">
        <f>IF(CupDraw!O91="","",CupDraw!O91)</f>
        <v/>
      </c>
      <c r="K92" s="92" t="str">
        <f>IF(CupDraw!P91="","",CupDraw!P91)</f>
        <v/>
      </c>
      <c r="L92" s="91"/>
      <c r="M92" s="86"/>
      <c r="N92" s="86"/>
      <c r="O92" s="86"/>
      <c r="P92" s="86"/>
      <c r="Q92" s="86"/>
      <c r="R92" s="91"/>
      <c r="S92" s="86"/>
      <c r="T92" s="86"/>
      <c r="U92" s="86"/>
      <c r="V92" s="86"/>
      <c r="W92" s="86"/>
      <c r="X92" s="91"/>
      <c r="Y92" s="86"/>
      <c r="Z92" s="86"/>
      <c r="AA92" s="86"/>
      <c r="AB92" s="86"/>
      <c r="AC92" s="86"/>
    </row>
    <row r="93" spans="2:30" x14ac:dyDescent="0.25">
      <c r="B93" s="710"/>
      <c r="C93" s="77" t="str">
        <f>IF(CupDraw!H94="","",CupDraw!H94)</f>
        <v/>
      </c>
      <c r="D93" s="81" t="str">
        <f>IF(CupDraw!I94="","",CupDraw!I94)</f>
        <v/>
      </c>
      <c r="E93" s="714" t="str">
        <f>IF(CupDraw!J94="","",CupDraw!J94)</f>
        <v/>
      </c>
      <c r="F93" s="86"/>
      <c r="G93" s="86"/>
      <c r="H93" s="710">
        <f>CupDraw!M92</f>
        <v>0</v>
      </c>
      <c r="I93" s="77" t="str">
        <f>IF(CupDraw!N92="","",CupDraw!N92)</f>
        <v/>
      </c>
      <c r="J93" s="81" t="str">
        <f>IF(CupDraw!O92="","",CupDraw!O92)</f>
        <v/>
      </c>
      <c r="K93" s="70" t="str">
        <f>IF(CupDraw!P92="","",CupDraw!P92)</f>
        <v/>
      </c>
      <c r="L93" s="91"/>
      <c r="M93" s="86"/>
      <c r="N93" s="86"/>
      <c r="O93" s="86"/>
      <c r="P93" s="86"/>
      <c r="Q93" s="86"/>
      <c r="R93" s="91"/>
      <c r="S93" s="86"/>
      <c r="T93" s="86"/>
      <c r="U93" s="86"/>
      <c r="V93" s="86"/>
      <c r="W93" s="86"/>
      <c r="X93" s="91"/>
      <c r="Y93" s="86"/>
      <c r="Z93" s="86"/>
      <c r="AA93" s="86"/>
      <c r="AB93" s="86"/>
      <c r="AC93" s="86"/>
    </row>
    <row r="94" spans="2:30" x14ac:dyDescent="0.25">
      <c r="B94" s="147"/>
      <c r="C94" s="309" t="str">
        <f>IF(CupDraw!H95="","",CupDraw!H95)</f>
        <v/>
      </c>
      <c r="D94" s="66"/>
      <c r="E94" s="66"/>
      <c r="F94" s="86"/>
      <c r="G94" s="86"/>
      <c r="H94" s="87"/>
      <c r="I94" s="86"/>
      <c r="J94" s="86"/>
      <c r="K94" s="86"/>
      <c r="L94" s="91"/>
      <c r="M94" s="86"/>
      <c r="N94" s="86"/>
      <c r="O94" s="86"/>
      <c r="P94" s="86"/>
      <c r="Q94" s="86"/>
      <c r="R94" s="91"/>
      <c r="S94" s="86"/>
      <c r="T94" s="86"/>
      <c r="U94" s="86"/>
      <c r="V94" s="86"/>
      <c r="W94" s="86"/>
      <c r="X94" s="91"/>
      <c r="Y94" s="86"/>
      <c r="Z94" s="86"/>
      <c r="AA94" s="86"/>
      <c r="AB94" s="86"/>
      <c r="AC94" s="86"/>
    </row>
    <row r="95" spans="2:30" x14ac:dyDescent="0.25">
      <c r="B95" s="104"/>
      <c r="C95" s="66"/>
      <c r="D95" s="66"/>
      <c r="E95" s="66"/>
      <c r="F95" s="86"/>
      <c r="G95" s="86"/>
      <c r="H95" s="87"/>
      <c r="I95" s="86"/>
      <c r="J95" s="86"/>
      <c r="K95" s="86"/>
      <c r="L95" s="91"/>
      <c r="M95" s="86"/>
      <c r="N95" s="86"/>
      <c r="O95" s="86"/>
      <c r="P95" s="86"/>
      <c r="Q95" s="86"/>
      <c r="R95" s="91"/>
      <c r="S95" s="86"/>
      <c r="T95" s="86"/>
      <c r="U95" s="86"/>
      <c r="V95" s="86"/>
      <c r="W95" s="86"/>
      <c r="X95" s="91"/>
      <c r="Y95" s="86"/>
      <c r="Z95" s="86"/>
      <c r="AA95" s="86"/>
      <c r="AB95" s="86"/>
      <c r="AC95" s="86"/>
    </row>
    <row r="96" spans="2:30" x14ac:dyDescent="0.25">
      <c r="B96" s="68"/>
      <c r="C96" s="66"/>
      <c r="D96" s="66"/>
      <c r="E96" s="66"/>
      <c r="F96" s="86"/>
      <c r="G96" s="86"/>
      <c r="H96" s="87"/>
      <c r="I96" s="86"/>
      <c r="J96" s="86"/>
      <c r="K96" s="86"/>
      <c r="L96" s="91"/>
      <c r="M96" s="86"/>
      <c r="N96" s="86"/>
      <c r="O96" s="86"/>
      <c r="P96" s="86"/>
      <c r="Q96" s="86"/>
      <c r="R96" s="91"/>
      <c r="S96" s="86"/>
      <c r="T96" s="86"/>
      <c r="U96" s="86"/>
      <c r="V96" s="86"/>
      <c r="W96" s="86"/>
      <c r="X96" s="91"/>
      <c r="Y96" s="86"/>
      <c r="Z96" s="86"/>
      <c r="AA96" s="86"/>
      <c r="AB96" s="86"/>
      <c r="AC96" s="86"/>
      <c r="AD96" s="86"/>
    </row>
    <row r="97" spans="2:30" x14ac:dyDescent="0.25">
      <c r="B97" s="68"/>
      <c r="C97" s="66"/>
      <c r="D97" s="66"/>
      <c r="E97" s="6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row>
    <row r="98" spans="2:30" x14ac:dyDescent="0.25">
      <c r="B98" s="68"/>
      <c r="C98" s="66"/>
      <c r="D98" s="66"/>
      <c r="E98" s="6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row>
    <row r="99" spans="2:30" x14ac:dyDescent="0.25">
      <c r="B99" s="68"/>
      <c r="C99" s="66"/>
      <c r="D99" s="66"/>
      <c r="E99" s="6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row>
    <row r="100" spans="2:30" x14ac:dyDescent="0.25">
      <c r="B100" s="68"/>
      <c r="C100" s="66"/>
      <c r="D100" s="66"/>
      <c r="E100" s="6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row>
    <row r="101" spans="2:30" x14ac:dyDescent="0.25">
      <c r="B101" s="68"/>
      <c r="C101" s="66"/>
      <c r="D101" s="66"/>
      <c r="E101" s="6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row>
    <row r="102" spans="2:30" x14ac:dyDescent="0.25">
      <c r="B102" s="68"/>
      <c r="C102" s="66"/>
      <c r="D102" s="66"/>
      <c r="E102" s="6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row>
    <row r="103" spans="2:30" x14ac:dyDescent="0.25">
      <c r="B103" s="68"/>
      <c r="C103" s="66"/>
      <c r="D103" s="66"/>
      <c r="E103" s="6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row>
    <row r="104" spans="2:30" x14ac:dyDescent="0.25">
      <c r="B104" s="68"/>
      <c r="C104" s="66"/>
      <c r="D104" s="66"/>
      <c r="E104" s="6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row>
    <row r="105" spans="2:30" x14ac:dyDescent="0.25">
      <c r="B105" s="68"/>
      <c r="C105" s="66"/>
      <c r="D105" s="66"/>
      <c r="E105" s="6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row>
    <row r="106" spans="2:30" x14ac:dyDescent="0.25">
      <c r="B106" s="68"/>
      <c r="C106" s="66"/>
      <c r="D106" s="66"/>
      <c r="E106" s="6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row>
    <row r="107" spans="2:30" x14ac:dyDescent="0.25">
      <c r="B107" s="68"/>
      <c r="C107" s="66"/>
      <c r="D107" s="66"/>
      <c r="E107" s="6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row>
    <row r="108" spans="2:30" x14ac:dyDescent="0.25">
      <c r="B108" s="68"/>
      <c r="C108" s="66"/>
      <c r="D108" s="66"/>
      <c r="E108" s="6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row>
    <row r="109" spans="2:30" x14ac:dyDescent="0.25">
      <c r="B109" s="68"/>
      <c r="C109" s="66"/>
      <c r="D109" s="66"/>
      <c r="E109" s="6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row>
    <row r="110" spans="2:30" x14ac:dyDescent="0.25">
      <c r="B110" s="68"/>
      <c r="C110" s="66"/>
      <c r="D110" s="66"/>
      <c r="E110" s="6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row>
    <row r="111" spans="2:30" x14ac:dyDescent="0.25">
      <c r="B111" s="68"/>
      <c r="C111" s="66"/>
      <c r="D111" s="66"/>
      <c r="E111" s="66"/>
    </row>
    <row r="112" spans="2:30" x14ac:dyDescent="0.25">
      <c r="B112" s="68"/>
      <c r="C112" s="66"/>
      <c r="D112" s="66"/>
      <c r="E112" s="66"/>
    </row>
    <row r="113" spans="2:5" x14ac:dyDescent="0.25">
      <c r="B113" s="68"/>
      <c r="C113" s="66"/>
      <c r="D113" s="66"/>
      <c r="E113" s="66"/>
    </row>
    <row r="114" spans="2:5" x14ac:dyDescent="0.25">
      <c r="B114" s="68"/>
      <c r="C114" s="66"/>
      <c r="D114" s="66"/>
      <c r="E114" s="66"/>
    </row>
    <row r="115" spans="2:5" x14ac:dyDescent="0.25">
      <c r="B115" s="68"/>
      <c r="C115" s="66"/>
      <c r="D115" s="66"/>
      <c r="E115" s="66"/>
    </row>
    <row r="116" spans="2:5" x14ac:dyDescent="0.25">
      <c r="B116" s="68"/>
      <c r="C116" s="66"/>
      <c r="D116" s="66"/>
      <c r="E116" s="66"/>
    </row>
    <row r="117" spans="2:5" x14ac:dyDescent="0.25">
      <c r="B117" s="68"/>
      <c r="C117" s="66"/>
      <c r="D117" s="66"/>
      <c r="E117" s="66"/>
    </row>
    <row r="118" spans="2:5" x14ac:dyDescent="0.25">
      <c r="B118" s="68"/>
      <c r="C118" s="66"/>
      <c r="D118" s="66"/>
      <c r="E118" s="66"/>
    </row>
    <row r="119" spans="2:5" x14ac:dyDescent="0.25">
      <c r="B119" s="68"/>
      <c r="C119" s="66"/>
      <c r="D119" s="66"/>
      <c r="E119" s="66"/>
    </row>
    <row r="120" spans="2:5" x14ac:dyDescent="0.25">
      <c r="B120" s="68"/>
      <c r="C120" s="66"/>
      <c r="D120" s="66"/>
      <c r="E120" s="66"/>
    </row>
    <row r="121" spans="2:5" x14ac:dyDescent="0.25">
      <c r="B121" s="68"/>
      <c r="C121" s="66"/>
      <c r="D121" s="66"/>
      <c r="E121" s="66"/>
    </row>
    <row r="122" spans="2:5" x14ac:dyDescent="0.25">
      <c r="B122" s="68"/>
      <c r="C122" s="66"/>
      <c r="D122" s="66"/>
      <c r="E122" s="66"/>
    </row>
    <row r="123" spans="2:5" x14ac:dyDescent="0.25">
      <c r="B123" s="68"/>
      <c r="C123" s="66"/>
      <c r="D123" s="66"/>
      <c r="E123" s="66"/>
    </row>
    <row r="124" spans="2:5" x14ac:dyDescent="0.25">
      <c r="B124" s="68"/>
      <c r="C124" s="66"/>
      <c r="D124" s="66"/>
      <c r="E124" s="66"/>
    </row>
    <row r="125" spans="2:5" x14ac:dyDescent="0.25">
      <c r="B125" s="68"/>
      <c r="C125" s="66"/>
      <c r="D125" s="66"/>
      <c r="E125" s="66"/>
    </row>
    <row r="126" spans="2:5" x14ac:dyDescent="0.25">
      <c r="B126" s="68"/>
      <c r="C126" s="66"/>
      <c r="D126" s="66"/>
      <c r="E126" s="66"/>
    </row>
    <row r="127" spans="2:5" x14ac:dyDescent="0.25">
      <c r="B127" s="68"/>
      <c r="C127" s="66"/>
      <c r="D127" s="66"/>
      <c r="E127" s="66"/>
    </row>
    <row r="128" spans="2:5" x14ac:dyDescent="0.25">
      <c r="B128" s="68"/>
      <c r="C128" s="66"/>
      <c r="D128" s="66"/>
      <c r="E128" s="66"/>
    </row>
    <row r="129" spans="2:5" x14ac:dyDescent="0.25">
      <c r="B129" s="68"/>
      <c r="C129" s="66"/>
      <c r="D129" s="66"/>
      <c r="E129" s="66"/>
    </row>
    <row r="130" spans="2:5" x14ac:dyDescent="0.25">
      <c r="B130" s="68"/>
      <c r="C130" s="66"/>
      <c r="D130" s="66"/>
      <c r="E130" s="66"/>
    </row>
    <row r="131" spans="2:5" x14ac:dyDescent="0.25">
      <c r="B131" s="68"/>
      <c r="C131" s="66"/>
      <c r="D131" s="66"/>
      <c r="E131" s="66"/>
    </row>
    <row r="132" spans="2:5" x14ac:dyDescent="0.25">
      <c r="B132" s="68"/>
      <c r="C132" s="86"/>
      <c r="D132" s="86"/>
      <c r="E132" s="86"/>
    </row>
    <row r="133" spans="2:5" x14ac:dyDescent="0.25">
      <c r="B133" s="68"/>
      <c r="C133" s="86"/>
      <c r="D133" s="86"/>
      <c r="E133" s="86"/>
    </row>
    <row r="134" spans="2:5" x14ac:dyDescent="0.25">
      <c r="B134" s="87"/>
      <c r="C134" s="86"/>
      <c r="D134" s="86"/>
      <c r="E134" s="86"/>
    </row>
    <row r="135" spans="2:5" x14ac:dyDescent="0.25">
      <c r="B135" s="87"/>
      <c r="C135" s="86"/>
      <c r="D135" s="86"/>
      <c r="E135" s="86"/>
    </row>
    <row r="136" spans="2:5" x14ac:dyDescent="0.25">
      <c r="B136" s="87"/>
      <c r="C136" s="86"/>
      <c r="D136" s="86"/>
      <c r="E136" s="86"/>
    </row>
    <row r="137" spans="2:5" x14ac:dyDescent="0.25">
      <c r="B137" s="87"/>
      <c r="C137" s="86"/>
      <c r="D137" s="86"/>
      <c r="E137" s="86"/>
    </row>
    <row r="138" spans="2:5" x14ac:dyDescent="0.25">
      <c r="B138" s="87"/>
      <c r="C138" s="86"/>
      <c r="D138" s="86"/>
      <c r="E138" s="86"/>
    </row>
    <row r="139" spans="2:5" x14ac:dyDescent="0.25">
      <c r="B139" s="87"/>
      <c r="C139" s="86"/>
      <c r="D139" s="86"/>
      <c r="E139" s="86"/>
    </row>
    <row r="140" spans="2:5" x14ac:dyDescent="0.25">
      <c r="B140" s="87"/>
      <c r="C140" s="86"/>
      <c r="D140" s="86"/>
      <c r="E140" s="86"/>
    </row>
    <row r="141" spans="2:5" x14ac:dyDescent="0.25">
      <c r="B141" s="87"/>
      <c r="C141" s="86"/>
      <c r="D141" s="86"/>
      <c r="E141" s="86"/>
    </row>
    <row r="142" spans="2:5" x14ac:dyDescent="0.25">
      <c r="B142" s="87"/>
      <c r="C142" s="86"/>
      <c r="D142" s="86"/>
      <c r="E142" s="86"/>
    </row>
    <row r="143" spans="2:5" x14ac:dyDescent="0.25">
      <c r="B143" s="87"/>
      <c r="C143" s="86"/>
      <c r="D143" s="86"/>
      <c r="E143" s="86"/>
    </row>
    <row r="144" spans="2:5" x14ac:dyDescent="0.25">
      <c r="B144" s="87"/>
      <c r="C144" s="86"/>
      <c r="D144" s="86"/>
      <c r="E144" s="86"/>
    </row>
    <row r="145" spans="2:5" x14ac:dyDescent="0.25">
      <c r="B145" s="87"/>
      <c r="C145" s="86"/>
      <c r="D145" s="86"/>
      <c r="E145" s="86"/>
    </row>
    <row r="146" spans="2:5" x14ac:dyDescent="0.25">
      <c r="B146" s="87"/>
      <c r="C146" s="86"/>
      <c r="D146" s="86"/>
      <c r="E146" s="86"/>
    </row>
    <row r="147" spans="2:5" x14ac:dyDescent="0.25">
      <c r="B147" s="87"/>
      <c r="C147" s="86"/>
      <c r="D147" s="86"/>
      <c r="E147" s="86"/>
    </row>
    <row r="148" spans="2:5" x14ac:dyDescent="0.25">
      <c r="B148" s="86"/>
      <c r="C148" s="86"/>
      <c r="D148" s="86"/>
      <c r="E148" s="86"/>
    </row>
    <row r="149" spans="2:5" x14ac:dyDescent="0.25">
      <c r="B149" s="86"/>
      <c r="C149" s="86"/>
      <c r="D149" s="86"/>
      <c r="E149" s="86"/>
    </row>
    <row r="150" spans="2:5" x14ac:dyDescent="0.25">
      <c r="B150" s="86"/>
      <c r="C150" s="86"/>
      <c r="D150" s="86"/>
      <c r="E150" s="86"/>
    </row>
    <row r="151" spans="2:5" x14ac:dyDescent="0.25">
      <c r="B151" s="86"/>
      <c r="C151" s="86"/>
      <c r="D151" s="86"/>
      <c r="E151" s="86"/>
    </row>
    <row r="152" spans="2:5" x14ac:dyDescent="0.25">
      <c r="B152" s="86"/>
      <c r="C152" s="86"/>
      <c r="D152" s="86"/>
      <c r="E152" s="86"/>
    </row>
    <row r="153" spans="2:5" x14ac:dyDescent="0.25">
      <c r="B153" s="86"/>
      <c r="C153" s="86"/>
      <c r="D153" s="86"/>
      <c r="E153" s="86"/>
    </row>
    <row r="154" spans="2:5" x14ac:dyDescent="0.25">
      <c r="B154" s="86"/>
      <c r="C154" s="86"/>
      <c r="D154" s="86"/>
      <c r="E154" s="86"/>
    </row>
    <row r="155" spans="2:5" x14ac:dyDescent="0.25">
      <c r="B155" s="86"/>
      <c r="C155" s="86"/>
      <c r="D155" s="86"/>
      <c r="E155" s="86"/>
    </row>
    <row r="156" spans="2:5" x14ac:dyDescent="0.25">
      <c r="B156" s="86"/>
      <c r="C156" s="86"/>
      <c r="D156" s="86"/>
      <c r="E156" s="86"/>
    </row>
    <row r="157" spans="2:5" x14ac:dyDescent="0.25">
      <c r="B157" s="86"/>
      <c r="C157" s="86"/>
      <c r="D157" s="86"/>
      <c r="E157" s="86"/>
    </row>
    <row r="158" spans="2:5" x14ac:dyDescent="0.25">
      <c r="B158" s="86"/>
      <c r="C158" s="86"/>
      <c r="D158" s="86"/>
      <c r="E158" s="86"/>
    </row>
    <row r="159" spans="2:5" x14ac:dyDescent="0.25">
      <c r="B159" s="86"/>
      <c r="C159" s="86"/>
      <c r="D159" s="86"/>
      <c r="E159" s="86"/>
    </row>
    <row r="160" spans="2:5" x14ac:dyDescent="0.25">
      <c r="B160" s="86"/>
    </row>
    <row r="161" spans="2:2" x14ac:dyDescent="0.25">
      <c r="B161" s="86"/>
    </row>
  </sheetData>
  <mergeCells count="26">
    <mergeCell ref="E90:E91"/>
    <mergeCell ref="E92:E93"/>
    <mergeCell ref="E78:E79"/>
    <mergeCell ref="E80:E81"/>
    <mergeCell ref="E82:E83"/>
    <mergeCell ref="E84:E85"/>
    <mergeCell ref="E86:E87"/>
    <mergeCell ref="E88:E89"/>
    <mergeCell ref="H3:H4"/>
    <mergeCell ref="B88:B89"/>
    <mergeCell ref="B92:B93"/>
    <mergeCell ref="H70:H71"/>
    <mergeCell ref="T89:T90"/>
    <mergeCell ref="H90:H91"/>
    <mergeCell ref="T71:T72"/>
    <mergeCell ref="H74:H75"/>
    <mergeCell ref="H78:H79"/>
    <mergeCell ref="H82:H83"/>
    <mergeCell ref="H92:H93"/>
    <mergeCell ref="H86:H87"/>
    <mergeCell ref="T87:T88"/>
    <mergeCell ref="H72:H73"/>
    <mergeCell ref="H76:H77"/>
    <mergeCell ref="H80:H81"/>
    <mergeCell ref="H84:H85"/>
    <mergeCell ref="H88:H89"/>
  </mergeCells>
  <hyperlinks>
    <hyperlink ref="A1" location="Menu!A1" display="Menu!A1"/>
  </hyperlinks>
  <pageMargins left="0.70866141732283472" right="0.70866141732283472" top="0.74803149606299213" bottom="0.74803149606299213" header="0.31496062992125984" footer="0.31496062992125984"/>
  <pageSetup paperSize="9" scale="44"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pageSetUpPr fitToPage="1"/>
  </sheetPr>
  <dimension ref="A1:D58"/>
  <sheetViews>
    <sheetView zoomScaleNormal="100" workbookViewId="0">
      <pane ySplit="1" topLeftCell="A18" activePane="bottomLeft" state="frozen"/>
      <selection pane="bottomLeft" activeCell="C21" sqref="C21"/>
    </sheetView>
  </sheetViews>
  <sheetFormatPr defaultRowHeight="13.2" x14ac:dyDescent="0.25"/>
  <cols>
    <col min="1" max="1" width="12.5546875" customWidth="1"/>
    <col min="2" max="2" width="14.88671875" customWidth="1"/>
    <col min="3" max="3" width="43.44140625" customWidth="1"/>
    <col min="4" max="4" width="38" customWidth="1"/>
  </cols>
  <sheetData>
    <row r="1" spans="1:4" s="165" customFormat="1" ht="24.9" customHeight="1" x14ac:dyDescent="0.25">
      <c r="A1" s="133" t="s">
        <v>32</v>
      </c>
      <c r="B1" s="133" t="s">
        <v>163</v>
      </c>
      <c r="C1" s="296" t="s">
        <v>33</v>
      </c>
      <c r="D1" s="296" t="s">
        <v>175</v>
      </c>
    </row>
    <row r="2" spans="1:4" x14ac:dyDescent="0.25">
      <c r="A2" s="105">
        <f>IF(Match!A2="","",Match!A2)</f>
        <v>43588</v>
      </c>
      <c r="B2" s="104" t="str">
        <f>IF(Match!C2="","",Match!C2)</f>
        <v>Premier</v>
      </c>
      <c r="C2" s="103" t="str">
        <f>IF(Match!S2="","",Match!S2)</f>
        <v>Everton  v  Burnley   6/10  3/1  24/5</v>
      </c>
      <c r="D2" s="103" t="str">
        <f>IF(Match!T2="","",Match!T2)</f>
        <v xml:space="preserve">Everton 2-0 Burnley </v>
      </c>
    </row>
    <row r="3" spans="1:4" x14ac:dyDescent="0.25">
      <c r="A3" s="105">
        <f>IF(Match!A3="","",Match!A3)</f>
        <v>43589</v>
      </c>
      <c r="B3" s="104" t="str">
        <f>IF(Match!C3="","",Match!C3)</f>
        <v>Premier</v>
      </c>
      <c r="C3" s="103" t="str">
        <f>IF(Match!S3="","",Match!S3)</f>
        <v>Bournemouth  v  Spurs   17/5  3/1  3/4</v>
      </c>
      <c r="D3" s="103" t="str">
        <f>IF(Match!T3="","",Match!T3)</f>
        <v xml:space="preserve">Bournemouth 1-0 Spurs </v>
      </c>
    </row>
    <row r="4" spans="1:4" x14ac:dyDescent="0.25">
      <c r="A4" s="105">
        <f>IF(Match!A4="","",Match!A4)</f>
        <v>43589</v>
      </c>
      <c r="B4" s="104" t="str">
        <f>IF(Match!C4="","",Match!C4)</f>
        <v>Premier</v>
      </c>
      <c r="C4" s="103" t="str">
        <f>IF(Match!S4="","",Match!S4)</f>
        <v>Cardiff  v  Palace   9/5  9/4  8/5</v>
      </c>
      <c r="D4" s="103" t="str">
        <f>IF(Match!T4="","",Match!T4)</f>
        <v xml:space="preserve">Cardiff 2-3 Palace </v>
      </c>
    </row>
    <row r="5" spans="1:4" x14ac:dyDescent="0.25">
      <c r="A5" s="105">
        <f>IF(Match!A5="","",Match!A5)</f>
        <v>43589</v>
      </c>
      <c r="B5" s="104" t="str">
        <f>IF(Match!C5="","",Match!C5)</f>
        <v>Premier</v>
      </c>
      <c r="C5" s="103" t="str">
        <f>IF(Match!S5="","",Match!S5)</f>
        <v>Newcastle  v  Liverpool   9/1  4/1  1/3</v>
      </c>
      <c r="D5" s="103" t="str">
        <f>IF(Match!T5="","",Match!T5)</f>
        <v xml:space="preserve">Newcastle 2-3 Liverpool </v>
      </c>
    </row>
    <row r="6" spans="1:4" x14ac:dyDescent="0.25">
      <c r="A6" s="105">
        <f>IF(Match!A6="","",Match!A6)</f>
        <v>43589</v>
      </c>
      <c r="B6" s="104" t="str">
        <f>IF(Match!C6="","",Match!C6)</f>
        <v>Premier</v>
      </c>
      <c r="C6" s="103" t="str">
        <f>IF(Match!S6="","",Match!S6)</f>
        <v>West Ham  v  Southampton   11/8  5/2  15/8</v>
      </c>
      <c r="D6" s="103" t="str">
        <f>IF(Match!T6="","",Match!T6)</f>
        <v xml:space="preserve">West Ham 3-0 Southampton </v>
      </c>
    </row>
    <row r="7" spans="1:4" x14ac:dyDescent="0.25">
      <c r="A7" s="105">
        <f>IF(Match!A7="","",Match!A7)</f>
        <v>43589</v>
      </c>
      <c r="B7" s="104" t="str">
        <f>IF(Match!C7="","",Match!C7)</f>
        <v>Premier</v>
      </c>
      <c r="C7" s="103" t="str">
        <f>IF(Match!S7="","",Match!S7)</f>
        <v>Wolves  v  Fulham   1/2  16/5  11/2</v>
      </c>
      <c r="D7" s="103" t="str">
        <f>IF(Match!T7="","",Match!T7)</f>
        <v xml:space="preserve">Wolves 1-0 Fulham </v>
      </c>
    </row>
    <row r="8" spans="1:4" x14ac:dyDescent="0.25">
      <c r="A8" s="105">
        <f>IF(Match!A8="","",Match!A8)</f>
        <v>43589</v>
      </c>
      <c r="B8" s="104" t="str">
        <f>IF(Match!C8="","",Match!C8)</f>
        <v>League 1</v>
      </c>
      <c r="C8" s="103" t="str">
        <f>IF(Match!S8="","",Match!S8)</f>
        <v>Blackpool  v  Gillingham   5/4  23/10  9/4</v>
      </c>
      <c r="D8" s="103" t="str">
        <f>IF(Match!T8="","",Match!T8)</f>
        <v xml:space="preserve">Blackpool 0-3 Gillingham </v>
      </c>
    </row>
    <row r="9" spans="1:4" x14ac:dyDescent="0.25">
      <c r="A9" s="105">
        <f>IF(Match!A9="","",Match!A9)</f>
        <v>43589</v>
      </c>
      <c r="B9" s="104" t="str">
        <f>IF(Match!C9="","",Match!C9)</f>
        <v>League 1</v>
      </c>
      <c r="C9" s="103" t="str">
        <f>IF(Match!S9="","",Match!S9)</f>
        <v>Bradford  v  Wimbledon   11/4  12/5  1/1</v>
      </c>
      <c r="D9" s="103" t="str">
        <f>IF(Match!T9="","",Match!T9)</f>
        <v xml:space="preserve">Bradford 0-0 Wimbledon </v>
      </c>
    </row>
    <row r="10" spans="1:4" x14ac:dyDescent="0.25">
      <c r="A10" s="105">
        <f>IF(Match!A10="","",Match!A10)</f>
        <v>43589</v>
      </c>
      <c r="B10" s="104" t="str">
        <f>IF(Match!C10="","",Match!C10)</f>
        <v>League 1</v>
      </c>
      <c r="C10" s="103" t="str">
        <f>IF(Match!S10="","",Match!S10)</f>
        <v>Bristol R  v  Barnsley   5/1  29/10  4/7</v>
      </c>
      <c r="D10" s="103" t="str">
        <f>IF(Match!T10="","",Match!T10)</f>
        <v xml:space="preserve">Bristol R 2-1 Barnsley </v>
      </c>
    </row>
    <row r="11" spans="1:4" x14ac:dyDescent="0.25">
      <c r="A11" s="105">
        <f>IF(Match!A11="","",Match!A11)</f>
        <v>43589</v>
      </c>
      <c r="B11" s="104" t="str">
        <f>IF(Match!C11="","",Match!C11)</f>
        <v>League 1</v>
      </c>
      <c r="C11" s="103" t="str">
        <f>IF(Match!S11="","",Match!S11)</f>
        <v>Charlton  v  Rochdale   3/4  27/10  7/2</v>
      </c>
      <c r="D11" s="103" t="str">
        <f>IF(Match!T11="","",Match!T11)</f>
        <v xml:space="preserve">Charlton 4-0 Rochdale </v>
      </c>
    </row>
    <row r="12" spans="1:4" x14ac:dyDescent="0.25">
      <c r="A12" s="105">
        <f>IF(Match!A12="","",Match!A12)</f>
        <v>43589</v>
      </c>
      <c r="B12" s="104" t="str">
        <f>IF(Match!C12="","",Match!C12)</f>
        <v>League 1</v>
      </c>
      <c r="C12" s="103" t="str">
        <f>IF(Match!S12="","",Match!S12)</f>
        <v>Doncaster  v  Coventry   11/10  12/5  12/5</v>
      </c>
      <c r="D12" s="103" t="str">
        <f>IF(Match!T12="","",Match!T12)</f>
        <v xml:space="preserve">Doncaster 2-0 Coventry </v>
      </c>
    </row>
    <row r="13" spans="1:4" x14ac:dyDescent="0.25">
      <c r="A13" s="105">
        <f>IF(Match!A13="","",Match!A13)</f>
        <v>43589</v>
      </c>
      <c r="B13" s="104" t="str">
        <f>IF(Match!C13="","",Match!C13)</f>
        <v>League 1</v>
      </c>
      <c r="C13" s="103" t="str">
        <f>IF(Match!S13="","",Match!S13)</f>
        <v>Luton  v  Oxford   3/10  4/1  17/2</v>
      </c>
      <c r="D13" s="103" t="str">
        <f>IF(Match!T13="","",Match!T13)</f>
        <v xml:space="preserve">Luton 3-1 Oxford </v>
      </c>
    </row>
    <row r="14" spans="1:4" x14ac:dyDescent="0.25">
      <c r="A14" s="105">
        <f>IF(Match!A14="","",Match!A14)</f>
        <v>43589</v>
      </c>
      <c r="B14" s="104" t="str">
        <f>IF(Match!C14="","",Match!C14)</f>
        <v>League 1</v>
      </c>
      <c r="C14" s="103" t="str">
        <f>IF(Match!S14="","",Match!S14)</f>
        <v>Peterborough  v  Burton   23/20  5/2  23/10</v>
      </c>
      <c r="D14" s="103" t="str">
        <f>IF(Match!T14="","",Match!T14)</f>
        <v xml:space="preserve">Peterborough 3-1 Burton </v>
      </c>
    </row>
    <row r="15" spans="1:4" x14ac:dyDescent="0.25">
      <c r="A15" s="105">
        <f>IF(Match!A15="","",Match!A15)</f>
        <v>43589</v>
      </c>
      <c r="B15" s="104" t="str">
        <f>IF(Match!C15="","",Match!C15)</f>
        <v>League 1</v>
      </c>
      <c r="C15" s="103" t="str">
        <f>IF(Match!S15="","",Match!S15)</f>
        <v>Plymouth  v  Scunthorpe   5/4  12/5  21/10</v>
      </c>
      <c r="D15" s="103" t="str">
        <f>IF(Match!T15="","",Match!T15)</f>
        <v xml:space="preserve">Plymouth 3-2 Scunthorpe </v>
      </c>
    </row>
    <row r="16" spans="1:4" x14ac:dyDescent="0.25">
      <c r="A16" s="105">
        <f>IF(Match!A16="","",Match!A16)</f>
        <v>43589</v>
      </c>
      <c r="B16" s="104" t="str">
        <f>IF(Match!C16="","",Match!C16)</f>
        <v>League 1</v>
      </c>
      <c r="C16" s="103" t="str">
        <f>IF(Match!S16="","",Match!S16)</f>
        <v>Portsmouth  v  Accrington   7/20  4/1  15/2</v>
      </c>
      <c r="D16" s="103" t="str">
        <f>IF(Match!T16="","",Match!T16)</f>
        <v xml:space="preserve">Portsmouth 1-1 Accrington </v>
      </c>
    </row>
    <row r="17" spans="1:4" x14ac:dyDescent="0.25">
      <c r="A17" s="105">
        <f>IF(Match!A17="","",Match!A17)</f>
        <v>43589</v>
      </c>
      <c r="B17" s="104" t="str">
        <f>IF(Match!C17="","",Match!C17)</f>
        <v>League 1</v>
      </c>
      <c r="C17" s="103" t="str">
        <f>IF(Match!S17="","",Match!S17)</f>
        <v>Shrewsbury  v  Walsall   19/10  23/10  7/5</v>
      </c>
      <c r="D17" s="103" t="str">
        <f>IF(Match!T17="","",Match!T17)</f>
        <v xml:space="preserve">Shrewsbury 0-0 Walsall </v>
      </c>
    </row>
    <row r="18" spans="1:4" x14ac:dyDescent="0.25">
      <c r="A18" s="105">
        <f>IF(Match!A18="","",Match!A18)</f>
        <v>43589</v>
      </c>
      <c r="B18" s="104" t="str">
        <f>IF(Match!C18="","",Match!C18)</f>
        <v>League 1</v>
      </c>
      <c r="C18" s="103" t="str">
        <f>IF(Match!S18="","",Match!S18)</f>
        <v>Southend  v  Sunderland   11/5  12/5  6/5</v>
      </c>
      <c r="D18" s="103" t="str">
        <f>IF(Match!T18="","",Match!T18)</f>
        <v xml:space="preserve">Southend 2-1 Sunderland </v>
      </c>
    </row>
    <row r="19" spans="1:4" x14ac:dyDescent="0.25">
      <c r="A19" s="105">
        <f>IF(Match!A19="","",Match!A19)</f>
        <v>43589</v>
      </c>
      <c r="B19" s="104" t="str">
        <f>IF(Match!C19="","",Match!C19)</f>
        <v>League 1</v>
      </c>
      <c r="C19" s="103" t="str">
        <f>IF(Match!S19="","",Match!S19)</f>
        <v>Wycombe  v  Fleetwood   21/20  23/10  27/10</v>
      </c>
      <c r="D19" s="103" t="str">
        <f>IF(Match!T19="","",Match!T19)</f>
        <v xml:space="preserve">Wycombe 1-0 Fleetwood </v>
      </c>
    </row>
    <row r="20" spans="1:4" x14ac:dyDescent="0.25">
      <c r="A20" s="105">
        <f>IF(Match!A20="","",Match!A20)</f>
        <v>43589</v>
      </c>
      <c r="B20" s="104" t="str">
        <f>IF(Match!C20="","",Match!C20)</f>
        <v>League 2</v>
      </c>
      <c r="C20" s="103" t="str">
        <f>IF(Match!S20="","",Match!S20)</f>
        <v>Bury  v  Port Vale   1/2  10/3  6/1</v>
      </c>
      <c r="D20" s="103" t="str">
        <f>IF(Match!T20="","",Match!T20)</f>
        <v xml:space="preserve">Bury 1-1 Port Vale </v>
      </c>
    </row>
    <row r="21" spans="1:4" x14ac:dyDescent="0.25">
      <c r="A21" s="105">
        <f>IF(Match!A21="","",Match!A21)</f>
        <v>43589</v>
      </c>
      <c r="B21" s="104" t="str">
        <f>IF(Match!C21="","",Match!C21)</f>
        <v>League 2</v>
      </c>
      <c r="C21" s="103" t="str">
        <f>IF(Match!S21="","",Match!S21)</f>
        <v>Crawley  v  Tranmere   3/1  13/5  1/1</v>
      </c>
      <c r="D21" s="103" t="str">
        <f>IF(Match!T21="","",Match!T21)</f>
        <v xml:space="preserve">Crawley 3-1 Tranmere </v>
      </c>
    </row>
    <row r="22" spans="1:4" x14ac:dyDescent="0.25">
      <c r="A22" s="105">
        <f>IF(Match!A22="","",Match!A22)</f>
        <v>43589</v>
      </c>
      <c r="B22" s="104" t="str">
        <f>IF(Match!C22="","",Match!C22)</f>
        <v>League 2</v>
      </c>
      <c r="C22" s="103" t="str">
        <f>IF(Match!S22="","",Match!S22)</f>
        <v>Forest Green  v  Exeter   6/4  12/5  2/1</v>
      </c>
      <c r="D22" s="103" t="str">
        <f>IF(Match!T22="","",Match!T22)</f>
        <v xml:space="preserve">Forest Green 0-0 Exeter </v>
      </c>
    </row>
    <row r="23" spans="1:4" x14ac:dyDescent="0.25">
      <c r="A23" s="105">
        <f>IF(Match!A23="","",Match!A23)</f>
        <v>43589</v>
      </c>
      <c r="B23" s="104" t="str">
        <f>IF(Match!C23="","",Match!C23)</f>
        <v>League 2</v>
      </c>
      <c r="C23" s="103" t="str">
        <f>IF(Match!S23="","",Match!S23)</f>
        <v>Grimsby  v  Crewe   6/4  13/5  2/1</v>
      </c>
      <c r="D23" s="103" t="str">
        <f>IF(Match!T23="","",Match!T23)</f>
        <v xml:space="preserve">Grimsby 2-0 Crewe </v>
      </c>
    </row>
    <row r="24" spans="1:4" x14ac:dyDescent="0.25">
      <c r="A24" s="105">
        <f>IF(Match!A24="","",Match!A24)</f>
        <v>43589</v>
      </c>
      <c r="B24" s="104" t="str">
        <f>IF(Match!C24="","",Match!C24)</f>
        <v>League 2</v>
      </c>
      <c r="C24" s="103" t="str">
        <f>IF(Match!S24="","",Match!S24)</f>
        <v>Lincoln  v  Colchester   5/4  12/5  23/10</v>
      </c>
      <c r="D24" s="103" t="str">
        <f>IF(Match!T24="","",Match!T24)</f>
        <v xml:space="preserve">Lincoln 0-3 Colchester </v>
      </c>
    </row>
    <row r="25" spans="1:4" x14ac:dyDescent="0.25">
      <c r="A25" s="105">
        <f>IF(Match!A25="","",Match!A25)</f>
        <v>43589</v>
      </c>
      <c r="B25" s="104" t="str">
        <f>IF(Match!C25="","",Match!C25)</f>
        <v>League 2</v>
      </c>
      <c r="C25" s="103" t="str">
        <f>IF(Match!S25="","",Match!S25)</f>
        <v>Macclesfield  v  Cambridge   16/11  9/4  21/10</v>
      </c>
      <c r="D25" s="103" t="str">
        <f>IF(Match!T25="","",Match!T25)</f>
        <v xml:space="preserve">Macclesfield 1-1 Cambridge </v>
      </c>
    </row>
    <row r="26" spans="1:4" x14ac:dyDescent="0.25">
      <c r="A26" s="105">
        <f>IF(Match!A26="","",Match!A26)</f>
        <v>43589</v>
      </c>
      <c r="B26" s="104" t="str">
        <f>IF(Match!C26="","",Match!C26)</f>
        <v>League 2</v>
      </c>
      <c r="C26" s="103" t="str">
        <f>IF(Match!S26="","",Match!S26)</f>
        <v>MK Dons  v  Mansfield   6/5  23/10  5/2</v>
      </c>
      <c r="D26" s="103" t="str">
        <f>IF(Match!T26="","",Match!T26)</f>
        <v xml:space="preserve">MK Dons 1-0 Mansfield </v>
      </c>
    </row>
    <row r="27" spans="1:4" x14ac:dyDescent="0.25">
      <c r="A27" s="105">
        <f>IF(Match!A27="","",Match!A27)</f>
        <v>43589</v>
      </c>
      <c r="B27" s="104" t="str">
        <f>IF(Match!C27="","",Match!C27)</f>
        <v>League 2</v>
      </c>
      <c r="C27" s="103" t="str">
        <f>IF(Match!S27="","",Match!S27)</f>
        <v>Morecambe  v  Newport   12/5  13/5  15/13</v>
      </c>
      <c r="D27" s="103" t="str">
        <f>IF(Match!T27="","",Match!T27)</f>
        <v xml:space="preserve">Morecambe 1-1 Newport </v>
      </c>
    </row>
    <row r="28" spans="1:4" x14ac:dyDescent="0.25">
      <c r="A28" s="105">
        <f>IF(Match!A28="","",Match!A28)</f>
        <v>43589</v>
      </c>
      <c r="B28" s="104" t="str">
        <f>IF(Match!C28="","",Match!C28)</f>
        <v>League 2</v>
      </c>
      <c r="C28" s="103" t="str">
        <f>IF(Match!S28="","",Match!S28)</f>
        <v>Oldham  v  Northampton   11/10  13/5  11/4</v>
      </c>
      <c r="D28" s="103" t="str">
        <f>IF(Match!T28="","",Match!T28)</f>
        <v xml:space="preserve">Oldham 2-5 Northampton </v>
      </c>
    </row>
    <row r="29" spans="1:4" x14ac:dyDescent="0.25">
      <c r="A29" s="105">
        <f>IF(Match!A29="","",Match!A29)</f>
        <v>43589</v>
      </c>
      <c r="B29" s="104" t="str">
        <f>IF(Match!C29="","",Match!C29)</f>
        <v>League 2</v>
      </c>
      <c r="C29" s="103" t="str">
        <f>IF(Match!S29="","",Match!S29)</f>
        <v>Stevenage  v  Cheltenham   8/13  16/5  9/2</v>
      </c>
      <c r="D29" s="103" t="str">
        <f>IF(Match!T29="","",Match!T29)</f>
        <v xml:space="preserve">Stevenage 2-0 Cheltenham </v>
      </c>
    </row>
    <row r="30" spans="1:4" x14ac:dyDescent="0.25">
      <c r="A30" s="105">
        <f>IF(Match!A30="","",Match!A30)</f>
        <v>43589</v>
      </c>
      <c r="B30" s="104" t="str">
        <f>IF(Match!C30="","",Match!C30)</f>
        <v>League 2</v>
      </c>
      <c r="C30" s="103" t="str">
        <f>IF(Match!S30="","",Match!S30)</f>
        <v>Swindon  v  Notts Co   8/5  12/5  9/5</v>
      </c>
      <c r="D30" s="103" t="str">
        <f>IF(Match!T30="","",Match!T30)</f>
        <v xml:space="preserve">Swindon 3-1 Notts Co </v>
      </c>
    </row>
    <row r="31" spans="1:4" x14ac:dyDescent="0.25">
      <c r="A31" s="105">
        <f>IF(Match!A31="","",Match!A31)</f>
        <v>43589</v>
      </c>
      <c r="B31" s="104" t="str">
        <f>IF(Match!C31="","",Match!C31)</f>
        <v>League 2</v>
      </c>
      <c r="C31" s="103" t="str">
        <f>IF(Match!S31="","",Match!S31)</f>
        <v>Yeovil  v  Carlisle   3/1  13/5  19/20</v>
      </c>
      <c r="D31" s="103" t="str">
        <f>IF(Match!T31="","",Match!T31)</f>
        <v xml:space="preserve">Yeovil 0-0 Carlisle </v>
      </c>
    </row>
    <row r="32" spans="1:4" x14ac:dyDescent="0.25">
      <c r="A32" s="105">
        <f>IF(Match!A32="","",Match!A32)</f>
        <v>43590</v>
      </c>
      <c r="B32" s="104" t="str">
        <f>IF(Match!C32="","",Match!C32)</f>
        <v>Premier</v>
      </c>
      <c r="C32" s="103" t="str">
        <f>IF(Match!S32="","",Match!S32)</f>
        <v>Arsenal  v  Brighton   7/20  19/5  17/2</v>
      </c>
      <c r="D32" s="103" t="str">
        <f>IF(Match!T32="","",Match!T32)</f>
        <v xml:space="preserve">Arsenal 1-1 Brighton </v>
      </c>
    </row>
    <row r="33" spans="1:4" x14ac:dyDescent="0.25">
      <c r="A33" s="105">
        <f>IF(Match!A33="","",Match!A33)</f>
        <v>43590</v>
      </c>
      <c r="B33" s="104" t="str">
        <f>IF(Match!C33="","",Match!C33)</f>
        <v>Premier</v>
      </c>
      <c r="C33" s="103" t="str">
        <f>IF(Match!S33="","",Match!S33)</f>
        <v>Chelsea  v  Watford   4/9  17/4  15/2</v>
      </c>
      <c r="D33" s="103" t="str">
        <f>IF(Match!T33="","",Match!T33)</f>
        <v xml:space="preserve">Chelsea 3-0 Watford </v>
      </c>
    </row>
    <row r="34" spans="1:4" x14ac:dyDescent="0.25">
      <c r="A34" s="105">
        <f>IF(Match!A34="","",Match!A34)</f>
        <v>43590</v>
      </c>
      <c r="B34" s="104" t="str">
        <f>IF(Match!C34="","",Match!C34)</f>
        <v>Premier</v>
      </c>
      <c r="C34" s="103" t="str">
        <f>IF(Match!S34="","",Match!S34)</f>
        <v>Huddersfield  v  Man U   9/1  17/4  3/10</v>
      </c>
      <c r="D34" s="103" t="str">
        <f>IF(Match!T34="","",Match!T34)</f>
        <v xml:space="preserve">Huddersfield 1-1 Man U </v>
      </c>
    </row>
    <row r="35" spans="1:4" x14ac:dyDescent="0.25">
      <c r="A35" s="105">
        <f>IF(Match!A35="","",Match!A35)</f>
        <v>43590</v>
      </c>
      <c r="B35" s="104" t="str">
        <f>IF(Match!C35="","",Match!C35)</f>
        <v>Champ</v>
      </c>
      <c r="C35" s="103" t="str">
        <f>IF(Match!S35="","",Match!S35)</f>
        <v>Blackburn  v  Swansea   6/4  5/2  7/4</v>
      </c>
      <c r="D35" s="103" t="str">
        <f>IF(Match!T35="","",Match!T35)</f>
        <v xml:space="preserve">Blackburn 2-2 Swansea </v>
      </c>
    </row>
    <row r="36" spans="1:4" x14ac:dyDescent="0.25">
      <c r="A36" s="105">
        <f>IF(Match!A36="","",Match!A36)</f>
        <v>43590</v>
      </c>
      <c r="B36" s="104" t="str">
        <f>IF(Match!C36="","",Match!C36)</f>
        <v>Champ</v>
      </c>
      <c r="C36" s="103" t="str">
        <f>IF(Match!S36="","",Match!S36)</f>
        <v>Brentford  v  Preston   11/10  5/2  11/4</v>
      </c>
      <c r="D36" s="103" t="str">
        <f>IF(Match!T36="","",Match!T36)</f>
        <v xml:space="preserve">Brentford 3-0 Preston </v>
      </c>
    </row>
    <row r="37" spans="1:4" x14ac:dyDescent="0.25">
      <c r="A37" s="105">
        <f>IF(Match!A37="","",Match!A37)</f>
        <v>43590</v>
      </c>
      <c r="B37" s="104" t="str">
        <f>IF(Match!C37="","",Match!C37)</f>
        <v>Champ</v>
      </c>
      <c r="C37" s="103" t="str">
        <f>IF(Match!S37="","",Match!S37)</f>
        <v>Derby  v  West Brom   5/4  5/2  9/4</v>
      </c>
      <c r="D37" s="103" t="str">
        <f>IF(Match!T37="","",Match!T37)</f>
        <v xml:space="preserve">Derby 3-1 West Brom </v>
      </c>
    </row>
    <row r="38" spans="1:4" x14ac:dyDescent="0.25">
      <c r="A38" s="105">
        <f>IF(Match!A38="","",Match!A38)</f>
        <v>43590</v>
      </c>
      <c r="B38" s="104" t="str">
        <f>IF(Match!C38="","",Match!C38)</f>
        <v>Champ</v>
      </c>
      <c r="C38" s="103" t="str">
        <f>IF(Match!S38="","",Match!S38)</f>
        <v>Forest  v  Bolton   /  /  /</v>
      </c>
      <c r="D38" s="103" t="str">
        <f>IF(Match!T38="","",Match!T38)</f>
        <v xml:space="preserve">Forest 1-0 Bolton </v>
      </c>
    </row>
    <row r="39" spans="1:4" x14ac:dyDescent="0.25">
      <c r="A39" s="105">
        <f>IF(Match!A39="","",Match!A39)</f>
        <v>43590</v>
      </c>
      <c r="B39" s="104" t="str">
        <f>IF(Match!C39="","",Match!C39)</f>
        <v>Champ</v>
      </c>
      <c r="C39" s="103" t="str">
        <f>IF(Match!S39="","",Match!S39)</f>
        <v>Hull  v  Bristol C   2/1  5/2  7/5</v>
      </c>
      <c r="D39" s="103" t="str">
        <f>IF(Match!T39="","",Match!T39)</f>
        <v xml:space="preserve">Hull 1-1 Bristol C </v>
      </c>
    </row>
    <row r="40" spans="1:4" x14ac:dyDescent="0.25">
      <c r="A40" s="105">
        <f>IF(Match!A40="","",Match!A40)</f>
        <v>43590</v>
      </c>
      <c r="B40" s="104" t="str">
        <f>IF(Match!C40="","",Match!C40)</f>
        <v>Champ</v>
      </c>
      <c r="C40" s="103" t="str">
        <f>IF(Match!S40="","",Match!S40)</f>
        <v>Ipswich  v  Leeds   4/1  37/13  9/13</v>
      </c>
      <c r="D40" s="103" t="str">
        <f>IF(Match!T40="","",Match!T40)</f>
        <v xml:space="preserve">Ipswich 3-2 Leeds </v>
      </c>
    </row>
    <row r="41" spans="1:4" x14ac:dyDescent="0.25">
      <c r="A41" s="105">
        <f>IF(Match!A41="","",Match!A41)</f>
        <v>43590</v>
      </c>
      <c r="B41" s="104" t="str">
        <f>IF(Match!C41="","",Match!C41)</f>
        <v>Champ</v>
      </c>
      <c r="C41" s="103" t="str">
        <f>IF(Match!S41="","",Match!S41)</f>
        <v>Reading  v  Birmingham   7/4  12/5  13/8</v>
      </c>
      <c r="D41" s="103" t="str">
        <f>IF(Match!T41="","",Match!T41)</f>
        <v xml:space="preserve">Reading 0-0 Birmingham </v>
      </c>
    </row>
    <row r="42" spans="1:4" x14ac:dyDescent="0.25">
      <c r="A42" s="105">
        <f>IF(Match!A42="","",Match!A42)</f>
        <v>43590</v>
      </c>
      <c r="B42" s="104" t="str">
        <f>IF(Match!C42="","",Match!C42)</f>
        <v>Champ</v>
      </c>
      <c r="C42" s="103" t="str">
        <f>IF(Match!S42="","",Match!S42)</f>
        <v>Rotherham  v  Middlesbro   10/3  11/4  11/13</v>
      </c>
      <c r="D42" s="103" t="str">
        <f>IF(Match!T42="","",Match!T42)</f>
        <v xml:space="preserve">Rotherham 1-2 Middlesbro </v>
      </c>
    </row>
    <row r="43" spans="1:4" x14ac:dyDescent="0.25">
      <c r="A43" s="105">
        <f>IF(Match!A43="","",Match!A43)</f>
        <v>43590</v>
      </c>
      <c r="B43" s="104" t="str">
        <f>IF(Match!C43="","",Match!C43)</f>
        <v>Champ</v>
      </c>
      <c r="C43" s="103" t="str">
        <f>IF(Match!S43="","",Match!S43)</f>
        <v>Sheff W  v  QPR   11/13  27/10  7/2</v>
      </c>
      <c r="D43" s="103" t="str">
        <f>IF(Match!T43="","",Match!T43)</f>
        <v xml:space="preserve">Sheff W 1-2 QPR </v>
      </c>
    </row>
    <row r="44" spans="1:4" x14ac:dyDescent="0.25">
      <c r="A44" s="105">
        <f>IF(Match!A44="","",Match!A44)</f>
        <v>43590</v>
      </c>
      <c r="B44" s="104" t="str">
        <f>IF(Match!C44="","",Match!C44)</f>
        <v>Champ</v>
      </c>
      <c r="C44" s="103" t="str">
        <f>IF(Match!S44="","",Match!S44)</f>
        <v>Stoke  v  Sheff U   14/5  5/2  21/20</v>
      </c>
      <c r="D44" s="103" t="str">
        <f>IF(Match!T44="","",Match!T44)</f>
        <v xml:space="preserve">Stoke 2-2 Sheff U </v>
      </c>
    </row>
    <row r="45" spans="1:4" x14ac:dyDescent="0.25">
      <c r="A45" s="105">
        <f>IF(Match!A45="","",Match!A45)</f>
        <v>43590</v>
      </c>
      <c r="B45" s="104" t="str">
        <f>IF(Match!C45="","",Match!C45)</f>
        <v>Champ</v>
      </c>
      <c r="C45" s="103" t="str">
        <f>IF(Match!S45="","",Match!S45)</f>
        <v>Villa  v  Norwich   6/4  13/5  2/1</v>
      </c>
      <c r="D45" s="103" t="str">
        <f>IF(Match!T45="","",Match!T45)</f>
        <v xml:space="preserve">Villa 1-2 Norwich </v>
      </c>
    </row>
    <row r="46" spans="1:4" x14ac:dyDescent="0.25">
      <c r="A46" s="105">
        <f>IF(Match!A46="","",Match!A46)</f>
        <v>43590</v>
      </c>
      <c r="B46" s="104" t="str">
        <f>IF(Match!C46="","",Match!C46)</f>
        <v>Champ</v>
      </c>
      <c r="C46" s="103" t="str">
        <f>IF(Match!S46="","",Match!S46)</f>
        <v>Wigan  v  Millwall   13/10  12/5  21/10</v>
      </c>
      <c r="D46" s="103" t="str">
        <f>IF(Match!T46="","",Match!T46)</f>
        <v xml:space="preserve">Wigan 1-0 Millwall </v>
      </c>
    </row>
    <row r="47" spans="1:4" x14ac:dyDescent="0.25">
      <c r="A47" s="105" t="str">
        <f>IF(Match!A47="","",Match!A47)</f>
        <v/>
      </c>
      <c r="B47" s="104" t="str">
        <f>IF(Match!C47="","",Match!C47)</f>
        <v/>
      </c>
      <c r="C47" s="103" t="str">
        <f>IF(Match!S47="","",Match!S47)</f>
        <v/>
      </c>
      <c r="D47" s="103" t="str">
        <f>IF(Match!T47="","",Match!T47)</f>
        <v xml:space="preserve"> - </v>
      </c>
    </row>
    <row r="48" spans="1:4" x14ac:dyDescent="0.25">
      <c r="A48" s="105"/>
      <c r="B48" s="104"/>
      <c r="C48" s="103"/>
      <c r="D48" s="103"/>
    </row>
    <row r="49" spans="1:4" x14ac:dyDescent="0.25">
      <c r="A49" s="105"/>
      <c r="B49" s="104"/>
      <c r="C49" s="103"/>
      <c r="D49" s="103"/>
    </row>
    <row r="50" spans="1:4" x14ac:dyDescent="0.25">
      <c r="A50" s="105"/>
      <c r="B50" s="104"/>
      <c r="C50" s="103"/>
      <c r="D50" s="103"/>
    </row>
    <row r="51" spans="1:4" x14ac:dyDescent="0.25">
      <c r="A51" s="105"/>
      <c r="B51" s="104"/>
      <c r="C51" s="103"/>
      <c r="D51" s="103"/>
    </row>
    <row r="52" spans="1:4" x14ac:dyDescent="0.25">
      <c r="A52" s="105"/>
      <c r="B52" s="104"/>
      <c r="C52" s="103"/>
      <c r="D52" s="103"/>
    </row>
    <row r="53" spans="1:4" x14ac:dyDescent="0.25">
      <c r="A53" s="105"/>
      <c r="B53" s="104"/>
      <c r="C53" s="103"/>
      <c r="D53" s="103"/>
    </row>
    <row r="54" spans="1:4" x14ac:dyDescent="0.25">
      <c r="A54" s="105"/>
      <c r="B54" s="104"/>
      <c r="C54" s="103"/>
      <c r="D54" s="103"/>
    </row>
    <row r="55" spans="1:4" x14ac:dyDescent="0.25">
      <c r="A55" s="105"/>
      <c r="B55" s="104"/>
      <c r="C55" s="103"/>
      <c r="D55" s="103"/>
    </row>
    <row r="56" spans="1:4" x14ac:dyDescent="0.25">
      <c r="A56" s="105"/>
      <c r="B56" s="104"/>
      <c r="C56" s="103"/>
      <c r="D56" s="103"/>
    </row>
    <row r="57" spans="1:4" x14ac:dyDescent="0.25">
      <c r="A57" s="105"/>
      <c r="B57" s="104"/>
      <c r="C57" s="103"/>
      <c r="D57" s="103"/>
    </row>
    <row r="58" spans="1:4" x14ac:dyDescent="0.25">
      <c r="A58" s="105"/>
      <c r="B58" s="104"/>
      <c r="C58" s="103"/>
      <c r="D58" s="103"/>
    </row>
  </sheetData>
  <hyperlinks>
    <hyperlink ref="A1" location="Menu!A1" display="Date"/>
  </hyperlinks>
  <pageMargins left="0.70866141732283472" right="0.70866141732283472" top="0.94488188976377963" bottom="0.74803149606299213" header="0.31496062992125984" footer="0.31496062992125984"/>
  <pageSetup paperSize="9" orientation="portrait" r:id="rId1"/>
  <headerFooter>
    <oddHeader>&amp;L&amp;G&amp;R&amp;24&amp;K7030A0Latest Fixtures</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7030A0"/>
    <pageSetUpPr fitToPage="1"/>
  </sheetPr>
  <dimension ref="A1:G197"/>
  <sheetViews>
    <sheetView zoomScaleNormal="100" workbookViewId="0">
      <pane ySplit="1" topLeftCell="A182" activePane="bottomLeft" state="frozen"/>
      <selection pane="bottomLeft" activeCell="A191" sqref="A191"/>
    </sheetView>
  </sheetViews>
  <sheetFormatPr defaultRowHeight="13.2" x14ac:dyDescent="0.25"/>
  <cols>
    <col min="1" max="1" width="23.109375" customWidth="1"/>
    <col min="2" max="2" width="23.6640625" customWidth="1"/>
    <col min="3" max="3" width="11.33203125" customWidth="1"/>
    <col min="4" max="4" width="9.6640625" customWidth="1"/>
    <col min="5" max="5" width="12" customWidth="1"/>
    <col min="6" max="6" width="11.88671875" customWidth="1"/>
    <col min="7" max="7" width="12.109375" customWidth="1"/>
  </cols>
  <sheetData>
    <row r="1" spans="1:7" ht="18" customHeight="1" thickBot="1" x14ac:dyDescent="0.3">
      <c r="A1" s="134" t="str">
        <f>IF(Picks!A1="","",Picks!A1)</f>
        <v>Player</v>
      </c>
      <c r="B1" s="134" t="str">
        <f>IF(Picks!B1="","",Picks!B1)</f>
        <v>Prediction</v>
      </c>
      <c r="C1" s="135" t="str">
        <f>IF(Picks!C1="","",Picks!C1)</f>
        <v>Fraction</v>
      </c>
      <c r="D1" s="136" t="str">
        <f>IF(Picks!D1="","",Picks!D1)</f>
        <v>Decimal</v>
      </c>
      <c r="E1" s="137" t="str">
        <f>IF(Picks!E1="","",Picks!E1)</f>
        <v>Bet in?</v>
      </c>
      <c r="F1" s="138" t="str">
        <f>IF(Picks!F1="","",Picks!F1)</f>
        <v>Score</v>
      </c>
      <c r="G1" s="138" t="str">
        <f>IF(Picks!G1="","",Picks!G1)</f>
        <v>Max</v>
      </c>
    </row>
    <row r="2" spans="1:7" ht="14.4" thickTop="1" thickBot="1" x14ac:dyDescent="0.3">
      <c r="A2" s="123" t="str">
        <f>IF(Picks!A2="","",Picks!A2)</f>
        <v>Aaron Sudell</v>
      </c>
      <c r="B2" s="124" t="str">
        <f>IF(Picks!B2="","",Picks!B2)</f>
        <v/>
      </c>
      <c r="C2" s="125" t="str">
        <f>IF(Picks!C2="","",Picks!C2)</f>
        <v/>
      </c>
      <c r="D2" s="126" t="str">
        <f>IF(Picks!D2="","",Picks!D2)</f>
        <v/>
      </c>
      <c r="E2" s="127" t="str">
        <f>IF(Picks!E2="","",Picks!E2)</f>
        <v/>
      </c>
      <c r="F2" s="128">
        <f>IF(Picks!F2="","",Picks!F2)</f>
        <v>-10</v>
      </c>
      <c r="G2" s="129" t="str">
        <f>IF(Picks!G2="","",Picks!G2)</f>
        <v/>
      </c>
    </row>
    <row r="3" spans="1:7" x14ac:dyDescent="0.25">
      <c r="A3" s="132"/>
      <c r="B3" s="68" t="str">
        <f>IF(Picks!B3="","",Picks!B3)</f>
        <v/>
      </c>
      <c r="C3" s="90" t="str">
        <f>IF(Picks!C3="","",Picks!C3)</f>
        <v/>
      </c>
      <c r="D3" s="122" t="str">
        <f>IF(Picks!D3="","",Picks!D3)</f>
        <v/>
      </c>
      <c r="E3" s="100" t="str">
        <f>IF(Picks!E3="","",Picks!E3)</f>
        <v/>
      </c>
      <c r="F3" s="155" t="str">
        <f>IF(Picks!F3="","",Picks!F3)</f>
        <v/>
      </c>
      <c r="G3" s="51" t="str">
        <f>IF(Picks!G3="","",Picks!G3)</f>
        <v/>
      </c>
    </row>
    <row r="4" spans="1:7" ht="13.8" thickBot="1" x14ac:dyDescent="0.3">
      <c r="A4" s="156"/>
      <c r="B4" s="149" t="str">
        <f>IF(Picks!B4="","",Picks!B4)</f>
        <v/>
      </c>
      <c r="C4" s="150" t="str">
        <f>IF(Picks!C4="","",Picks!C4)</f>
        <v/>
      </c>
      <c r="D4" s="151" t="str">
        <f>IF(Picks!D4="","",Picks!D4)</f>
        <v/>
      </c>
      <c r="E4" s="100" t="str">
        <f>IF(Picks!E4="","",Picks!E4)</f>
        <v/>
      </c>
      <c r="F4" s="155" t="str">
        <f>IF(Picks!F4="","",Picks!F4)</f>
        <v/>
      </c>
      <c r="G4" s="51" t="str">
        <f>IF(Picks!G4="","",Picks!G4)</f>
        <v/>
      </c>
    </row>
    <row r="5" spans="1:7" ht="14.4" thickTop="1" thickBot="1" x14ac:dyDescent="0.3">
      <c r="A5" s="132" t="str">
        <f>IF(Picks!A5="","",Picks!A5)</f>
        <v>Alan Rogers</v>
      </c>
      <c r="B5" s="130" t="str">
        <f>IF(Picks!B5="","",Picks!B5)</f>
        <v>Everton draw</v>
      </c>
      <c r="C5" s="90" t="str">
        <f>IF(Picks!C5="","",Picks!C5)</f>
        <v>3/1</v>
      </c>
      <c r="D5" s="126">
        <f>IF(Picks!D5="","",Picks!D5)</f>
        <v>4</v>
      </c>
      <c r="E5" s="131" t="str">
        <f>IF(Picks!E5="","",Picks!E5)</f>
        <v>x</v>
      </c>
      <c r="F5" s="128">
        <f>IF(Picks!F5="","",Picks!F5)</f>
        <v>-7</v>
      </c>
      <c r="G5" s="129">
        <f>IF(Picks!G5="","",Picks!G5)</f>
        <v>82</v>
      </c>
    </row>
    <row r="6" spans="1:7" x14ac:dyDescent="0.25">
      <c r="A6" s="132"/>
      <c r="B6" s="68" t="str">
        <f>IF(Picks!B6="","",Picks!B6)</f>
        <v>Crewe</v>
      </c>
      <c r="C6" s="90" t="str">
        <f>IF(Picks!C6="","",Picks!C6)</f>
        <v>2/1</v>
      </c>
      <c r="D6" s="122">
        <f>IF(Picks!D6="","",Picks!D6)</f>
        <v>3</v>
      </c>
      <c r="E6" s="100" t="str">
        <f>IF(Picks!E6="","",Picks!E6)</f>
        <v>x</v>
      </c>
      <c r="F6" s="155" t="str">
        <f>IF(Picks!F6="","",Picks!F6)</f>
        <v/>
      </c>
      <c r="G6" s="51" t="str">
        <f>IF(Picks!G6="","",Picks!G6)</f>
        <v/>
      </c>
    </row>
    <row r="7" spans="1:7" ht="13.8" thickBot="1" x14ac:dyDescent="0.3">
      <c r="A7" s="156"/>
      <c r="B7" s="149" t="str">
        <f>IF(Picks!B7="","",Picks!B7)</f>
        <v>Mansfield</v>
      </c>
      <c r="C7" s="150" t="str">
        <f>IF(Picks!C7="","",Picks!C7)</f>
        <v>5/2</v>
      </c>
      <c r="D7" s="151">
        <f>IF(Picks!D7="","",Picks!D7)</f>
        <v>3.5</v>
      </c>
      <c r="E7" s="100" t="str">
        <f>IF(Picks!E7="","",Picks!E7)</f>
        <v>x</v>
      </c>
      <c r="F7" s="155" t="str">
        <f>IF(Picks!F7="","",Picks!F7)</f>
        <v/>
      </c>
      <c r="G7" s="51" t="str">
        <f>IF(Picks!G7="","",Picks!G7)</f>
        <v/>
      </c>
    </row>
    <row r="8" spans="1:7" ht="14.4" thickTop="1" thickBot="1" x14ac:dyDescent="0.3">
      <c r="A8" s="132" t="str">
        <f>IF(Picks!A8="","",Picks!A8)</f>
        <v>Alfie Davies</v>
      </c>
      <c r="B8" s="130" t="str">
        <f>IF(Picks!B8="","",Picks!B8)</f>
        <v>Bristol C</v>
      </c>
      <c r="C8" s="90" t="str">
        <f>IF(Picks!C8="","",Picks!C8)</f>
        <v>7/5</v>
      </c>
      <c r="D8" s="126">
        <f>IF(Picks!D8="","",Picks!D8)</f>
        <v>2.4</v>
      </c>
      <c r="E8" s="131" t="str">
        <f>IF(Picks!E8="","",Picks!E8)</f>
        <v>x</v>
      </c>
      <c r="F8" s="128">
        <f>IF(Picks!F8="","",Picks!F8)</f>
        <v>-5.1538461538461533</v>
      </c>
      <c r="G8" s="129">
        <f>IF(Picks!G8="","",Picks!G8)</f>
        <v>28.772307692307692</v>
      </c>
    </row>
    <row r="9" spans="1:7" x14ac:dyDescent="0.25">
      <c r="A9" s="132"/>
      <c r="B9" s="68" t="str">
        <f>IF(Picks!B9="","",Picks!B9)</f>
        <v>Middlesbro</v>
      </c>
      <c r="C9" s="90" t="str">
        <f>IF(Picks!C9="","",Picks!C9)</f>
        <v>11/13</v>
      </c>
      <c r="D9" s="122">
        <f>IF(Picks!D9="","",Picks!D9)</f>
        <v>1.8461538461538463</v>
      </c>
      <c r="E9" s="100" t="str">
        <f>IF(Picks!E9="","",Picks!E9)</f>
        <v>√</v>
      </c>
      <c r="F9" s="155" t="str">
        <f>IF(Picks!F9="","",Picks!F9)</f>
        <v/>
      </c>
      <c r="G9" s="51" t="str">
        <f>IF(Picks!G9="","",Picks!G9)</f>
        <v/>
      </c>
    </row>
    <row r="10" spans="1:7" ht="13.8" thickBot="1" x14ac:dyDescent="0.3">
      <c r="A10" s="156"/>
      <c r="B10" s="149" t="str">
        <f>IF(Picks!B10="","",Picks!B10)</f>
        <v>Cardiff</v>
      </c>
      <c r="C10" s="150" t="str">
        <f>IF(Picks!C10="","",Picks!C10)</f>
        <v>9/5</v>
      </c>
      <c r="D10" s="151">
        <f>IF(Picks!D10="","",Picks!D10)</f>
        <v>2.8</v>
      </c>
      <c r="E10" s="100" t="str">
        <f>IF(Picks!E10="","",Picks!E10)</f>
        <v>x</v>
      </c>
      <c r="F10" s="155" t="str">
        <f>IF(Picks!F10="","",Picks!F10)</f>
        <v/>
      </c>
      <c r="G10" s="51" t="str">
        <f>IF(Picks!G10="","",Picks!G10)</f>
        <v/>
      </c>
    </row>
    <row r="11" spans="1:7" ht="14.4" thickTop="1" thickBot="1" x14ac:dyDescent="0.3">
      <c r="A11" s="132" t="str">
        <f>IF(Picks!A11="","",Picks!A11)</f>
        <v>Alick Rocca</v>
      </c>
      <c r="B11" s="130" t="str">
        <f>IF(Picks!B11="","",Picks!B11)</f>
        <v>Forest Green Draw</v>
      </c>
      <c r="C11" s="90" t="str">
        <f>IF(Picks!C11="","",Picks!C11)</f>
        <v>12/5</v>
      </c>
      <c r="D11" s="126">
        <f>IF(Picks!D11="","",Picks!D11)</f>
        <v>3.4</v>
      </c>
      <c r="E11" s="131" t="str">
        <f>IF(Picks!E11="","",Picks!E11)</f>
        <v>√</v>
      </c>
      <c r="F11" s="128">
        <f>IF(Picks!F11="","",Picks!F11)</f>
        <v>11.36</v>
      </c>
      <c r="G11" s="129">
        <f>IF(Picks!G11="","",Picks!G11)</f>
        <v>81.056000000000012</v>
      </c>
    </row>
    <row r="12" spans="1:7" x14ac:dyDescent="0.25">
      <c r="A12" s="132"/>
      <c r="B12" s="68" t="str">
        <f>IF(Picks!B12="","",Picks!B12)</f>
        <v>Reading Draw</v>
      </c>
      <c r="C12" s="90" t="str">
        <f>IF(Picks!C12="","",Picks!C12)</f>
        <v>12/5</v>
      </c>
      <c r="D12" s="122">
        <f>IF(Picks!D12="","",Picks!D12)</f>
        <v>3.4</v>
      </c>
      <c r="E12" s="100" t="str">
        <f>IF(Picks!E12="","",Picks!E12)</f>
        <v>√</v>
      </c>
      <c r="F12" s="155" t="str">
        <f>IF(Picks!F12="","",Picks!F12)</f>
        <v/>
      </c>
      <c r="G12" s="51" t="str">
        <f>IF(Picks!G12="","",Picks!G12)</f>
        <v/>
      </c>
    </row>
    <row r="13" spans="1:7" ht="13.8" thickBot="1" x14ac:dyDescent="0.3">
      <c r="A13" s="156"/>
      <c r="B13" s="149" t="str">
        <f>IF(Picks!B13="","",Picks!B13)</f>
        <v>Villa Draw</v>
      </c>
      <c r="C13" s="150" t="str">
        <f>IF(Picks!C13="","",Picks!C13)</f>
        <v>13/5</v>
      </c>
      <c r="D13" s="151">
        <f>IF(Picks!D13="","",Picks!D13)</f>
        <v>3.6</v>
      </c>
      <c r="E13" s="100" t="str">
        <f>IF(Picks!E13="","",Picks!E13)</f>
        <v>x</v>
      </c>
      <c r="F13" s="155" t="str">
        <f>IF(Picks!F13="","",Picks!F13)</f>
        <v/>
      </c>
      <c r="G13" s="51" t="str">
        <f>IF(Picks!G13="","",Picks!G13)</f>
        <v/>
      </c>
    </row>
    <row r="14" spans="1:7" ht="14.4" thickTop="1" thickBot="1" x14ac:dyDescent="0.3">
      <c r="A14" s="132" t="str">
        <f>IF(Picks!A14="","",Picks!A14)</f>
        <v>Andy Charleston</v>
      </c>
      <c r="B14" s="130" t="str">
        <f>IF(Picks!B14="","",Picks!B14)</f>
        <v>Portsmouth</v>
      </c>
      <c r="C14" s="90" t="str">
        <f>IF(Picks!C14="","",Picks!C14)</f>
        <v>7/20</v>
      </c>
      <c r="D14" s="126">
        <f>IF(Picks!D14="","",Picks!D14)</f>
        <v>1.35</v>
      </c>
      <c r="E14" s="131" t="str">
        <f>IF(Picks!E14="","",Picks!E14)</f>
        <v>x</v>
      </c>
      <c r="F14" s="128">
        <f>IF(Picks!F14="","",Picks!F14)</f>
        <v>2.2300000000000004</v>
      </c>
      <c r="G14" s="129">
        <f>IF(Picks!G14="","",Picks!G14)</f>
        <v>16.040500000000002</v>
      </c>
    </row>
    <row r="15" spans="1:7" x14ac:dyDescent="0.25">
      <c r="A15" s="132"/>
      <c r="B15" s="68" t="str">
        <f>IF(Picks!B15="","",Picks!B15)</f>
        <v>Doncaster</v>
      </c>
      <c r="C15" s="90" t="str">
        <f>IF(Picks!C15="","",Picks!C15)</f>
        <v>11/10</v>
      </c>
      <c r="D15" s="122">
        <f>IF(Picks!D15="","",Picks!D15)</f>
        <v>2.1</v>
      </c>
      <c r="E15" s="100" t="str">
        <f>IF(Picks!E15="","",Picks!E15)</f>
        <v>√</v>
      </c>
      <c r="F15" s="155" t="str">
        <f>IF(Picks!F15="","",Picks!F15)</f>
        <v/>
      </c>
      <c r="G15" s="51" t="str">
        <f>IF(Picks!G15="","",Picks!G15)</f>
        <v/>
      </c>
    </row>
    <row r="16" spans="1:7" ht="13.8" thickBot="1" x14ac:dyDescent="0.3">
      <c r="A16" s="156"/>
      <c r="B16" s="149" t="str">
        <f>IF(Picks!B16="","",Picks!B16)</f>
        <v>Wigan</v>
      </c>
      <c r="C16" s="150" t="str">
        <f>IF(Picks!C16="","",Picks!C16)</f>
        <v>13/10</v>
      </c>
      <c r="D16" s="151">
        <f>IF(Picks!D16="","",Picks!D16)</f>
        <v>2.2999999999999998</v>
      </c>
      <c r="E16" s="100" t="str">
        <f>IF(Picks!E16="","",Picks!E16)</f>
        <v>√</v>
      </c>
      <c r="F16" s="155" t="str">
        <f>IF(Picks!F16="","",Picks!F16)</f>
        <v/>
      </c>
      <c r="G16" s="51" t="str">
        <f>IF(Picks!G16="","",Picks!G16)</f>
        <v/>
      </c>
    </row>
    <row r="17" spans="1:7" ht="14.4" thickTop="1" thickBot="1" x14ac:dyDescent="0.3">
      <c r="A17" s="132" t="str">
        <f>IF(Picks!A17="","",Picks!A17)</f>
        <v>Andy White</v>
      </c>
      <c r="B17" s="130" t="str">
        <f>IF(Picks!B17="","",Picks!B17)</f>
        <v>Burnley</v>
      </c>
      <c r="C17" s="90" t="str">
        <f>IF(Picks!C17="","",Picks!C17)</f>
        <v>24/5</v>
      </c>
      <c r="D17" s="126">
        <f>IF(Picks!D17="","",Picks!D17)</f>
        <v>5.8</v>
      </c>
      <c r="E17" s="131" t="str">
        <f>IF(Picks!E17="","",Picks!E17)</f>
        <v>x</v>
      </c>
      <c r="F17" s="128">
        <f>IF(Picks!F17="","",Picks!F17)</f>
        <v>-4.625</v>
      </c>
      <c r="G17" s="129">
        <f>IF(Picks!G17="","",Picks!G17)</f>
        <v>79.20999999999998</v>
      </c>
    </row>
    <row r="18" spans="1:7" x14ac:dyDescent="0.25">
      <c r="A18" s="132"/>
      <c r="B18" s="68" t="str">
        <f>IF(Picks!B18="","",Picks!B18)</f>
        <v>Cardiff</v>
      </c>
      <c r="C18" s="90" t="str">
        <f>IF(Picks!C18="","",Picks!C18)</f>
        <v>9/5</v>
      </c>
      <c r="D18" s="122">
        <f>IF(Picks!D18="","",Picks!D18)</f>
        <v>2.8</v>
      </c>
      <c r="E18" s="100" t="str">
        <f>IF(Picks!E18="","",Picks!E18)</f>
        <v>x</v>
      </c>
      <c r="F18" s="155" t="str">
        <f>IF(Picks!F18="","",Picks!F18)</f>
        <v/>
      </c>
      <c r="G18" s="51" t="str">
        <f>IF(Picks!G18="","",Picks!G18)</f>
        <v/>
      </c>
    </row>
    <row r="19" spans="1:7" ht="13.8" thickBot="1" x14ac:dyDescent="0.3">
      <c r="A19" s="156"/>
      <c r="B19" s="149" t="str">
        <f>IF(Picks!B19="","",Picks!B19)</f>
        <v>West Ham</v>
      </c>
      <c r="C19" s="150" t="str">
        <f>IF(Picks!C19="","",Picks!C19)</f>
        <v>11/8</v>
      </c>
      <c r="D19" s="151">
        <f>IF(Picks!D19="","",Picks!D19)</f>
        <v>2.375</v>
      </c>
      <c r="E19" s="100" t="str">
        <f>IF(Picks!E19="","",Picks!E19)</f>
        <v>√</v>
      </c>
      <c r="F19" s="155" t="str">
        <f>IF(Picks!F19="","",Picks!F19)</f>
        <v/>
      </c>
      <c r="G19" s="51" t="str">
        <f>IF(Picks!G19="","",Picks!G19)</f>
        <v/>
      </c>
    </row>
    <row r="20" spans="1:7" ht="14.4" thickTop="1" thickBot="1" x14ac:dyDescent="0.3">
      <c r="A20" s="132" t="str">
        <f>IF(Picks!A20="","",Picks!A20)</f>
        <v>Antony Robinson</v>
      </c>
      <c r="B20" s="130" t="str">
        <f>IF(Picks!B20="","",Picks!B20)</f>
        <v>Derby draw</v>
      </c>
      <c r="C20" s="90" t="str">
        <f>IF(Picks!C20="","",Picks!C20)</f>
        <v>5/2</v>
      </c>
      <c r="D20" s="126">
        <f>IF(Picks!D20="","",Picks!D20)</f>
        <v>3.5</v>
      </c>
      <c r="E20" s="131" t="str">
        <f>IF(Picks!E20="","",Picks!E20)</f>
        <v>x</v>
      </c>
      <c r="F20" s="128">
        <f>IF(Picks!F20="","",Picks!F20)</f>
        <v>5.1999999999999993</v>
      </c>
      <c r="G20" s="129">
        <f>IF(Picks!G20="","",Picks!G20)</f>
        <v>51.4</v>
      </c>
    </row>
    <row r="21" spans="1:7" x14ac:dyDescent="0.25">
      <c r="A21" s="132"/>
      <c r="B21" s="68" t="str">
        <f>IF(Picks!B21="","",Picks!B21)</f>
        <v>Wigan</v>
      </c>
      <c r="C21" s="90" t="str">
        <f>IF(Picks!C21="","",Picks!C21)</f>
        <v>13/10</v>
      </c>
      <c r="D21" s="122">
        <f>IF(Picks!D21="","",Picks!D21)</f>
        <v>2.2999999999999998</v>
      </c>
      <c r="E21" s="100" t="str">
        <f>IF(Picks!E21="","",Picks!E21)</f>
        <v>√</v>
      </c>
      <c r="F21" s="155" t="str">
        <f>IF(Picks!F21="","",Picks!F21)</f>
        <v/>
      </c>
      <c r="G21" s="51" t="str">
        <f>IF(Picks!G21="","",Picks!G21)</f>
        <v/>
      </c>
    </row>
    <row r="22" spans="1:7" ht="13.8" thickBot="1" x14ac:dyDescent="0.3">
      <c r="A22" s="156"/>
      <c r="B22" s="149" t="str">
        <f>IF(Picks!B22="","",Picks!B22)</f>
        <v>Norwich</v>
      </c>
      <c r="C22" s="150" t="str">
        <f>IF(Picks!C22="","",Picks!C22)</f>
        <v>2/1</v>
      </c>
      <c r="D22" s="151">
        <f>IF(Picks!D22="","",Picks!D22)</f>
        <v>3</v>
      </c>
      <c r="E22" s="100" t="str">
        <f>IF(Picks!E22="","",Picks!E22)</f>
        <v>√</v>
      </c>
      <c r="F22" s="155" t="str">
        <f>IF(Picks!F22="","",Picks!F22)</f>
        <v/>
      </c>
      <c r="G22" s="51" t="str">
        <f>IF(Picks!G22="","",Picks!G22)</f>
        <v/>
      </c>
    </row>
    <row r="23" spans="1:7" ht="14.4" thickTop="1" thickBot="1" x14ac:dyDescent="0.3">
      <c r="A23" s="132" t="str">
        <f>IF(Picks!A23="","",Picks!A23)</f>
        <v>Ashley Houghton</v>
      </c>
      <c r="B23" s="130" t="str">
        <f>IF(Picks!B23="","",Picks!B23)</f>
        <v>Charlton</v>
      </c>
      <c r="C23" s="90" t="str">
        <f>IF(Picks!C23="","",Picks!C23)</f>
        <v>3/4</v>
      </c>
      <c r="D23" s="126">
        <f>IF(Picks!D23="","",Picks!D23)</f>
        <v>1.75</v>
      </c>
      <c r="E23" s="131" t="str">
        <f>IF(Picks!E23="","",Picks!E23)</f>
        <v>√</v>
      </c>
      <c r="F23" s="128">
        <f>IF(Picks!F23="","",Picks!F23)</f>
        <v>-1.2777777777777777</v>
      </c>
      <c r="G23" s="129">
        <f>IF(Picks!G23="","",Picks!G23)</f>
        <v>13.847222222222221</v>
      </c>
    </row>
    <row r="24" spans="1:7" x14ac:dyDescent="0.25">
      <c r="A24" s="132"/>
      <c r="B24" s="68" t="str">
        <f>IF(Picks!B24="","",Picks!B24)</f>
        <v>Blackpool</v>
      </c>
      <c r="C24" s="90" t="str">
        <f>IF(Picks!C24="","",Picks!C24)</f>
        <v>5/4</v>
      </c>
      <c r="D24" s="122">
        <f>IF(Picks!D24="","",Picks!D24)</f>
        <v>2.25</v>
      </c>
      <c r="E24" s="100" t="str">
        <f>IF(Picks!E24="","",Picks!E24)</f>
        <v>x</v>
      </c>
      <c r="F24" s="155" t="str">
        <f>IF(Picks!F24="","",Picks!F24)</f>
        <v/>
      </c>
      <c r="G24" s="51" t="str">
        <f>IF(Picks!G24="","",Picks!G24)</f>
        <v/>
      </c>
    </row>
    <row r="25" spans="1:7" ht="13.8" thickBot="1" x14ac:dyDescent="0.3">
      <c r="A25" s="156"/>
      <c r="B25" s="149" t="str">
        <f>IF(Picks!B25="","",Picks!B25)</f>
        <v>Chelsea</v>
      </c>
      <c r="C25" s="150" t="str">
        <f>IF(Picks!C25="","",Picks!C25)</f>
        <v>4/9</v>
      </c>
      <c r="D25" s="151">
        <f>IF(Picks!D25="","",Picks!D25)</f>
        <v>1.4444444444444444</v>
      </c>
      <c r="E25" s="100" t="str">
        <f>IF(Picks!E25="","",Picks!E25)</f>
        <v>√</v>
      </c>
      <c r="F25" s="155" t="str">
        <f>IF(Picks!F25="","",Picks!F25)</f>
        <v/>
      </c>
      <c r="G25" s="51" t="str">
        <f>IF(Picks!G25="","",Picks!G25)</f>
        <v/>
      </c>
    </row>
    <row r="26" spans="1:7" ht="14.4" thickTop="1" thickBot="1" x14ac:dyDescent="0.3">
      <c r="A26" s="132" t="str">
        <f>IF(Picks!A26="","",Picks!A26)</f>
        <v>Barry Birchall</v>
      </c>
      <c r="B26" s="130" t="str">
        <f>IF(Picks!B26="","",Picks!B26)</f>
        <v>Bournemouth draw</v>
      </c>
      <c r="C26" s="90" t="str">
        <f>IF(Picks!C26="","",Picks!C26)</f>
        <v>3/1</v>
      </c>
      <c r="D26" s="126">
        <f>IF(Picks!D26="","",Picks!D26)</f>
        <v>4</v>
      </c>
      <c r="E26" s="131" t="str">
        <f>IF(Picks!E26="","",Picks!E26)</f>
        <v>x</v>
      </c>
      <c r="F26" s="128">
        <f>IF(Picks!F26="","",Picks!F26)</f>
        <v>-7</v>
      </c>
      <c r="G26" s="129">
        <f>IF(Picks!G26="","",Picks!G26)</f>
        <v>36.415584415584419</v>
      </c>
    </row>
    <row r="27" spans="1:7" x14ac:dyDescent="0.25">
      <c r="A27" s="132"/>
      <c r="B27" s="68" t="str">
        <f>IF(Picks!B27="","",Picks!B27)</f>
        <v>Barnsley</v>
      </c>
      <c r="C27" s="90" t="str">
        <f>IF(Picks!C27="","",Picks!C27)</f>
        <v>4/7</v>
      </c>
      <c r="D27" s="122">
        <f>IF(Picks!D27="","",Picks!D27)</f>
        <v>1.5714285714285714</v>
      </c>
      <c r="E27" s="100" t="str">
        <f>IF(Picks!E27="","",Picks!E27)</f>
        <v>x</v>
      </c>
      <c r="F27" s="155" t="str">
        <f>IF(Picks!F27="","",Picks!F27)</f>
        <v/>
      </c>
      <c r="G27" s="51" t="str">
        <f>IF(Picks!G27="","",Picks!G27)</f>
        <v/>
      </c>
    </row>
    <row r="28" spans="1:7" ht="13.8" thickBot="1" x14ac:dyDescent="0.3">
      <c r="A28" s="156"/>
      <c r="B28" s="149" t="str">
        <f>IF(Picks!B28="","",Picks!B28)</f>
        <v>Macclesfield</v>
      </c>
      <c r="C28" s="150" t="str">
        <f>IF(Picks!C28="","",Picks!C28)</f>
        <v>16/11</v>
      </c>
      <c r="D28" s="151">
        <f>IF(Picks!D28="","",Picks!D28)</f>
        <v>2.4545454545454546</v>
      </c>
      <c r="E28" s="100" t="str">
        <f>IF(Picks!E28="","",Picks!E28)</f>
        <v>x</v>
      </c>
      <c r="F28" s="155" t="str">
        <f>IF(Picks!F28="","",Picks!F28)</f>
        <v/>
      </c>
      <c r="G28" s="51" t="str">
        <f>IF(Picks!G28="","",Picks!G28)</f>
        <v/>
      </c>
    </row>
    <row r="29" spans="1:7" ht="14.4" thickTop="1" thickBot="1" x14ac:dyDescent="0.3">
      <c r="A29" s="132" t="str">
        <f>IF(Picks!A29="","",Picks!A29)</f>
        <v>Ben Rosser</v>
      </c>
      <c r="B29" s="130" t="str">
        <f>IF(Picks!B29="","",Picks!B29)</f>
        <v>Cardiff</v>
      </c>
      <c r="C29" s="90" t="str">
        <f>IF(Picks!C29="","",Picks!C29)</f>
        <v>9/5</v>
      </c>
      <c r="D29" s="126">
        <f>IF(Picks!D29="","",Picks!D29)</f>
        <v>2.8</v>
      </c>
      <c r="E29" s="131" t="str">
        <f>IF(Picks!E29="","",Picks!E29)</f>
        <v>x</v>
      </c>
      <c r="F29" s="128">
        <f>IF(Picks!F29="","",Picks!F29)</f>
        <v>-7</v>
      </c>
      <c r="G29" s="129">
        <f>IF(Picks!G29="","",Picks!G29)</f>
        <v>82.25</v>
      </c>
    </row>
    <row r="30" spans="1:7" x14ac:dyDescent="0.25">
      <c r="A30" s="132"/>
      <c r="B30" s="68" t="str">
        <f>IF(Picks!B30="","",Picks!B30)</f>
        <v>Chelsea draw</v>
      </c>
      <c r="C30" s="90" t="str">
        <f>IF(Picks!C30="","",Picks!C30)</f>
        <v>17/4</v>
      </c>
      <c r="D30" s="122">
        <f>IF(Picks!D30="","",Picks!D30)</f>
        <v>5.25</v>
      </c>
      <c r="E30" s="100" t="str">
        <f>IF(Picks!E30="","",Picks!E30)</f>
        <v>x</v>
      </c>
      <c r="F30" s="155" t="str">
        <f>IF(Picks!F30="","",Picks!F30)</f>
        <v/>
      </c>
      <c r="G30" s="51" t="str">
        <f>IF(Picks!G30="","",Picks!G30)</f>
        <v/>
      </c>
    </row>
    <row r="31" spans="1:7" ht="13.8" thickBot="1" x14ac:dyDescent="0.3">
      <c r="A31" s="156"/>
      <c r="B31" s="149" t="str">
        <f>IF(Picks!B31="","",Picks!B31)</f>
        <v>Notts Co</v>
      </c>
      <c r="C31" s="150" t="str">
        <f>IF(Picks!C31="","",Picks!C31)</f>
        <v>9/5</v>
      </c>
      <c r="D31" s="151">
        <f>IF(Picks!D31="","",Picks!D31)</f>
        <v>2.8</v>
      </c>
      <c r="E31" s="100" t="str">
        <f>IF(Picks!E31="","",Picks!E31)</f>
        <v>x</v>
      </c>
      <c r="F31" s="155" t="str">
        <f>IF(Picks!F31="","",Picks!F31)</f>
        <v/>
      </c>
      <c r="G31" s="51" t="str">
        <f>IF(Picks!G31="","",Picks!G31)</f>
        <v/>
      </c>
    </row>
    <row r="32" spans="1:7" ht="14.4" thickTop="1" thickBot="1" x14ac:dyDescent="0.3">
      <c r="A32" s="132" t="str">
        <f>IF(Picks!A32="","",Picks!A32)</f>
        <v>Charlie Griffiths</v>
      </c>
      <c r="B32" s="130" t="str">
        <f>IF(Picks!B32="","",Picks!B32)</f>
        <v>Sunderland</v>
      </c>
      <c r="C32" s="90" t="str">
        <f>IF(Picks!C32="","",Picks!C32)</f>
        <v>6/5</v>
      </c>
      <c r="D32" s="126">
        <f>IF(Picks!D32="","",Picks!D32)</f>
        <v>2.2000000000000002</v>
      </c>
      <c r="E32" s="131" t="str">
        <f>IF(Picks!E32="","",Picks!E32)</f>
        <v>x</v>
      </c>
      <c r="F32" s="128">
        <f>IF(Picks!F32="","",Picks!F32)</f>
        <v>-7</v>
      </c>
      <c r="G32" s="129">
        <f>IF(Picks!G32="","",Picks!G32)</f>
        <v>37.760000000000005</v>
      </c>
    </row>
    <row r="33" spans="1:7" x14ac:dyDescent="0.25">
      <c r="A33" s="132"/>
      <c r="B33" s="68" t="str">
        <f>IF(Picks!B33="","",Picks!B33)</f>
        <v>Wigan draw</v>
      </c>
      <c r="C33" s="90" t="str">
        <f>IF(Picks!C33="","",Picks!C33)</f>
        <v>12/5</v>
      </c>
      <c r="D33" s="122">
        <f>IF(Picks!D33="","",Picks!D33)</f>
        <v>3.4</v>
      </c>
      <c r="E33" s="100" t="str">
        <f>IF(Picks!E33="","",Picks!E33)</f>
        <v>x</v>
      </c>
      <c r="F33" s="155" t="str">
        <f>IF(Picks!F33="","",Picks!F33)</f>
        <v/>
      </c>
      <c r="G33" s="51" t="str">
        <f>IF(Picks!G33="","",Picks!G33)</f>
        <v/>
      </c>
    </row>
    <row r="34" spans="1:7" ht="13.8" thickBot="1" x14ac:dyDescent="0.3">
      <c r="A34" s="156"/>
      <c r="B34" s="149" t="str">
        <f>IF(Picks!B34="","",Picks!B34)</f>
        <v>Blackpool</v>
      </c>
      <c r="C34" s="150" t="str">
        <f>IF(Picks!C34="","",Picks!C34)</f>
        <v>5/4</v>
      </c>
      <c r="D34" s="151">
        <f>IF(Picks!D34="","",Picks!D34)</f>
        <v>2.25</v>
      </c>
      <c r="E34" s="100" t="str">
        <f>IF(Picks!E34="","",Picks!E34)</f>
        <v>x</v>
      </c>
      <c r="F34" s="155" t="str">
        <f>IF(Picks!F34="","",Picks!F34)</f>
        <v/>
      </c>
      <c r="G34" s="51" t="str">
        <f>IF(Picks!G34="","",Picks!G34)</f>
        <v/>
      </c>
    </row>
    <row r="35" spans="1:7" ht="14.4" thickTop="1" thickBot="1" x14ac:dyDescent="0.3">
      <c r="A35" s="132" t="str">
        <f>IF(Picks!A35="","",Picks!A35)</f>
        <v>Chris Bow</v>
      </c>
      <c r="B35" s="130" t="str">
        <f>IF(Picks!B35="","",Picks!B35)</f>
        <v>West Ham</v>
      </c>
      <c r="C35" s="90" t="str">
        <f>IF(Picks!C35="","",Picks!C35)</f>
        <v>11/8</v>
      </c>
      <c r="D35" s="126">
        <f>IF(Picks!D35="","",Picks!D35)</f>
        <v>2.375</v>
      </c>
      <c r="E35" s="131" t="str">
        <f>IF(Picks!E35="","",Picks!E35)</f>
        <v>√</v>
      </c>
      <c r="F35" s="128">
        <f>IF(Picks!F35="","",Picks!F35)</f>
        <v>25.969374999999999</v>
      </c>
      <c r="G35" s="129">
        <f>IF(Picks!G35="","",Picks!G35)</f>
        <v>25.969374999999999</v>
      </c>
    </row>
    <row r="36" spans="1:7" x14ac:dyDescent="0.25">
      <c r="A36" s="132"/>
      <c r="B36" s="68" t="str">
        <f>IF(Picks!B36="","",Picks!B36)</f>
        <v>Wycombe</v>
      </c>
      <c r="C36" s="90" t="str">
        <f>IF(Picks!C36="","",Picks!C36)</f>
        <v>21/20</v>
      </c>
      <c r="D36" s="122">
        <f>IF(Picks!D36="","",Picks!D36)</f>
        <v>2.0499999999999998</v>
      </c>
      <c r="E36" s="100" t="str">
        <f>IF(Picks!E36="","",Picks!E36)</f>
        <v>√</v>
      </c>
      <c r="F36" s="155" t="str">
        <f>IF(Picks!F36="","",Picks!F36)</f>
        <v/>
      </c>
      <c r="G36" s="51" t="str">
        <f>IF(Picks!G36="","",Picks!G36)</f>
        <v/>
      </c>
    </row>
    <row r="37" spans="1:7" ht="13.8" thickBot="1" x14ac:dyDescent="0.3">
      <c r="A37" s="156"/>
      <c r="B37" s="149" t="str">
        <f>IF(Picks!B37="","",Picks!B37)</f>
        <v>Wigan</v>
      </c>
      <c r="C37" s="150" t="str">
        <f>IF(Picks!C37="","",Picks!C37)</f>
        <v>13/10</v>
      </c>
      <c r="D37" s="151">
        <f>IF(Picks!D37="","",Picks!D37)</f>
        <v>2.2999999999999998</v>
      </c>
      <c r="E37" s="100" t="str">
        <f>IF(Picks!E37="","",Picks!E37)</f>
        <v>√</v>
      </c>
      <c r="F37" s="155" t="str">
        <f>IF(Picks!F37="","",Picks!F37)</f>
        <v/>
      </c>
      <c r="G37" s="51" t="str">
        <f>IF(Picks!G37="","",Picks!G37)</f>
        <v/>
      </c>
    </row>
    <row r="38" spans="1:7" ht="14.4" thickTop="1" thickBot="1" x14ac:dyDescent="0.3">
      <c r="A38" s="132" t="str">
        <f>IF(Picks!A38="","",Picks!A38)</f>
        <v>Chris Griffin</v>
      </c>
      <c r="B38" s="130" t="str">
        <f>IF(Picks!B38="","",Picks!B38)</f>
        <v>Wigan</v>
      </c>
      <c r="C38" s="90" t="str">
        <f>IF(Picks!C38="","",Picks!C38)</f>
        <v>13/10</v>
      </c>
      <c r="D38" s="126">
        <f>IF(Picks!D38="","",Picks!D38)</f>
        <v>2.2999999999999998</v>
      </c>
      <c r="E38" s="131" t="str">
        <f>IF(Picks!E38="","",Picks!E38)</f>
        <v>√</v>
      </c>
      <c r="F38" s="128">
        <f>IF(Picks!F38="","",Picks!F38)</f>
        <v>6.5199999999999978</v>
      </c>
      <c r="G38" s="129">
        <f>IF(Picks!G38="","",Picks!G38)</f>
        <v>38.463999999999999</v>
      </c>
    </row>
    <row r="39" spans="1:7" x14ac:dyDescent="0.25">
      <c r="A39" s="132"/>
      <c r="B39" s="68" t="str">
        <f>IF(Picks!B39="","",Picks!B39)</f>
        <v>Sunderland</v>
      </c>
      <c r="C39" s="90" t="str">
        <f>IF(Picks!C39="","",Picks!C39)</f>
        <v>6/5</v>
      </c>
      <c r="D39" s="122">
        <f>IF(Picks!D39="","",Picks!D39)</f>
        <v>2.2000000000000002</v>
      </c>
      <c r="E39" s="100" t="str">
        <f>IF(Picks!E39="","",Picks!E39)</f>
        <v>x</v>
      </c>
      <c r="F39" s="155" t="str">
        <f>IF(Picks!F39="","",Picks!F39)</f>
        <v/>
      </c>
      <c r="G39" s="51" t="str">
        <f>IF(Picks!G39="","",Picks!G39)</f>
        <v/>
      </c>
    </row>
    <row r="40" spans="1:7" ht="13.8" thickBot="1" x14ac:dyDescent="0.3">
      <c r="A40" s="156"/>
      <c r="B40" s="149" t="str">
        <f>IF(Picks!B40="","",Picks!B40)</f>
        <v>Reading draw</v>
      </c>
      <c r="C40" s="150" t="str">
        <f>IF(Picks!C40="","",Picks!C40)</f>
        <v>12/5</v>
      </c>
      <c r="D40" s="151">
        <f>IF(Picks!D40="","",Picks!D40)</f>
        <v>3.4</v>
      </c>
      <c r="E40" s="100" t="str">
        <f>IF(Picks!E40="","",Picks!E40)</f>
        <v>√</v>
      </c>
      <c r="F40" s="155" t="str">
        <f>IF(Picks!F40="","",Picks!F40)</f>
        <v/>
      </c>
      <c r="G40" s="51" t="str">
        <f>IF(Picks!G40="","",Picks!G40)</f>
        <v/>
      </c>
    </row>
    <row r="41" spans="1:7" ht="14.4" thickTop="1" thickBot="1" x14ac:dyDescent="0.3">
      <c r="A41" s="132" t="str">
        <f>IF(Picks!A41="","",Picks!A41)</f>
        <v>Chris Luck</v>
      </c>
      <c r="B41" s="130" t="str">
        <f>IF(Picks!B41="","",Picks!B41)</f>
        <v>West Ham</v>
      </c>
      <c r="C41" s="90" t="str">
        <f>IF(Picks!C41="","",Picks!C41)</f>
        <v>11/8</v>
      </c>
      <c r="D41" s="126">
        <f>IF(Picks!D41="","",Picks!D41)</f>
        <v>2.375</v>
      </c>
      <c r="E41" s="131" t="str">
        <f>IF(Picks!E41="","",Picks!E41)</f>
        <v>√</v>
      </c>
      <c r="F41" s="128">
        <f>IF(Picks!F41="","",Picks!F41)</f>
        <v>30.272500000000001</v>
      </c>
      <c r="G41" s="129">
        <f>IF(Picks!G41="","",Picks!G41)</f>
        <v>30.272500000000001</v>
      </c>
    </row>
    <row r="42" spans="1:7" x14ac:dyDescent="0.25">
      <c r="A42" s="132"/>
      <c r="B42" s="68" t="str">
        <f>IF(Picks!B42="","",Picks!B42)</f>
        <v>Palace</v>
      </c>
      <c r="C42" s="90" t="str">
        <f>IF(Picks!C42="","",Picks!C42)</f>
        <v>8/5</v>
      </c>
      <c r="D42" s="122">
        <f>IF(Picks!D42="","",Picks!D42)</f>
        <v>2.6</v>
      </c>
      <c r="E42" s="100" t="str">
        <f>IF(Picks!E42="","",Picks!E42)</f>
        <v>√</v>
      </c>
      <c r="F42" s="155" t="str">
        <f>IF(Picks!F42="","",Picks!F42)</f>
        <v/>
      </c>
      <c r="G42" s="51" t="str">
        <f>IF(Picks!G42="","",Picks!G42)</f>
        <v/>
      </c>
    </row>
    <row r="43" spans="1:7" ht="13.8" thickBot="1" x14ac:dyDescent="0.3">
      <c r="A43" s="156"/>
      <c r="B43" s="149" t="str">
        <f>IF(Picks!B43="","",Picks!B43)</f>
        <v>Peterborough</v>
      </c>
      <c r="C43" s="150" t="str">
        <f>IF(Picks!C43="","",Picks!C43)</f>
        <v>23/20</v>
      </c>
      <c r="D43" s="151">
        <f>IF(Picks!D43="","",Picks!D43)</f>
        <v>2.15</v>
      </c>
      <c r="E43" s="100" t="str">
        <f>IF(Picks!E43="","",Picks!E43)</f>
        <v>√</v>
      </c>
      <c r="F43" s="155" t="str">
        <f>IF(Picks!F43="","",Picks!F43)</f>
        <v/>
      </c>
      <c r="G43" s="51" t="str">
        <f>IF(Picks!G43="","",Picks!G43)</f>
        <v/>
      </c>
    </row>
    <row r="44" spans="1:7" ht="14.4" thickTop="1" thickBot="1" x14ac:dyDescent="0.3">
      <c r="A44" s="132" t="str">
        <f>IF(Picks!A44="","",Picks!A44)</f>
        <v>Chris Townsend</v>
      </c>
      <c r="B44" s="130" t="str">
        <f>IF(Picks!B44="","",Picks!B44)</f>
        <v>Scunthorpe</v>
      </c>
      <c r="C44" s="90" t="str">
        <f>IF(Picks!C44="","",Picks!C44)</f>
        <v>21/10</v>
      </c>
      <c r="D44" s="126">
        <f>IF(Picks!D44="","",Picks!D44)</f>
        <v>3.1</v>
      </c>
      <c r="E44" s="131" t="str">
        <f>IF(Picks!E44="","",Picks!E44)</f>
        <v>x</v>
      </c>
      <c r="F44" s="128">
        <f>IF(Picks!F44="","",Picks!F44)</f>
        <v>-7</v>
      </c>
      <c r="G44" s="129">
        <f>IF(Picks!G44="","",Picks!G44)</f>
        <v>166.76249999999999</v>
      </c>
    </row>
    <row r="45" spans="1:7" x14ac:dyDescent="0.25">
      <c r="A45" s="132"/>
      <c r="B45" s="68" t="str">
        <f>IF(Picks!B45="","",Picks!B45)</f>
        <v>Newcastle</v>
      </c>
      <c r="C45" s="90" t="str">
        <f>IF(Picks!C45="","",Picks!C45)</f>
        <v>9/1</v>
      </c>
      <c r="D45" s="122">
        <f>IF(Picks!D45="","",Picks!D45)</f>
        <v>10</v>
      </c>
      <c r="E45" s="100" t="str">
        <f>IF(Picks!E45="","",Picks!E45)</f>
        <v>x</v>
      </c>
      <c r="F45" s="155" t="str">
        <f>IF(Picks!F45="","",Picks!F45)</f>
        <v/>
      </c>
      <c r="G45" s="51" t="str">
        <f>IF(Picks!G45="","",Picks!G45)</f>
        <v/>
      </c>
    </row>
    <row r="46" spans="1:7" ht="13.8" thickBot="1" x14ac:dyDescent="0.3">
      <c r="A46" s="156"/>
      <c r="B46" s="149" t="str">
        <f>IF(Picks!B46="","",Picks!B46)</f>
        <v>Southampton</v>
      </c>
      <c r="C46" s="150" t="str">
        <f>IF(Picks!C46="","",Picks!C46)</f>
        <v>15/8</v>
      </c>
      <c r="D46" s="151">
        <f>IF(Picks!D46="","",Picks!D46)</f>
        <v>2.875</v>
      </c>
      <c r="E46" s="100" t="str">
        <f>IF(Picks!E46="","",Picks!E46)</f>
        <v>x</v>
      </c>
      <c r="F46" s="155" t="str">
        <f>IF(Picks!F46="","",Picks!F46)</f>
        <v/>
      </c>
      <c r="G46" s="51" t="str">
        <f>IF(Picks!G46="","",Picks!G46)</f>
        <v/>
      </c>
    </row>
    <row r="47" spans="1:7" ht="14.4" thickTop="1" thickBot="1" x14ac:dyDescent="0.3">
      <c r="A47" s="132" t="str">
        <f>IF(Picks!A47="","",Picks!A47)</f>
        <v>Dan Baxter</v>
      </c>
      <c r="B47" s="130" t="str">
        <f>IF(Picks!B47="","",Picks!B47)</f>
        <v>Everton draw</v>
      </c>
      <c r="C47" s="90" t="str">
        <f>IF(Picks!C47="","",Picks!C47)</f>
        <v>3/1</v>
      </c>
      <c r="D47" s="126">
        <f>IF(Picks!D47="","",Picks!D47)</f>
        <v>4</v>
      </c>
      <c r="E47" s="131" t="str">
        <f>IF(Picks!E47="","",Picks!E47)</f>
        <v>x</v>
      </c>
      <c r="F47" s="128">
        <f>IF(Picks!F47="","",Picks!F47)</f>
        <v>-2.5999999999999996</v>
      </c>
      <c r="G47" s="129">
        <f>IF(Picks!G47="","",Picks!G47)</f>
        <v>289</v>
      </c>
    </row>
    <row r="48" spans="1:7" x14ac:dyDescent="0.25">
      <c r="A48" s="157"/>
      <c r="B48" s="68" t="str">
        <f>IF(Picks!B48="","",Picks!B48)</f>
        <v>Bournemouth</v>
      </c>
      <c r="C48" s="90" t="str">
        <f>IF(Picks!C48="","",Picks!C48)</f>
        <v>17/5</v>
      </c>
      <c r="D48" s="122">
        <f>IF(Picks!D48="","",Picks!D48)</f>
        <v>4.4000000000000004</v>
      </c>
      <c r="E48" s="100" t="str">
        <f>IF(Picks!E48="","",Picks!E48)</f>
        <v>√</v>
      </c>
      <c r="F48" s="155" t="str">
        <f>IF(Picks!F48="","",Picks!F48)</f>
        <v/>
      </c>
      <c r="G48" s="51" t="str">
        <f>IF(Picks!G48="","",Picks!G48)</f>
        <v/>
      </c>
    </row>
    <row r="49" spans="1:7" ht="13.8" thickBot="1" x14ac:dyDescent="0.3">
      <c r="A49" s="156"/>
      <c r="B49" s="149" t="str">
        <f>IF(Picks!B49="","",Picks!B49)</f>
        <v>Newcastle</v>
      </c>
      <c r="C49" s="150" t="str">
        <f>IF(Picks!C49="","",Picks!C49)</f>
        <v>9/1</v>
      </c>
      <c r="D49" s="151">
        <f>IF(Picks!D49="","",Picks!D49)</f>
        <v>10</v>
      </c>
      <c r="E49" s="100" t="str">
        <f>IF(Picks!E49="","",Picks!E49)</f>
        <v>x</v>
      </c>
      <c r="F49" s="155" t="str">
        <f>IF(Picks!F49="","",Picks!F49)</f>
        <v/>
      </c>
      <c r="G49" s="51" t="str">
        <f>IF(Picks!G49="","",Picks!G49)</f>
        <v/>
      </c>
    </row>
    <row r="50" spans="1:7" ht="14.4" thickTop="1" thickBot="1" x14ac:dyDescent="0.3">
      <c r="A50" s="132" t="str">
        <f>IF(Picks!A50="","",Picks!A50)</f>
        <v>Dave Bell</v>
      </c>
      <c r="B50" s="130" t="str">
        <f>IF(Picks!B50="","",Picks!B50)</f>
        <v>Huddersfield</v>
      </c>
      <c r="C50" s="90" t="str">
        <f>IF(Picks!C50="","",Picks!C50)</f>
        <v>9/1</v>
      </c>
      <c r="D50" s="126">
        <f>IF(Picks!D50="","",Picks!D50)</f>
        <v>10</v>
      </c>
      <c r="E50" s="131" t="str">
        <f>IF(Picks!E50="","",Picks!E50)</f>
        <v>x</v>
      </c>
      <c r="F50" s="128">
        <f>IF(Picks!F50="","",Picks!F50)</f>
        <v>-7</v>
      </c>
      <c r="G50" s="129">
        <f>IF(Picks!G50="","",Picks!G50)</f>
        <v>1089.25</v>
      </c>
    </row>
    <row r="51" spans="1:7" x14ac:dyDescent="0.25">
      <c r="A51" s="132"/>
      <c r="B51" s="68" t="str">
        <f>IF(Picks!B51="","",Picks!B51)</f>
        <v>Watford</v>
      </c>
      <c r="C51" s="90" t="str">
        <f>IF(Picks!C51="","",Picks!C51)</f>
        <v>15/2</v>
      </c>
      <c r="D51" s="122">
        <f>IF(Picks!D51="","",Picks!D51)</f>
        <v>8.5</v>
      </c>
      <c r="E51" s="100" t="str">
        <f>IF(Picks!E51="","",Picks!E51)</f>
        <v>x</v>
      </c>
      <c r="F51" s="155" t="str">
        <f>IF(Picks!F51="","",Picks!F51)</f>
        <v/>
      </c>
      <c r="G51" s="51" t="str">
        <f>IF(Picks!G51="","",Picks!G51)</f>
        <v/>
      </c>
    </row>
    <row r="52" spans="1:7" ht="13.8" thickBot="1" x14ac:dyDescent="0.3">
      <c r="A52" s="156"/>
      <c r="B52" s="149" t="str">
        <f>IF(Picks!B52="","",Picks!B52)</f>
        <v>Brighton</v>
      </c>
      <c r="C52" s="150" t="str">
        <f>IF(Picks!C52="","",Picks!C52)</f>
        <v>17/2</v>
      </c>
      <c r="D52" s="151">
        <f>IF(Picks!D52="","",Picks!D52)</f>
        <v>9.5</v>
      </c>
      <c r="E52" s="100" t="str">
        <f>IF(Picks!E52="","",Picks!E52)</f>
        <v>x</v>
      </c>
      <c r="F52" s="155" t="str">
        <f>IF(Picks!F52="","",Picks!F52)</f>
        <v/>
      </c>
      <c r="G52" s="51" t="str">
        <f>IF(Picks!G52="","",Picks!G52)</f>
        <v/>
      </c>
    </row>
    <row r="53" spans="1:7" ht="14.4" thickTop="1" thickBot="1" x14ac:dyDescent="0.3">
      <c r="A53" s="132" t="str">
        <f>IF(Picks!A53="","",Picks!A53)</f>
        <v>Dave Orrell</v>
      </c>
      <c r="B53" s="130" t="str">
        <f>IF(Picks!B53="","",Picks!B53)</f>
        <v>Macclesfield</v>
      </c>
      <c r="C53" s="90" t="str">
        <f>IF(Picks!C53="","",Picks!C53)</f>
        <v>16/11</v>
      </c>
      <c r="D53" s="126">
        <f>IF(Picks!D53="","",Picks!D53)</f>
        <v>2.4545454545454546</v>
      </c>
      <c r="E53" s="131" t="str">
        <f>IF(Picks!E53="","",Picks!E53)</f>
        <v>x</v>
      </c>
      <c r="F53" s="128">
        <f>IF(Picks!F53="","",Picks!F53)</f>
        <v>1.25</v>
      </c>
      <c r="G53" s="129">
        <f>IF(Picks!G53="","",Picks!G53)</f>
        <v>23.954545454545457</v>
      </c>
    </row>
    <row r="54" spans="1:7" x14ac:dyDescent="0.25">
      <c r="A54" s="132"/>
      <c r="B54" s="68" t="str">
        <f>IF(Picks!B54="","",Picks!B54)</f>
        <v>Derby</v>
      </c>
      <c r="C54" s="90" t="str">
        <f>IF(Picks!C54="","",Picks!C54)</f>
        <v>5/4</v>
      </c>
      <c r="D54" s="122">
        <f>IF(Picks!D54="","",Picks!D54)</f>
        <v>2.25</v>
      </c>
      <c r="E54" s="100" t="str">
        <f>IF(Picks!E54="","",Picks!E54)</f>
        <v>√</v>
      </c>
      <c r="F54" s="155" t="str">
        <f>IF(Picks!F54="","",Picks!F54)</f>
        <v/>
      </c>
      <c r="G54" s="51" t="str">
        <f>IF(Picks!G54="","",Picks!G54)</f>
        <v/>
      </c>
    </row>
    <row r="55" spans="1:7" ht="13.8" thickBot="1" x14ac:dyDescent="0.3">
      <c r="A55" s="156"/>
      <c r="B55" s="149" t="str">
        <f>IF(Picks!B55="","",Picks!B55)</f>
        <v>Middlesbro</v>
      </c>
      <c r="C55" s="150" t="str">
        <f>IF(Picks!C55="","",Picks!C55)</f>
        <v>11/13</v>
      </c>
      <c r="D55" s="151">
        <f>IF(Picks!D55="","",Picks!D55)</f>
        <v>1.8461538461538463</v>
      </c>
      <c r="E55" s="100" t="str">
        <f>IF(Picks!E55="","",Picks!E55)</f>
        <v>√</v>
      </c>
      <c r="F55" s="155" t="str">
        <f>IF(Picks!F55="","",Picks!F55)</f>
        <v/>
      </c>
      <c r="G55" s="51" t="str">
        <f>IF(Picks!G55="","",Picks!G55)</f>
        <v/>
      </c>
    </row>
    <row r="56" spans="1:7" ht="14.4" thickTop="1" thickBot="1" x14ac:dyDescent="0.3">
      <c r="A56" s="132" t="str">
        <f>IF(Picks!A56="","",Picks!A56)</f>
        <v>David Dunn</v>
      </c>
      <c r="B56" s="130" t="str">
        <f>IF(Picks!B56="","",Picks!B56)</f>
        <v>Cardiff</v>
      </c>
      <c r="C56" s="90" t="str">
        <f>IF(Picks!C56="","",Picks!C56)</f>
        <v>9/5</v>
      </c>
      <c r="D56" s="126">
        <f>IF(Picks!D56="","",Picks!D56)</f>
        <v>2.8</v>
      </c>
      <c r="E56" s="131" t="str">
        <f>IF(Picks!E56="","",Picks!E56)</f>
        <v>x</v>
      </c>
      <c r="F56" s="128">
        <f>IF(Picks!F56="","",Picks!F56)</f>
        <v>-0.125</v>
      </c>
      <c r="G56" s="129">
        <f>IF(Picks!G56="","",Picks!G56)</f>
        <v>21.924999999999997</v>
      </c>
    </row>
    <row r="57" spans="1:7" x14ac:dyDescent="0.25">
      <c r="A57" s="132"/>
      <c r="B57" s="68" t="str">
        <f>IF(Picks!B57="","",Picks!B57)</f>
        <v>Liverpool</v>
      </c>
      <c r="C57" s="90" t="str">
        <f>IF(Picks!C57="","",Picks!C57)</f>
        <v>1/3</v>
      </c>
      <c r="D57" s="122">
        <f>IF(Picks!D57="","",Picks!D57)</f>
        <v>1.3333333333333333</v>
      </c>
      <c r="E57" s="100" t="str">
        <f>IF(Picks!E57="","",Picks!E57)</f>
        <v>√</v>
      </c>
      <c r="F57" s="155" t="str">
        <f>IF(Picks!F57="","",Picks!F57)</f>
        <v/>
      </c>
      <c r="G57" s="51" t="str">
        <f>IF(Picks!G57="","",Picks!G57)</f>
        <v/>
      </c>
    </row>
    <row r="58" spans="1:7" ht="13.8" thickBot="1" x14ac:dyDescent="0.3">
      <c r="A58" s="156"/>
      <c r="B58" s="149" t="str">
        <f>IF(Picks!B58="","",Picks!B58)</f>
        <v>West Ham</v>
      </c>
      <c r="C58" s="150" t="str">
        <f>IF(Picks!C58="","",Picks!C58)</f>
        <v>11/8</v>
      </c>
      <c r="D58" s="151">
        <f>IF(Picks!D58="","",Picks!D58)</f>
        <v>2.375</v>
      </c>
      <c r="E58" s="100" t="str">
        <f>IF(Picks!E58="","",Picks!E58)</f>
        <v>√</v>
      </c>
      <c r="F58" s="155" t="str">
        <f>IF(Picks!F58="","",Picks!F58)</f>
        <v/>
      </c>
      <c r="G58" s="51" t="str">
        <f>IF(Picks!G58="","",Picks!G58)</f>
        <v/>
      </c>
    </row>
    <row r="59" spans="1:7" ht="14.4" thickTop="1" thickBot="1" x14ac:dyDescent="0.3">
      <c r="A59" s="132" t="str">
        <f>IF(Picks!A59="","",Picks!A59)</f>
        <v>Gareth Fallows</v>
      </c>
      <c r="B59" s="130" t="str">
        <f>IF(Picks!B59="","",Picks!B59)</f>
        <v>MK Dons</v>
      </c>
      <c r="C59" s="90" t="str">
        <f>IF(Picks!C59="","",Picks!C59)</f>
        <v>6/5</v>
      </c>
      <c r="D59" s="126">
        <f>IF(Picks!D59="","",Picks!D59)</f>
        <v>2.2000000000000002</v>
      </c>
      <c r="E59" s="131" t="str">
        <f>IF(Picks!E59="","",Picks!E59)</f>
        <v>√</v>
      </c>
      <c r="F59" s="128">
        <f>IF(Picks!F59="","",Picks!F59)</f>
        <v>-4.8</v>
      </c>
      <c r="G59" s="129">
        <f>IF(Picks!G59="","",Picks!G59)</f>
        <v>27.927272727272729</v>
      </c>
    </row>
    <row r="60" spans="1:7" x14ac:dyDescent="0.25">
      <c r="A60" s="132"/>
      <c r="B60" s="68" t="str">
        <f>IF(Picks!B60="","",Picks!B60)</f>
        <v>Macclesfield</v>
      </c>
      <c r="C60" s="90" t="str">
        <f>IF(Picks!C60="","",Picks!C60)</f>
        <v>16/11</v>
      </c>
      <c r="D60" s="122">
        <f>IF(Picks!D60="","",Picks!D60)</f>
        <v>2.4545454545454546</v>
      </c>
      <c r="E60" s="100" t="str">
        <f>IF(Picks!E60="","",Picks!E60)</f>
        <v>x</v>
      </c>
      <c r="F60" s="155" t="str">
        <f>IF(Picks!F60="","",Picks!F60)</f>
        <v/>
      </c>
      <c r="G60" s="51" t="str">
        <f>IF(Picks!G60="","",Picks!G60)</f>
        <v/>
      </c>
    </row>
    <row r="61" spans="1:7" ht="13.8" thickBot="1" x14ac:dyDescent="0.3">
      <c r="A61" s="156"/>
      <c r="B61" s="149" t="str">
        <f>IF(Picks!B61="","",Picks!B61)</f>
        <v>Lincoln</v>
      </c>
      <c r="C61" s="150" t="str">
        <f>IF(Picks!C61="","",Picks!C61)</f>
        <v>5/4</v>
      </c>
      <c r="D61" s="151">
        <f>IF(Picks!D61="","",Picks!D61)</f>
        <v>2.25</v>
      </c>
      <c r="E61" s="100" t="str">
        <f>IF(Picks!E61="","",Picks!E61)</f>
        <v>x</v>
      </c>
      <c r="F61" s="155" t="str">
        <f>IF(Picks!F61="","",Picks!F61)</f>
        <v/>
      </c>
      <c r="G61" s="51" t="str">
        <f>IF(Picks!G61="","",Picks!G61)</f>
        <v/>
      </c>
    </row>
    <row r="62" spans="1:7" ht="14.4" thickTop="1" thickBot="1" x14ac:dyDescent="0.3">
      <c r="A62" s="132" t="str">
        <f>IF(Picks!A62="","",Picks!A62)</f>
        <v>Gareth Powell</v>
      </c>
      <c r="B62" s="130" t="str">
        <f>IF(Picks!B62="","",Picks!B62)</f>
        <v>Man U</v>
      </c>
      <c r="C62" s="90" t="str">
        <f>IF(Picks!C62="","",Picks!C62)</f>
        <v>3/10</v>
      </c>
      <c r="D62" s="126">
        <f>IF(Picks!D62="","",Picks!D62)</f>
        <v>1.3</v>
      </c>
      <c r="E62" s="131" t="str">
        <f>IF(Picks!E62="","",Picks!E62)</f>
        <v>x</v>
      </c>
      <c r="F62" s="128">
        <f>IF(Picks!F62="","",Picks!F62)</f>
        <v>-1.8888888888888893</v>
      </c>
      <c r="G62" s="129">
        <f>IF(Picks!G62="","",Picks!G62)</f>
        <v>6.0555555555555536</v>
      </c>
    </row>
    <row r="63" spans="1:7" x14ac:dyDescent="0.25">
      <c r="A63" s="132"/>
      <c r="B63" s="68" t="str">
        <f>IF(Picks!B63="","",Picks!B63)</f>
        <v>Chelsea</v>
      </c>
      <c r="C63" s="90" t="str">
        <f>IF(Picks!C63="","",Picks!C63)</f>
        <v>4/9</v>
      </c>
      <c r="D63" s="122">
        <f>IF(Picks!D63="","",Picks!D63)</f>
        <v>1.4444444444444444</v>
      </c>
      <c r="E63" s="100" t="str">
        <f>IF(Picks!E63="","",Picks!E63)</f>
        <v>√</v>
      </c>
      <c r="F63" s="155" t="str">
        <f>IF(Picks!F63="","",Picks!F63)</f>
        <v/>
      </c>
      <c r="G63" s="51" t="str">
        <f>IF(Picks!G63="","",Picks!G63)</f>
        <v/>
      </c>
    </row>
    <row r="64" spans="1:7" ht="13.8" thickBot="1" x14ac:dyDescent="0.3">
      <c r="A64" s="156"/>
      <c r="B64" s="149" t="str">
        <f>IF(Picks!B64="","",Picks!B64)</f>
        <v>Wolves</v>
      </c>
      <c r="C64" s="150" t="str">
        <f>IF(Picks!C64="","",Picks!C64)</f>
        <v>1/2</v>
      </c>
      <c r="D64" s="151">
        <f>IF(Picks!D64="","",Picks!D64)</f>
        <v>1.5</v>
      </c>
      <c r="E64" s="100" t="str">
        <f>IF(Picks!E64="","",Picks!E64)</f>
        <v>√</v>
      </c>
      <c r="F64" s="155" t="str">
        <f>IF(Picks!F64="","",Picks!F64)</f>
        <v/>
      </c>
      <c r="G64" s="51" t="str">
        <f>IF(Picks!G64="","",Picks!G64)</f>
        <v/>
      </c>
    </row>
    <row r="65" spans="1:7" ht="14.4" thickTop="1" thickBot="1" x14ac:dyDescent="0.3">
      <c r="A65" s="132" t="str">
        <f>IF(Picks!A65="","",Picks!A65)</f>
        <v>Gerard Ventom</v>
      </c>
      <c r="B65" s="130" t="str">
        <f>IF(Picks!B65="","",Picks!B65)</f>
        <v>Blackpool</v>
      </c>
      <c r="C65" s="90" t="str">
        <f>IF(Picks!C65="","",Picks!C65)</f>
        <v>5/4</v>
      </c>
      <c r="D65" s="126">
        <f>IF(Picks!D65="","",Picks!D65)</f>
        <v>2.25</v>
      </c>
      <c r="E65" s="131" t="str">
        <f>IF(Picks!E65="","",Picks!E65)</f>
        <v>x</v>
      </c>
      <c r="F65" s="128">
        <f>IF(Picks!F65="","",Picks!F65)</f>
        <v>-7</v>
      </c>
      <c r="G65" s="129">
        <f>IF(Picks!G65="","",Picks!G65)</f>
        <v>25.799999999999997</v>
      </c>
    </row>
    <row r="66" spans="1:7" x14ac:dyDescent="0.25">
      <c r="A66" s="132"/>
      <c r="B66" s="68" t="str">
        <f>IF(Picks!B66="","",Picks!B66)</f>
        <v>Sunderland</v>
      </c>
      <c r="C66" s="90" t="str">
        <f>IF(Picks!C66="","",Picks!C66)</f>
        <v>6/5</v>
      </c>
      <c r="D66" s="122">
        <f>IF(Picks!D66="","",Picks!D66)</f>
        <v>2.2000000000000002</v>
      </c>
      <c r="E66" s="100" t="str">
        <f>IF(Picks!E66="","",Picks!E66)</f>
        <v>x</v>
      </c>
      <c r="F66" s="155" t="str">
        <f>IF(Picks!F66="","",Picks!F66)</f>
        <v/>
      </c>
      <c r="G66" s="51" t="str">
        <f>IF(Picks!G66="","",Picks!G66)</f>
        <v/>
      </c>
    </row>
    <row r="67" spans="1:7" ht="13.8" thickBot="1" x14ac:dyDescent="0.3">
      <c r="A67" s="156"/>
      <c r="B67" s="149" t="str">
        <f>IF(Picks!B67="","",Picks!B67)</f>
        <v>Lincoln</v>
      </c>
      <c r="C67" s="150" t="str">
        <f>IF(Picks!C67="","",Picks!C67)</f>
        <v>5/4</v>
      </c>
      <c r="D67" s="151">
        <f>IF(Picks!D67="","",Picks!D67)</f>
        <v>2.25</v>
      </c>
      <c r="E67" s="100" t="str">
        <f>IF(Picks!E67="","",Picks!E67)</f>
        <v>x</v>
      </c>
      <c r="F67" s="155" t="str">
        <f>IF(Picks!F67="","",Picks!F67)</f>
        <v/>
      </c>
      <c r="G67" s="51" t="str">
        <f>IF(Picks!G67="","",Picks!G67)</f>
        <v/>
      </c>
    </row>
    <row r="68" spans="1:7" ht="14.4" thickTop="1" thickBot="1" x14ac:dyDescent="0.3">
      <c r="A68" s="132" t="str">
        <f>IF(Picks!A68="","",Picks!A68)</f>
        <v>Graeme Holmes</v>
      </c>
      <c r="B68" s="130" t="str">
        <f>IF(Picks!B68="","",Picks!B68)</f>
        <v>Newcastle</v>
      </c>
      <c r="C68" s="90" t="str">
        <f>IF(Picks!C68="","",Picks!C68)</f>
        <v>9/1</v>
      </c>
      <c r="D68" s="126">
        <f>IF(Picks!D68="","",Picks!D68)</f>
        <v>10</v>
      </c>
      <c r="E68" s="131" t="str">
        <f>IF(Picks!E68="","",Picks!E68)</f>
        <v>x</v>
      </c>
      <c r="F68" s="128">
        <f>IF(Picks!F68="","",Picks!F68)</f>
        <v>0.66249999999999964</v>
      </c>
      <c r="G68" s="129">
        <f>IF(Picks!G68="","",Picks!G68)</f>
        <v>87.287499999999994</v>
      </c>
    </row>
    <row r="69" spans="1:7" x14ac:dyDescent="0.25">
      <c r="A69" s="132"/>
      <c r="B69" s="68" t="str">
        <f>IF(Picks!B69="","",Picks!B69)</f>
        <v>Charlton</v>
      </c>
      <c r="C69" s="90" t="str">
        <f>IF(Picks!C69="","",Picks!C69)</f>
        <v>3/4</v>
      </c>
      <c r="D69" s="122">
        <f>IF(Picks!D69="","",Picks!D69)</f>
        <v>1.75</v>
      </c>
      <c r="E69" s="100" t="str">
        <f>IF(Picks!E69="","",Picks!E69)</f>
        <v>√</v>
      </c>
      <c r="F69" s="155" t="str">
        <f>IF(Picks!F69="","",Picks!F69)</f>
        <v/>
      </c>
      <c r="G69" s="51" t="str">
        <f>IF(Picks!G69="","",Picks!G69)</f>
        <v/>
      </c>
    </row>
    <row r="70" spans="1:7" ht="13.8" thickBot="1" x14ac:dyDescent="0.3">
      <c r="A70" s="156"/>
      <c r="B70" s="149" t="str">
        <f>IF(Picks!B70="","",Picks!B70)</f>
        <v>Peterborough</v>
      </c>
      <c r="C70" s="150" t="str">
        <f>IF(Picks!C70="","",Picks!C70)</f>
        <v>23/20</v>
      </c>
      <c r="D70" s="151">
        <f>IF(Picks!D70="","",Picks!D70)</f>
        <v>2.15</v>
      </c>
      <c r="E70" s="100" t="str">
        <f>IF(Picks!E70="","",Picks!E70)</f>
        <v>√</v>
      </c>
      <c r="F70" s="155" t="str">
        <f>IF(Picks!F70="","",Picks!F70)</f>
        <v/>
      </c>
      <c r="G70" s="51" t="str">
        <f>IF(Picks!G70="","",Picks!G70)</f>
        <v/>
      </c>
    </row>
    <row r="71" spans="1:7" ht="14.4" thickTop="1" thickBot="1" x14ac:dyDescent="0.3">
      <c r="A71" s="132" t="str">
        <f>IF(Picks!A71="","",Picks!A71)</f>
        <v>Graham Miller</v>
      </c>
      <c r="B71" s="130" t="str">
        <f>IF(Picks!B71="","",Picks!B71)</f>
        <v>Bournemouth</v>
      </c>
      <c r="C71" s="90" t="str">
        <f>IF(Picks!C71="","",Picks!C71)</f>
        <v>17/5</v>
      </c>
      <c r="D71" s="126">
        <f>IF(Picks!D71="","",Picks!D71)</f>
        <v>4.4000000000000004</v>
      </c>
      <c r="E71" s="131" t="str">
        <f>IF(Picks!E71="","",Picks!E71)</f>
        <v>√</v>
      </c>
      <c r="F71" s="128">
        <f>IF(Picks!F71="","",Picks!F71)</f>
        <v>-2.5999999999999996</v>
      </c>
      <c r="G71" s="129">
        <f>IF(Picks!G71="","",Picks!G71)</f>
        <v>118.36</v>
      </c>
    </row>
    <row r="72" spans="1:7" x14ac:dyDescent="0.25">
      <c r="A72" s="132"/>
      <c r="B72" s="68" t="str">
        <f>IF(Picks!B72="","",Picks!B72)</f>
        <v>Newcastle Draw</v>
      </c>
      <c r="C72" s="90" t="str">
        <f>IF(Picks!C72="","",Picks!C72)</f>
        <v>4/1</v>
      </c>
      <c r="D72" s="122">
        <f>IF(Picks!D72="","",Picks!D72)</f>
        <v>5</v>
      </c>
      <c r="E72" s="100" t="str">
        <f>IF(Picks!E72="","",Picks!E72)</f>
        <v>x</v>
      </c>
      <c r="F72" s="155" t="str">
        <f>IF(Picks!F72="","",Picks!F72)</f>
        <v/>
      </c>
      <c r="G72" s="51" t="str">
        <f>IF(Picks!G72="","",Picks!G72)</f>
        <v/>
      </c>
    </row>
    <row r="73" spans="1:7" ht="13.8" thickBot="1" x14ac:dyDescent="0.3">
      <c r="A73" s="156"/>
      <c r="B73" s="149" t="str">
        <f>IF(Picks!B73="","",Picks!B73)</f>
        <v>Shrewsbury</v>
      </c>
      <c r="C73" s="150" t="str">
        <f>IF(Picks!C73="","",Picks!C73)</f>
        <v>19/10</v>
      </c>
      <c r="D73" s="151">
        <f>IF(Picks!D73="","",Picks!D73)</f>
        <v>2.9</v>
      </c>
      <c r="E73" s="100" t="str">
        <f>IF(Picks!E73="","",Picks!E73)</f>
        <v>x</v>
      </c>
      <c r="F73" s="155" t="str">
        <f>IF(Picks!F73="","",Picks!F73)</f>
        <v/>
      </c>
      <c r="G73" s="51" t="str">
        <f>IF(Picks!G73="","",Picks!G73)</f>
        <v/>
      </c>
    </row>
    <row r="74" spans="1:7" ht="14.4" thickTop="1" thickBot="1" x14ac:dyDescent="0.3">
      <c r="A74" s="132" t="str">
        <f>IF(Picks!A74="","",Picks!A74)</f>
        <v>Howard Bradley</v>
      </c>
      <c r="B74" s="130" t="str">
        <f>IF(Picks!B74="","",Picks!B74)</f>
        <v>Sheff W</v>
      </c>
      <c r="C74" s="90" t="str">
        <f>IF(Picks!C74="","",Picks!C74)</f>
        <v>11/13</v>
      </c>
      <c r="D74" s="126">
        <f>IF(Picks!D74="","",Picks!D74)</f>
        <v>1.8461538461538463</v>
      </c>
      <c r="E74" s="131" t="str">
        <f>IF(Picks!E74="","",Picks!E74)</f>
        <v>x</v>
      </c>
      <c r="F74" s="128">
        <f>IF(Picks!F74="","",Picks!F74)</f>
        <v>-7</v>
      </c>
      <c r="G74" s="129">
        <f>IF(Picks!G74="","",Picks!G74)</f>
        <v>54.843076923076922</v>
      </c>
    </row>
    <row r="75" spans="1:7" x14ac:dyDescent="0.25">
      <c r="A75" s="132"/>
      <c r="B75" s="68" t="str">
        <f>IF(Picks!B75="","",Picks!B75)</f>
        <v>Stoke</v>
      </c>
      <c r="C75" s="90" t="str">
        <f>IF(Picks!C75="","",Picks!C75)</f>
        <v>14/5</v>
      </c>
      <c r="D75" s="122">
        <f>IF(Picks!D75="","",Picks!D75)</f>
        <v>3.8</v>
      </c>
      <c r="E75" s="100" t="str">
        <f>IF(Picks!E75="","",Picks!E75)</f>
        <v>x</v>
      </c>
      <c r="F75" s="155" t="str">
        <f>IF(Picks!F75="","",Picks!F75)</f>
        <v/>
      </c>
      <c r="G75" s="51" t="str">
        <f>IF(Picks!G75="","",Picks!G75)</f>
        <v/>
      </c>
    </row>
    <row r="76" spans="1:7" ht="13.8" thickBot="1" x14ac:dyDescent="0.3">
      <c r="A76" s="156"/>
      <c r="B76" s="149" t="str">
        <f>IF(Picks!B76="","",Picks!B76)</f>
        <v>Villa draw</v>
      </c>
      <c r="C76" s="150" t="str">
        <f>IF(Picks!C76="","",Picks!C76)</f>
        <v>13/5</v>
      </c>
      <c r="D76" s="151">
        <f>IF(Picks!D76="","",Picks!D76)</f>
        <v>3.6</v>
      </c>
      <c r="E76" s="100" t="str">
        <f>IF(Picks!E76="","",Picks!E76)</f>
        <v>x</v>
      </c>
      <c r="F76" s="155" t="str">
        <f>IF(Picks!F76="","",Picks!F76)</f>
        <v/>
      </c>
      <c r="G76" s="51" t="str">
        <f>IF(Picks!G76="","",Picks!G76)</f>
        <v/>
      </c>
    </row>
    <row r="77" spans="1:7" ht="14.4" thickTop="1" thickBot="1" x14ac:dyDescent="0.3">
      <c r="A77" s="132" t="str">
        <f>IF(Picks!A77="","",Picks!A77)</f>
        <v>Ian Davies</v>
      </c>
      <c r="B77" s="130" t="str">
        <f>IF(Picks!B77="","",Picks!B77)</f>
        <v>Charlton draw</v>
      </c>
      <c r="C77" s="90" t="str">
        <f>IF(Picks!C77="","",Picks!C77)</f>
        <v>27/10</v>
      </c>
      <c r="D77" s="126">
        <f>IF(Picks!D77="","",Picks!D77)</f>
        <v>3.7</v>
      </c>
      <c r="E77" s="131" t="str">
        <f>IF(Picks!E77="","",Picks!E77)</f>
        <v>x</v>
      </c>
      <c r="F77" s="128">
        <f>IF(Picks!F77="","",Picks!F77)</f>
        <v>-7</v>
      </c>
      <c r="G77" s="129">
        <f>IF(Picks!G77="","",Picks!G77)</f>
        <v>80.924000000000007</v>
      </c>
    </row>
    <row r="78" spans="1:7" x14ac:dyDescent="0.25">
      <c r="A78" s="132"/>
      <c r="B78" s="68" t="str">
        <f>IF(Picks!B78="","",Picks!B78)</f>
        <v>Plymouth draw</v>
      </c>
      <c r="C78" s="90" t="str">
        <f>IF(Picks!C78="","",Picks!C78)</f>
        <v>12/5</v>
      </c>
      <c r="D78" s="122">
        <f>IF(Picks!D78="","",Picks!D78)</f>
        <v>3.4</v>
      </c>
      <c r="E78" s="100" t="str">
        <f>IF(Picks!E78="","",Picks!E78)</f>
        <v>x</v>
      </c>
      <c r="F78" s="155" t="str">
        <f>IF(Picks!F78="","",Picks!F78)</f>
        <v/>
      </c>
      <c r="G78" s="51" t="str">
        <f>IF(Picks!G78="","",Picks!G78)</f>
        <v/>
      </c>
    </row>
    <row r="79" spans="1:7" ht="13.8" thickBot="1" x14ac:dyDescent="0.3">
      <c r="A79" s="156"/>
      <c r="B79" s="149" t="str">
        <f>IF(Picks!B79="","",Picks!B79)</f>
        <v>Wycombe draw</v>
      </c>
      <c r="C79" s="150" t="str">
        <f>IF(Picks!C79="","",Picks!C79)</f>
        <v>23/10</v>
      </c>
      <c r="D79" s="151">
        <f>IF(Picks!D79="","",Picks!D79)</f>
        <v>3.3</v>
      </c>
      <c r="E79" s="100" t="str">
        <f>IF(Picks!E79="","",Picks!E79)</f>
        <v>x</v>
      </c>
      <c r="F79" s="155" t="str">
        <f>IF(Picks!F79="","",Picks!F79)</f>
        <v/>
      </c>
      <c r="G79" s="51" t="str">
        <f>IF(Picks!G79="","",Picks!G79)</f>
        <v/>
      </c>
    </row>
    <row r="80" spans="1:7" ht="14.4" thickTop="1" thickBot="1" x14ac:dyDescent="0.3">
      <c r="A80" s="132" t="str">
        <f>IF(Picks!A80="","",Picks!A80)</f>
        <v>Jack Walsh</v>
      </c>
      <c r="B80" s="130" t="str">
        <f>IF(Picks!B80="","",Picks!B80)</f>
        <v>Bournemouth</v>
      </c>
      <c r="C80" s="90" t="str">
        <f>IF(Picks!C80="","",Picks!C80)</f>
        <v>17/5</v>
      </c>
      <c r="D80" s="126">
        <f>IF(Picks!D80="","",Picks!D80)</f>
        <v>4.4000000000000004</v>
      </c>
      <c r="E80" s="131" t="str">
        <f>IF(Picks!E80="","",Picks!E80)</f>
        <v>√</v>
      </c>
      <c r="F80" s="128">
        <f>IF(Picks!F80="","",Picks!F80)</f>
        <v>23.32</v>
      </c>
      <c r="G80" s="129">
        <f>IF(Picks!G80="","",Picks!G80)</f>
        <v>336.52</v>
      </c>
    </row>
    <row r="81" spans="1:7" x14ac:dyDescent="0.25">
      <c r="A81" s="132"/>
      <c r="B81" s="68" t="str">
        <f>IF(Picks!B81="","",Picks!B81)</f>
        <v>Newcastle</v>
      </c>
      <c r="C81" s="90" t="str">
        <f>IF(Picks!C81="","",Picks!C81)</f>
        <v>9/1</v>
      </c>
      <c r="D81" s="122">
        <f>IF(Picks!D81="","",Picks!D81)</f>
        <v>10</v>
      </c>
      <c r="E81" s="100" t="str">
        <f>IF(Picks!E81="","",Picks!E81)</f>
        <v>x</v>
      </c>
      <c r="F81" s="155" t="str">
        <f>IF(Picks!F81="","",Picks!F81)</f>
        <v/>
      </c>
      <c r="G81" s="51" t="str">
        <f>IF(Picks!G81="","",Picks!G81)</f>
        <v/>
      </c>
    </row>
    <row r="82" spans="1:7" ht="13.8" thickBot="1" x14ac:dyDescent="0.3">
      <c r="A82" s="156"/>
      <c r="B82" s="149" t="str">
        <f>IF(Picks!B82="","",Picks!B82)</f>
        <v>Arsenal Draw</v>
      </c>
      <c r="C82" s="150" t="str">
        <f>IF(Picks!C82="","",Picks!C82)</f>
        <v>19/5</v>
      </c>
      <c r="D82" s="151">
        <f>IF(Picks!D82="","",Picks!D82)</f>
        <v>4.8</v>
      </c>
      <c r="E82" s="100" t="str">
        <f>IF(Picks!E82="","",Picks!E82)</f>
        <v>√</v>
      </c>
      <c r="F82" s="155" t="str">
        <f>IF(Picks!F82="","",Picks!F82)</f>
        <v/>
      </c>
      <c r="G82" s="51" t="str">
        <f>IF(Picks!G82="","",Picks!G82)</f>
        <v/>
      </c>
    </row>
    <row r="83" spans="1:7" ht="14.4" thickTop="1" thickBot="1" x14ac:dyDescent="0.3">
      <c r="A83" s="132" t="str">
        <f>IF(Picks!A83="","",Picks!A83)</f>
        <v>James Bell</v>
      </c>
      <c r="B83" s="130" t="str">
        <f>IF(Picks!B83="","",Picks!B83)</f>
        <v>Ipswich draw</v>
      </c>
      <c r="C83" s="90" t="str">
        <f>IF(Picks!C83="","",Picks!C83)</f>
        <v>37/13</v>
      </c>
      <c r="D83" s="126">
        <f>IF(Picks!D83="","",Picks!D83)</f>
        <v>3.8461538461538463</v>
      </c>
      <c r="E83" s="131" t="str">
        <f>IF(Picks!E83="","",Picks!E83)</f>
        <v>x</v>
      </c>
      <c r="F83" s="128">
        <f>IF(Picks!F83="","",Picks!F83)</f>
        <v>-7</v>
      </c>
      <c r="G83" s="129">
        <f>IF(Picks!G83="","",Picks!G83)</f>
        <v>197.96153846153845</v>
      </c>
    </row>
    <row r="84" spans="1:7" x14ac:dyDescent="0.25">
      <c r="A84" s="132"/>
      <c r="B84" s="68" t="str">
        <f>IF(Picks!B84="","",Picks!B84)</f>
        <v>Chelsea draw</v>
      </c>
      <c r="C84" s="90" t="str">
        <f>IF(Picks!C84="","",Picks!C84)</f>
        <v>17/4</v>
      </c>
      <c r="D84" s="122">
        <f>IF(Picks!D84="","",Picks!D84)</f>
        <v>5.25</v>
      </c>
      <c r="E84" s="100" t="str">
        <f>IF(Picks!E84="","",Picks!E84)</f>
        <v>x</v>
      </c>
      <c r="F84" s="155" t="str">
        <f>IF(Picks!F84="","",Picks!F84)</f>
        <v/>
      </c>
      <c r="G84" s="51" t="str">
        <f>IF(Picks!G84="","",Picks!G84)</f>
        <v/>
      </c>
    </row>
    <row r="85" spans="1:7" ht="13.8" thickBot="1" x14ac:dyDescent="0.3">
      <c r="A85" s="156"/>
      <c r="B85" s="149" t="str">
        <f>IF(Picks!B85="","",Picks!B85)</f>
        <v>Burnley</v>
      </c>
      <c r="C85" s="150" t="str">
        <f>IF(Picks!C85="","",Picks!C85)</f>
        <v>24/5</v>
      </c>
      <c r="D85" s="151">
        <f>IF(Picks!D85="","",Picks!D85)</f>
        <v>5.8</v>
      </c>
      <c r="E85" s="100" t="str">
        <f>IF(Picks!E85="","",Picks!E85)</f>
        <v>x</v>
      </c>
      <c r="F85" s="155" t="str">
        <f>IF(Picks!F85="","",Picks!F85)</f>
        <v/>
      </c>
      <c r="G85" s="51" t="str">
        <f>IF(Picks!G85="","",Picks!G85)</f>
        <v/>
      </c>
    </row>
    <row r="86" spans="1:7" ht="14.4" thickTop="1" thickBot="1" x14ac:dyDescent="0.3">
      <c r="A86" s="132" t="str">
        <f>IF(Picks!A86="","",Picks!A86)</f>
        <v>John Brown</v>
      </c>
      <c r="B86" s="130" t="str">
        <f>IF(Picks!B86="","",Picks!B86)</f>
        <v>Plymouth</v>
      </c>
      <c r="C86" s="90" t="str">
        <f>IF(Picks!C86="","",Picks!C86)</f>
        <v>5/4</v>
      </c>
      <c r="D86" s="126">
        <f>IF(Picks!D86="","",Picks!D86)</f>
        <v>2.25</v>
      </c>
      <c r="E86" s="131" t="str">
        <f>IF(Picks!E86="","",Picks!E86)</f>
        <v>√</v>
      </c>
      <c r="F86" s="128">
        <f>IF(Picks!F86="","",Picks!F86)</f>
        <v>2.4000000000000004</v>
      </c>
      <c r="G86" s="129">
        <f>IF(Picks!G86="","",Picks!G86)</f>
        <v>32.56</v>
      </c>
    </row>
    <row r="87" spans="1:7" x14ac:dyDescent="0.25">
      <c r="A87" s="132"/>
      <c r="B87" s="68" t="str">
        <f>IF(Picks!B87="","",Picks!B87)</f>
        <v>MK Dons</v>
      </c>
      <c r="C87" s="90" t="str">
        <f>IF(Picks!C87="","",Picks!C87)</f>
        <v>6/5</v>
      </c>
      <c r="D87" s="122">
        <f>IF(Picks!D87="","",Picks!D87)</f>
        <v>2.2000000000000002</v>
      </c>
      <c r="E87" s="100" t="str">
        <f>IF(Picks!E87="","",Picks!E87)</f>
        <v>√</v>
      </c>
      <c r="F87" s="155" t="str">
        <f>IF(Picks!F87="","",Picks!F87)</f>
        <v/>
      </c>
      <c r="G87" s="51" t="str">
        <f>IF(Picks!G87="","",Picks!G87)</f>
        <v/>
      </c>
    </row>
    <row r="88" spans="1:7" ht="13.8" thickBot="1" x14ac:dyDescent="0.3">
      <c r="A88" s="156"/>
      <c r="B88" s="149" t="str">
        <f>IF(Picks!B88="","",Picks!B88)</f>
        <v>Shrewsbury</v>
      </c>
      <c r="C88" s="150" t="str">
        <f>IF(Picks!C88="","",Picks!C88)</f>
        <v>19/10</v>
      </c>
      <c r="D88" s="151">
        <f>IF(Picks!D88="","",Picks!D88)</f>
        <v>2.9</v>
      </c>
      <c r="E88" s="100" t="str">
        <f>IF(Picks!E88="","",Picks!E88)</f>
        <v>x</v>
      </c>
      <c r="F88" s="155" t="str">
        <f>IF(Picks!F88="","",Picks!F88)</f>
        <v/>
      </c>
      <c r="G88" s="51" t="str">
        <f>IF(Picks!G88="","",Picks!G88)</f>
        <v/>
      </c>
    </row>
    <row r="89" spans="1:7" ht="14.4" thickTop="1" thickBot="1" x14ac:dyDescent="0.3">
      <c r="A89" s="132" t="str">
        <f>IF(Picks!A89="","",Picks!A89)</f>
        <v>John Evans</v>
      </c>
      <c r="B89" s="130" t="str">
        <f>IF(Picks!B89="","",Picks!B89)</f>
        <v>West Ham</v>
      </c>
      <c r="C89" s="90" t="str">
        <f>IF(Picks!C89="","",Picks!C89)</f>
        <v>11/8</v>
      </c>
      <c r="D89" s="126">
        <f>IF(Picks!D89="","",Picks!D89)</f>
        <v>2.375</v>
      </c>
      <c r="E89" s="131" t="str">
        <f>IF(Picks!E89="","",Picks!E89)</f>
        <v>√</v>
      </c>
      <c r="F89" s="128">
        <f>IF(Picks!F89="","",Picks!F89)</f>
        <v>25.969374999999999</v>
      </c>
      <c r="G89" s="129">
        <f>IF(Picks!G89="","",Picks!G89)</f>
        <v>25.969374999999999</v>
      </c>
    </row>
    <row r="90" spans="1:7" x14ac:dyDescent="0.25">
      <c r="A90" s="132"/>
      <c r="B90" s="68" t="str">
        <f>IF(Picks!B90="","",Picks!B90)</f>
        <v>Wycombe</v>
      </c>
      <c r="C90" s="90" t="str">
        <f>IF(Picks!C90="","",Picks!C90)</f>
        <v>21/20</v>
      </c>
      <c r="D90" s="122">
        <f>IF(Picks!D90="","",Picks!D90)</f>
        <v>2.0499999999999998</v>
      </c>
      <c r="E90" s="100" t="str">
        <f>IF(Picks!E90="","",Picks!E90)</f>
        <v>√</v>
      </c>
      <c r="F90" s="155" t="str">
        <f>IF(Picks!F90="","",Picks!F90)</f>
        <v/>
      </c>
      <c r="G90" s="51" t="str">
        <f>IF(Picks!G90="","",Picks!G90)</f>
        <v/>
      </c>
    </row>
    <row r="91" spans="1:7" ht="13.8" thickBot="1" x14ac:dyDescent="0.3">
      <c r="A91" s="156"/>
      <c r="B91" s="149" t="str">
        <f>IF(Picks!B91="","",Picks!B91)</f>
        <v>Wigan</v>
      </c>
      <c r="C91" s="150" t="str">
        <f>IF(Picks!C91="","",Picks!C91)</f>
        <v>13/10</v>
      </c>
      <c r="D91" s="151">
        <f>IF(Picks!D91="","",Picks!D91)</f>
        <v>2.2999999999999998</v>
      </c>
      <c r="E91" s="100" t="str">
        <f>IF(Picks!E91="","",Picks!E91)</f>
        <v>√</v>
      </c>
      <c r="F91" s="155" t="str">
        <f>IF(Picks!F91="","",Picks!F91)</f>
        <v/>
      </c>
      <c r="G91" s="51" t="str">
        <f>IF(Picks!G91="","",Picks!G91)</f>
        <v/>
      </c>
    </row>
    <row r="92" spans="1:7" ht="14.4" thickTop="1" thickBot="1" x14ac:dyDescent="0.3">
      <c r="A92" s="132" t="str">
        <f>IF(Picks!A92="","",Picks!A92)</f>
        <v>John Robinson</v>
      </c>
      <c r="B92" s="130" t="str">
        <f>IF(Picks!B92="","",Picks!B92)</f>
        <v/>
      </c>
      <c r="C92" s="90" t="str">
        <f>IF(Picks!C92="","",Picks!C92)</f>
        <v/>
      </c>
      <c r="D92" s="126" t="str">
        <f>IF(Picks!D92="","",Picks!D92)</f>
        <v/>
      </c>
      <c r="E92" s="131" t="str">
        <f>IF(Picks!E92="","",Picks!E92)</f>
        <v/>
      </c>
      <c r="F92" s="128">
        <f>IF(Picks!F92="","",Picks!F92)</f>
        <v>-10</v>
      </c>
      <c r="G92" s="129" t="str">
        <f>IF(Picks!G92="","",Picks!G92)</f>
        <v/>
      </c>
    </row>
    <row r="93" spans="1:7" x14ac:dyDescent="0.25">
      <c r="A93" s="132"/>
      <c r="B93" s="68" t="str">
        <f>IF(Picks!B93="","",Picks!B93)</f>
        <v/>
      </c>
      <c r="C93" s="90" t="str">
        <f>IF(Picks!C93="","",Picks!C93)</f>
        <v/>
      </c>
      <c r="D93" s="122" t="str">
        <f>IF(Picks!D93="","",Picks!D93)</f>
        <v/>
      </c>
      <c r="E93" s="100" t="str">
        <f>IF(Picks!E93="","",Picks!E93)</f>
        <v/>
      </c>
      <c r="F93" s="155" t="str">
        <f>IF(Picks!F93="","",Picks!F93)</f>
        <v/>
      </c>
      <c r="G93" s="51" t="str">
        <f>IF(Picks!G93="","",Picks!G93)</f>
        <v/>
      </c>
    </row>
    <row r="94" spans="1:7" ht="13.8" thickBot="1" x14ac:dyDescent="0.3">
      <c r="A94" s="156"/>
      <c r="B94" s="149" t="str">
        <f>IF(Picks!B94="","",Picks!B94)</f>
        <v/>
      </c>
      <c r="C94" s="150" t="str">
        <f>IF(Picks!C94="","",Picks!C94)</f>
        <v/>
      </c>
      <c r="D94" s="151" t="str">
        <f>IF(Picks!D94="","",Picks!D94)</f>
        <v/>
      </c>
      <c r="E94" s="100" t="str">
        <f>IF(Picks!E94="","",Picks!E94)</f>
        <v/>
      </c>
      <c r="F94" s="155" t="str">
        <f>IF(Picks!F94="","",Picks!F94)</f>
        <v/>
      </c>
      <c r="G94" s="51" t="str">
        <f>IF(Picks!G94="","",Picks!G94)</f>
        <v/>
      </c>
    </row>
    <row r="95" spans="1:7" ht="14.4" thickTop="1" thickBot="1" x14ac:dyDescent="0.3">
      <c r="A95" s="132" t="str">
        <f>IF(Picks!A95="","",Picks!A95)</f>
        <v>John Ronan</v>
      </c>
      <c r="B95" s="130" t="str">
        <f>IF(Picks!B95="","",Picks!B95)</f>
        <v>Crawley</v>
      </c>
      <c r="C95" s="90" t="str">
        <f>IF(Picks!C95="","",Picks!C95)</f>
        <v>3/1</v>
      </c>
      <c r="D95" s="126">
        <f>IF(Picks!D95="","",Picks!D95)</f>
        <v>4</v>
      </c>
      <c r="E95" s="131" t="str">
        <f>IF(Picks!E95="","",Picks!E95)</f>
        <v>√</v>
      </c>
      <c r="F95" s="128">
        <f>IF(Picks!F95="","",Picks!F95)</f>
        <v>-3</v>
      </c>
      <c r="G95" s="129">
        <f>IF(Picks!G95="","",Picks!G95)</f>
        <v>57.625</v>
      </c>
    </row>
    <row r="96" spans="1:7" x14ac:dyDescent="0.25">
      <c r="A96" s="132"/>
      <c r="B96" s="68" t="str">
        <f>IF(Picks!B96="","",Picks!B96)</f>
        <v>Reading</v>
      </c>
      <c r="C96" s="90" t="str">
        <f>IF(Picks!C96="","",Picks!C96)</f>
        <v>7/4</v>
      </c>
      <c r="D96" s="122">
        <f>IF(Picks!D96="","",Picks!D96)</f>
        <v>2.75</v>
      </c>
      <c r="E96" s="100" t="str">
        <f>IF(Picks!E96="","",Picks!E96)</f>
        <v>x</v>
      </c>
      <c r="F96" s="155" t="str">
        <f>IF(Picks!F96="","",Picks!F96)</f>
        <v/>
      </c>
      <c r="G96" s="51" t="str">
        <f>IF(Picks!G96="","",Picks!G96)</f>
        <v/>
      </c>
    </row>
    <row r="97" spans="1:7" ht="13.8" thickBot="1" x14ac:dyDescent="0.3">
      <c r="A97" s="156"/>
      <c r="B97" s="149" t="str">
        <f>IF(Picks!B97="","",Picks!B97)</f>
        <v>Villa</v>
      </c>
      <c r="C97" s="150" t="str">
        <f>IF(Picks!C97="","",Picks!C97)</f>
        <v>6/4</v>
      </c>
      <c r="D97" s="151">
        <f>IF(Picks!D97="","",Picks!D97)</f>
        <v>2.5</v>
      </c>
      <c r="E97" s="100" t="str">
        <f>IF(Picks!E97="","",Picks!E97)</f>
        <v>x</v>
      </c>
      <c r="F97" s="155" t="str">
        <f>IF(Picks!F97="","",Picks!F97)</f>
        <v/>
      </c>
      <c r="G97" s="51" t="str">
        <f>IF(Picks!G97="","",Picks!G97)</f>
        <v/>
      </c>
    </row>
    <row r="98" spans="1:7" ht="14.4" thickTop="1" thickBot="1" x14ac:dyDescent="0.3">
      <c r="A98" s="132" t="str">
        <f>IF(Picks!A98="","",Picks!A98)</f>
        <v>Kei Lok Ma</v>
      </c>
      <c r="B98" s="130" t="str">
        <f>IF(Picks!B98="","",Picks!B98)</f>
        <v>West Ham</v>
      </c>
      <c r="C98" s="90" t="str">
        <f>IF(Picks!C98="","",Picks!C98)</f>
        <v>11/8</v>
      </c>
      <c r="D98" s="126">
        <f>IF(Picks!D98="","",Picks!D98)</f>
        <v>2.375</v>
      </c>
      <c r="E98" s="131" t="str">
        <f>IF(Picks!E98="","",Picks!E98)</f>
        <v>√</v>
      </c>
      <c r="F98" s="128">
        <f>IF(Picks!F98="","",Picks!F98)</f>
        <v>-4.625</v>
      </c>
      <c r="G98" s="129">
        <f>IF(Picks!G98="","",Picks!G98)</f>
        <v>81.6484375</v>
      </c>
    </row>
    <row r="99" spans="1:7" x14ac:dyDescent="0.25">
      <c r="A99" s="132"/>
      <c r="B99" s="68" t="str">
        <f>IF(Picks!B99="","",Picks!B99)</f>
        <v>Cardiff draw</v>
      </c>
      <c r="C99" s="90" t="str">
        <f>IF(Picks!C99="","",Picks!C99)</f>
        <v>9/4</v>
      </c>
      <c r="D99" s="122">
        <f>IF(Picks!D99="","",Picks!D99)</f>
        <v>3.25</v>
      </c>
      <c r="E99" s="100" t="str">
        <f>IF(Picks!E99="","",Picks!E99)</f>
        <v>x</v>
      </c>
      <c r="F99" s="155" t="str">
        <f>IF(Picks!F99="","",Picks!F99)</f>
        <v/>
      </c>
      <c r="G99" s="51" t="str">
        <f>IF(Picks!G99="","",Picks!G99)</f>
        <v/>
      </c>
    </row>
    <row r="100" spans="1:7" ht="13.8" thickBot="1" x14ac:dyDescent="0.3">
      <c r="A100" s="156"/>
      <c r="B100" s="149" t="str">
        <f>IF(Picks!B100="","",Picks!B100)</f>
        <v>Chelsea draw</v>
      </c>
      <c r="C100" s="150" t="str">
        <f>IF(Picks!C100="","",Picks!C100)</f>
        <v>17/4</v>
      </c>
      <c r="D100" s="151">
        <f>IF(Picks!D100="","",Picks!D100)</f>
        <v>5.25</v>
      </c>
      <c r="E100" s="100" t="str">
        <f>IF(Picks!E100="","",Picks!E100)</f>
        <v>x</v>
      </c>
      <c r="F100" s="155" t="str">
        <f>IF(Picks!F100="","",Picks!F100)</f>
        <v/>
      </c>
      <c r="G100" s="51" t="str">
        <f>IF(Picks!G100="","",Picks!G100)</f>
        <v/>
      </c>
    </row>
    <row r="101" spans="1:7" ht="14.4" thickTop="1" thickBot="1" x14ac:dyDescent="0.3">
      <c r="A101" s="132" t="str">
        <f>IF(Picks!A101="","",Picks!A101)</f>
        <v>Kevin Carter</v>
      </c>
      <c r="B101" s="130" t="str">
        <f>IF(Picks!B101="","",Picks!B101)</f>
        <v>Palace</v>
      </c>
      <c r="C101" s="90" t="str">
        <f>IF(Picks!C101="","",Picks!C101)</f>
        <v>8/5</v>
      </c>
      <c r="D101" s="126">
        <f>IF(Picks!D101="","",Picks!D101)</f>
        <v>2.6</v>
      </c>
      <c r="E101" s="131" t="str">
        <f>IF(Picks!E101="","",Picks!E101)</f>
        <v>√</v>
      </c>
      <c r="F101" s="128">
        <f>IF(Picks!F101="","",Picks!F101)</f>
        <v>104.75200000000001</v>
      </c>
      <c r="G101" s="129">
        <f>IF(Picks!G101="","",Picks!G101)</f>
        <v>104.75200000000001</v>
      </c>
    </row>
    <row r="102" spans="1:7" x14ac:dyDescent="0.25">
      <c r="A102" s="132"/>
      <c r="B102" s="68" t="str">
        <f>IF(Picks!B102="","",Picks!B102)</f>
        <v>Bournemouth</v>
      </c>
      <c r="C102" s="90" t="str">
        <f>IF(Picks!C102="","",Picks!C102)</f>
        <v>17/5</v>
      </c>
      <c r="D102" s="122">
        <f>IF(Picks!D102="","",Picks!D102)</f>
        <v>4.4000000000000004</v>
      </c>
      <c r="E102" s="100" t="str">
        <f>IF(Picks!E102="","",Picks!E102)</f>
        <v>√</v>
      </c>
      <c r="F102" s="155" t="str">
        <f>IF(Picks!F102="","",Picks!F102)</f>
        <v/>
      </c>
      <c r="G102" s="51" t="str">
        <f>IF(Picks!G102="","",Picks!G102)</f>
        <v/>
      </c>
    </row>
    <row r="103" spans="1:7" ht="13.8" thickBot="1" x14ac:dyDescent="0.3">
      <c r="A103" s="156"/>
      <c r="B103" s="149" t="str">
        <f>IF(Picks!B103="","",Picks!B103)</f>
        <v>Arsenal draw</v>
      </c>
      <c r="C103" s="150" t="str">
        <f>IF(Picks!C103="","",Picks!C103)</f>
        <v>19/5</v>
      </c>
      <c r="D103" s="151">
        <f>IF(Picks!D103="","",Picks!D103)</f>
        <v>4.8</v>
      </c>
      <c r="E103" s="100" t="str">
        <f>IF(Picks!E103="","",Picks!E103)</f>
        <v>√</v>
      </c>
      <c r="F103" s="155" t="str">
        <f>IF(Picks!F103="","",Picks!F103)</f>
        <v/>
      </c>
      <c r="G103" s="51" t="str">
        <f>IF(Picks!G103="","",Picks!G103)</f>
        <v/>
      </c>
    </row>
    <row r="104" spans="1:7" ht="14.4" thickTop="1" thickBot="1" x14ac:dyDescent="0.3">
      <c r="A104" s="132" t="str">
        <f>IF(Picks!A104="","",Picks!A104)</f>
        <v>Lennie Bow</v>
      </c>
      <c r="B104" s="130" t="str">
        <f>IF(Picks!B104="","",Picks!B104)</f>
        <v>Charlton</v>
      </c>
      <c r="C104" s="90" t="str">
        <f>IF(Picks!C104="","",Picks!C104)</f>
        <v>3/4</v>
      </c>
      <c r="D104" s="126">
        <f>IF(Picks!D104="","",Picks!D104)</f>
        <v>1.75</v>
      </c>
      <c r="E104" s="131" t="str">
        <f>IF(Picks!E104="","",Picks!E104)</f>
        <v>√</v>
      </c>
      <c r="F104" s="128">
        <f>IF(Picks!F104="","",Picks!F104)</f>
        <v>0.52500000000000036</v>
      </c>
      <c r="G104" s="129">
        <f>IF(Picks!G104="","",Picks!G104)</f>
        <v>16.263461538461542</v>
      </c>
    </row>
    <row r="105" spans="1:7" x14ac:dyDescent="0.25">
      <c r="A105" s="132"/>
      <c r="B105" s="68" t="str">
        <f>IF(Picks!B105="","",Picks!B105)</f>
        <v>Brentford</v>
      </c>
      <c r="C105" s="90" t="str">
        <f>IF(Picks!C105="","",Picks!C105)</f>
        <v>11/10</v>
      </c>
      <c r="D105" s="122">
        <f>IF(Picks!D105="","",Picks!D105)</f>
        <v>2.1</v>
      </c>
      <c r="E105" s="100" t="str">
        <f>IF(Picks!E105="","",Picks!E105)</f>
        <v>√</v>
      </c>
      <c r="F105" s="155" t="str">
        <f>IF(Picks!F105="","",Picks!F105)</f>
        <v/>
      </c>
      <c r="G105" s="51" t="str">
        <f>IF(Picks!G105="","",Picks!G105)</f>
        <v/>
      </c>
    </row>
    <row r="106" spans="1:7" ht="13.8" thickBot="1" x14ac:dyDescent="0.3">
      <c r="A106" s="156"/>
      <c r="B106" s="149" t="str">
        <f>IF(Picks!B106="","",Picks!B106)</f>
        <v>Sheff W</v>
      </c>
      <c r="C106" s="150" t="str">
        <f>IF(Picks!C106="","",Picks!C106)</f>
        <v>11/13</v>
      </c>
      <c r="D106" s="151">
        <f>IF(Picks!D106="","",Picks!D106)</f>
        <v>1.8461538461538463</v>
      </c>
      <c r="E106" s="100" t="str">
        <f>IF(Picks!E106="","",Picks!E106)</f>
        <v>x</v>
      </c>
      <c r="F106" s="155" t="str">
        <f>IF(Picks!F106="","",Picks!F106)</f>
        <v/>
      </c>
      <c r="G106" s="51" t="str">
        <f>IF(Picks!G106="","",Picks!G106)</f>
        <v/>
      </c>
    </row>
    <row r="107" spans="1:7" ht="14.4" thickTop="1" thickBot="1" x14ac:dyDescent="0.3">
      <c r="A107" s="132" t="str">
        <f>IF(Picks!A107="","",Picks!A107)</f>
        <v>Liam Wah</v>
      </c>
      <c r="B107" s="130" t="str">
        <f>IF(Picks!B107="","",Picks!B107)</f>
        <v>Bournemouth</v>
      </c>
      <c r="C107" s="90" t="str">
        <f>IF(Picks!C107="","",Picks!C107)</f>
        <v>17/5</v>
      </c>
      <c r="D107" s="126">
        <f>IF(Picks!D107="","",Picks!D107)</f>
        <v>4.4000000000000004</v>
      </c>
      <c r="E107" s="131" t="str">
        <f>IF(Picks!E107="","",Picks!E107)</f>
        <v>√</v>
      </c>
      <c r="F107" s="128">
        <f>IF(Picks!F107="","",Picks!F107)</f>
        <v>15.760000000000002</v>
      </c>
      <c r="G107" s="129">
        <f>IF(Picks!G107="","",Picks!G107)</f>
        <v>87.04</v>
      </c>
    </row>
    <row r="108" spans="1:7" x14ac:dyDescent="0.25">
      <c r="A108" s="132"/>
      <c r="B108" s="68" t="str">
        <f>IF(Picks!B108="","",Picks!B108)</f>
        <v>Forest Green draw</v>
      </c>
      <c r="C108" s="90" t="str">
        <f>IF(Picks!C108="","",Picks!C108)</f>
        <v>12/5</v>
      </c>
      <c r="D108" s="122">
        <f>IF(Picks!D108="","",Picks!D108)</f>
        <v>3.4</v>
      </c>
      <c r="E108" s="100" t="str">
        <f>IF(Picks!E108="","",Picks!E108)</f>
        <v>√</v>
      </c>
      <c r="F108" s="155" t="str">
        <f>IF(Picks!F108="","",Picks!F108)</f>
        <v/>
      </c>
      <c r="G108" s="51" t="str">
        <f>IF(Picks!G108="","",Picks!G108)</f>
        <v/>
      </c>
    </row>
    <row r="109" spans="1:7" ht="13.8" thickBot="1" x14ac:dyDescent="0.3">
      <c r="A109" s="156"/>
      <c r="B109" s="149" t="str">
        <f>IF(Picks!B109="","",Picks!B109)</f>
        <v>Crewe</v>
      </c>
      <c r="C109" s="150" t="str">
        <f>IF(Picks!C109="","",Picks!C109)</f>
        <v>2/1</v>
      </c>
      <c r="D109" s="151">
        <f>IF(Picks!D109="","",Picks!D109)</f>
        <v>3</v>
      </c>
      <c r="E109" s="100" t="str">
        <f>IF(Picks!E109="","",Picks!E109)</f>
        <v>x</v>
      </c>
      <c r="F109" s="155" t="str">
        <f>IF(Picks!F109="","",Picks!F109)</f>
        <v/>
      </c>
      <c r="G109" s="51" t="str">
        <f>IF(Picks!G109="","",Picks!G109)</f>
        <v/>
      </c>
    </row>
    <row r="110" spans="1:7" ht="14.4" thickTop="1" thickBot="1" x14ac:dyDescent="0.3">
      <c r="A110" s="132" t="str">
        <f>IF(Picks!A110="","",Picks!A110)</f>
        <v>Mal Stott</v>
      </c>
      <c r="B110" s="130" t="str">
        <f>IF(Picks!B110="","",Picks!B110)</f>
        <v>Sunderland</v>
      </c>
      <c r="C110" s="90" t="str">
        <f>IF(Picks!C110="","",Picks!C110)</f>
        <v>6/5</v>
      </c>
      <c r="D110" s="126">
        <f>IF(Picks!D110="","",Picks!D110)</f>
        <v>2.2000000000000002</v>
      </c>
      <c r="E110" s="131" t="str">
        <f>IF(Picks!E110="","",Picks!E110)</f>
        <v>x</v>
      </c>
      <c r="F110" s="128">
        <f>IF(Picks!F110="","",Picks!F110)</f>
        <v>3.879999999999999</v>
      </c>
      <c r="G110" s="129">
        <f>IF(Picks!G110="","",Picks!G110)</f>
        <v>30.015999999999998</v>
      </c>
    </row>
    <row r="111" spans="1:7" x14ac:dyDescent="0.25">
      <c r="A111" s="132"/>
      <c r="B111" s="68" t="str">
        <f>IF(Picks!B111="","",Picks!B111)</f>
        <v>Swindon</v>
      </c>
      <c r="C111" s="90" t="str">
        <f>IF(Picks!C111="","",Picks!C111)</f>
        <v>8/5</v>
      </c>
      <c r="D111" s="122">
        <f>IF(Picks!D111="","",Picks!D111)</f>
        <v>2.6</v>
      </c>
      <c r="E111" s="100" t="str">
        <f>IF(Picks!E111="","",Picks!E111)</f>
        <v>√</v>
      </c>
      <c r="F111" s="155" t="str">
        <f>IF(Picks!F111="","",Picks!F111)</f>
        <v/>
      </c>
      <c r="G111" s="51" t="str">
        <f>IF(Picks!G111="","",Picks!G111)</f>
        <v/>
      </c>
    </row>
    <row r="112" spans="1:7" ht="13.8" thickBot="1" x14ac:dyDescent="0.3">
      <c r="A112" s="156"/>
      <c r="B112" s="149" t="str">
        <f>IF(Picks!B112="","",Picks!B112)</f>
        <v>Wigan</v>
      </c>
      <c r="C112" s="150" t="str">
        <f>IF(Picks!C112="","",Picks!C112)</f>
        <v>13/10</v>
      </c>
      <c r="D112" s="151">
        <f>IF(Picks!D112="","",Picks!D112)</f>
        <v>2.2999999999999998</v>
      </c>
      <c r="E112" s="100" t="str">
        <f>IF(Picks!E112="","",Picks!E112)</f>
        <v>√</v>
      </c>
      <c r="F112" s="155" t="str">
        <f>IF(Picks!F112="","",Picks!F112)</f>
        <v/>
      </c>
      <c r="G112" s="51" t="str">
        <f>IF(Picks!G112="","",Picks!G112)</f>
        <v/>
      </c>
    </row>
    <row r="113" spans="1:7" ht="14.4" thickTop="1" thickBot="1" x14ac:dyDescent="0.3">
      <c r="A113" s="132" t="str">
        <f>IF(Picks!A113="","",Picks!A113)</f>
        <v>Mark Bunn</v>
      </c>
      <c r="B113" s="130" t="str">
        <f>IF(Picks!B113="","",Picks!B113)</f>
        <v>Forest Green draw</v>
      </c>
      <c r="C113" s="90" t="str">
        <f>IF(Picks!C113="","",Picks!C113)</f>
        <v>12/5</v>
      </c>
      <c r="D113" s="126">
        <f>IF(Picks!D113="","",Picks!D113)</f>
        <v>3.4</v>
      </c>
      <c r="E113" s="131" t="str">
        <f>IF(Picks!E113="","",Picks!E113)</f>
        <v>√</v>
      </c>
      <c r="F113" s="128">
        <f>IF(Picks!F113="","",Picks!F113)</f>
        <v>11.8</v>
      </c>
      <c r="G113" s="129">
        <f>IF(Picks!G113="","",Picks!G113)</f>
        <v>77.139999999999986</v>
      </c>
    </row>
    <row r="114" spans="1:7" x14ac:dyDescent="0.25">
      <c r="A114" s="132"/>
      <c r="B114" s="68" t="str">
        <f>IF(Picks!B114="","",Picks!B114)</f>
        <v>MK Dons draw</v>
      </c>
      <c r="C114" s="90" t="str">
        <f>IF(Picks!C114="","",Picks!C114)</f>
        <v>23/10</v>
      </c>
      <c r="D114" s="122">
        <f>IF(Picks!D114="","",Picks!D114)</f>
        <v>3.3</v>
      </c>
      <c r="E114" s="100" t="str">
        <f>IF(Picks!E114="","",Picks!E114)</f>
        <v>x</v>
      </c>
      <c r="F114" s="155" t="str">
        <f>IF(Picks!F114="","",Picks!F114)</f>
        <v/>
      </c>
      <c r="G114" s="51" t="str">
        <f>IF(Picks!G114="","",Picks!G114)</f>
        <v/>
      </c>
    </row>
    <row r="115" spans="1:7" ht="13.8" thickBot="1" x14ac:dyDescent="0.3">
      <c r="A115" s="156"/>
      <c r="B115" s="68" t="str">
        <f>IF(Picks!B115="","",Picks!B115)</f>
        <v>Blackburn draw</v>
      </c>
      <c r="C115" s="150" t="str">
        <f>IF(Picks!C115="","",Picks!C115)</f>
        <v>5/2</v>
      </c>
      <c r="D115" s="151">
        <f>IF(Picks!D115="","",Picks!D115)</f>
        <v>3.5</v>
      </c>
      <c r="E115" s="100" t="str">
        <f>IF(Picks!E115="","",Picks!E115)</f>
        <v>√</v>
      </c>
      <c r="F115" s="155" t="str">
        <f>IF(Picks!F115="","",Picks!F115)</f>
        <v/>
      </c>
      <c r="G115" s="51" t="str">
        <f>IF(Picks!G115="","",Picks!G115)</f>
        <v/>
      </c>
    </row>
    <row r="116" spans="1:7" ht="14.4" thickTop="1" thickBot="1" x14ac:dyDescent="0.3">
      <c r="A116" s="132" t="str">
        <f>IF(Picks!A116="","",Picks!A116)</f>
        <v>Mark Saunders</v>
      </c>
      <c r="B116" s="130" t="str">
        <f>IF(Picks!B116="","",Picks!B116)</f>
        <v>Everton draw</v>
      </c>
      <c r="C116" s="90" t="str">
        <f>IF(Picks!C116="","",Picks!C116)</f>
        <v>3/1</v>
      </c>
      <c r="D116" s="126">
        <f>IF(Picks!D116="","",Picks!D116)</f>
        <v>4</v>
      </c>
      <c r="E116" s="131" t="str">
        <f>IF(Picks!E116="","",Picks!E116)</f>
        <v>x</v>
      </c>
      <c r="F116" s="128">
        <f>IF(Picks!F116="","",Picks!F116)</f>
        <v>-3.5</v>
      </c>
      <c r="G116" s="129">
        <f>IF(Picks!G116="","",Picks!G116)</f>
        <v>127</v>
      </c>
    </row>
    <row r="117" spans="1:7" x14ac:dyDescent="0.25">
      <c r="A117" s="132"/>
      <c r="B117" s="68" t="str">
        <f>IF(Picks!B117="","",Picks!B117)</f>
        <v>Newcastle draw</v>
      </c>
      <c r="C117" s="90" t="str">
        <f>IF(Picks!C117="","",Picks!C117)</f>
        <v>4/1</v>
      </c>
      <c r="D117" s="122">
        <f>IF(Picks!D117="","",Picks!D117)</f>
        <v>5</v>
      </c>
      <c r="E117" s="100" t="str">
        <f>IF(Picks!E117="","",Picks!E117)</f>
        <v>x</v>
      </c>
      <c r="F117" s="155" t="str">
        <f>IF(Picks!F117="","",Picks!F117)</f>
        <v/>
      </c>
      <c r="G117" s="51" t="str">
        <f>IF(Picks!G117="","",Picks!G117)</f>
        <v/>
      </c>
    </row>
    <row r="118" spans="1:7" ht="13.8" thickBot="1" x14ac:dyDescent="0.3">
      <c r="A118" s="156"/>
      <c r="B118" s="149" t="str">
        <f>IF(Picks!B118="","",Picks!B118)</f>
        <v>Blackburn draw</v>
      </c>
      <c r="C118" s="150" t="str">
        <f>IF(Picks!C118="","",Picks!C118)</f>
        <v>5/2</v>
      </c>
      <c r="D118" s="151">
        <f>IF(Picks!D118="","",Picks!D118)</f>
        <v>3.5</v>
      </c>
      <c r="E118" s="100" t="str">
        <f>IF(Picks!E118="","",Picks!E118)</f>
        <v>√</v>
      </c>
      <c r="F118" s="155" t="str">
        <f>IF(Picks!F118="","",Picks!F118)</f>
        <v/>
      </c>
      <c r="G118" s="51" t="str">
        <f>IF(Picks!G118="","",Picks!G118)</f>
        <v/>
      </c>
    </row>
    <row r="119" spans="1:7" ht="14.4" thickTop="1" thickBot="1" x14ac:dyDescent="0.3">
      <c r="A119" s="132" t="str">
        <f>IF(Picks!A119="","",Picks!A119)</f>
        <v>Martin Molyneux</v>
      </c>
      <c r="B119" s="130" t="str">
        <f>IF(Picks!B119="","",Picks!B119)</f>
        <v/>
      </c>
      <c r="C119" s="90" t="str">
        <f>IF(Picks!C119="","",Picks!C119)</f>
        <v/>
      </c>
      <c r="D119" s="126" t="str">
        <f>IF(Picks!D119="","",Picks!D119)</f>
        <v/>
      </c>
      <c r="E119" s="131" t="str">
        <f>IF(Picks!E119="","",Picks!E119)</f>
        <v/>
      </c>
      <c r="F119" s="128">
        <f>IF(Picks!F119="","",Picks!F119)</f>
        <v>-10</v>
      </c>
      <c r="G119" s="129" t="str">
        <f>IF(Picks!G119="","",Picks!G119)</f>
        <v/>
      </c>
    </row>
    <row r="120" spans="1:7" x14ac:dyDescent="0.25">
      <c r="A120" s="132"/>
      <c r="B120" s="68" t="str">
        <f>IF(Picks!B120="","",Picks!B120)</f>
        <v/>
      </c>
      <c r="C120" s="90" t="str">
        <f>IF(Picks!C120="","",Picks!C120)</f>
        <v/>
      </c>
      <c r="D120" s="122" t="str">
        <f>IF(Picks!D120="","",Picks!D120)</f>
        <v/>
      </c>
      <c r="E120" s="100" t="str">
        <f>IF(Picks!E120="","",Picks!E120)</f>
        <v/>
      </c>
      <c r="F120" s="155" t="str">
        <f>IF(Picks!F120="","",Picks!F120)</f>
        <v/>
      </c>
      <c r="G120" s="51" t="str">
        <f>IF(Picks!G120="","",Picks!G120)</f>
        <v/>
      </c>
    </row>
    <row r="121" spans="1:7" ht="13.8" thickBot="1" x14ac:dyDescent="0.3">
      <c r="A121" s="156"/>
      <c r="B121" s="149" t="str">
        <f>IF(Picks!B121="","",Picks!B121)</f>
        <v/>
      </c>
      <c r="C121" s="150" t="str">
        <f>IF(Picks!C121="","",Picks!C121)</f>
        <v/>
      </c>
      <c r="D121" s="151" t="str">
        <f>IF(Picks!D121="","",Picks!D121)</f>
        <v/>
      </c>
      <c r="E121" s="100" t="str">
        <f>IF(Picks!E121="","",Picks!E121)</f>
        <v/>
      </c>
      <c r="F121" s="155" t="str">
        <f>IF(Picks!F121="","",Picks!F121)</f>
        <v/>
      </c>
      <c r="G121" s="51" t="str">
        <f>IF(Picks!G121="","",Picks!G121)</f>
        <v/>
      </c>
    </row>
    <row r="122" spans="1:7" ht="14.4" thickTop="1" thickBot="1" x14ac:dyDescent="0.3">
      <c r="A122" s="132" t="str">
        <f>IF(Picks!A122="","",Picks!A122)</f>
        <v>Martin Tarbuck</v>
      </c>
      <c r="B122" s="130" t="str">
        <f>IF(Picks!B122="","",Picks!B122)</f>
        <v>Norwich</v>
      </c>
      <c r="C122" s="90" t="str">
        <f>IF(Picks!C122="","",Picks!C122)</f>
        <v>2/1</v>
      </c>
      <c r="D122" s="126">
        <f>IF(Picks!D122="","",Picks!D122)</f>
        <v>3</v>
      </c>
      <c r="E122" s="131" t="str">
        <f>IF(Picks!E122="","",Picks!E122)</f>
        <v>√</v>
      </c>
      <c r="F122" s="128">
        <f>IF(Picks!F122="","",Picks!F122)</f>
        <v>-4</v>
      </c>
      <c r="G122" s="129">
        <f>IF(Picks!G122="","",Picks!G122)</f>
        <v>48.639999999999993</v>
      </c>
    </row>
    <row r="123" spans="1:7" x14ac:dyDescent="0.25">
      <c r="A123" s="132"/>
      <c r="B123" s="68" t="str">
        <f>IF(Picks!B123="","",Picks!B123)</f>
        <v>Stoke</v>
      </c>
      <c r="C123" s="90" t="str">
        <f>IF(Picks!C123="","",Picks!C123)</f>
        <v>14/5</v>
      </c>
      <c r="D123" s="122">
        <f>IF(Picks!D123="","",Picks!D123)</f>
        <v>3.8</v>
      </c>
      <c r="E123" s="100" t="str">
        <f>IF(Picks!E123="","",Picks!E123)</f>
        <v>x</v>
      </c>
      <c r="F123" s="155" t="str">
        <f>IF(Picks!F123="","",Picks!F123)</f>
        <v/>
      </c>
      <c r="G123" s="51" t="str">
        <f>IF(Picks!G123="","",Picks!G123)</f>
        <v/>
      </c>
    </row>
    <row r="124" spans="1:7" ht="13.8" thickBot="1" x14ac:dyDescent="0.3">
      <c r="A124" s="156"/>
      <c r="B124" s="149" t="str">
        <f>IF(Picks!B124="","",Picks!B124)</f>
        <v>Carlisle</v>
      </c>
      <c r="C124" s="150" t="str">
        <f>IF(Picks!C124="","",Picks!C124)</f>
        <v>19/20</v>
      </c>
      <c r="D124" s="151">
        <f>IF(Picks!D124="","",Picks!D124)</f>
        <v>1.95</v>
      </c>
      <c r="E124" s="100" t="str">
        <f>IF(Picks!E124="","",Picks!E124)</f>
        <v>x</v>
      </c>
      <c r="F124" s="155" t="str">
        <f>IF(Picks!F124="","",Picks!F124)</f>
        <v/>
      </c>
      <c r="G124" s="51" t="str">
        <f>IF(Picks!G124="","",Picks!G124)</f>
        <v/>
      </c>
    </row>
    <row r="125" spans="1:7" ht="14.4" thickTop="1" thickBot="1" x14ac:dyDescent="0.3">
      <c r="A125" s="132" t="str">
        <f>IF(Picks!A125="","",Picks!A125)</f>
        <v>Mike Penk</v>
      </c>
      <c r="B125" s="130" t="str">
        <f>IF(Picks!B125="","",Picks!B125)</f>
        <v>Walsall</v>
      </c>
      <c r="C125" s="90" t="str">
        <f>IF(Picks!C125="","",Picks!C125)</f>
        <v>7/5</v>
      </c>
      <c r="D125" s="126">
        <f>IF(Picks!D125="","",Picks!D125)</f>
        <v>2.4</v>
      </c>
      <c r="E125" s="131" t="str">
        <f>IF(Picks!E125="","",Picks!E125)</f>
        <v>x</v>
      </c>
      <c r="F125" s="128">
        <f>IF(Picks!F125="","",Picks!F125)</f>
        <v>-7</v>
      </c>
      <c r="G125" s="129">
        <f>IF(Picks!G125="","",Picks!G125)</f>
        <v>40.156363636363636</v>
      </c>
    </row>
    <row r="126" spans="1:7" x14ac:dyDescent="0.25">
      <c r="A126" s="132"/>
      <c r="B126" s="68" t="str">
        <f>IF(Picks!B126="","",Picks!B126)</f>
        <v>Scunthorpe</v>
      </c>
      <c r="C126" s="90" t="str">
        <f>IF(Picks!C126="","",Picks!C126)</f>
        <v>21/10</v>
      </c>
      <c r="D126" s="122">
        <f>IF(Picks!D126="","",Picks!D126)</f>
        <v>3.1</v>
      </c>
      <c r="E126" s="100" t="str">
        <f>IF(Picks!E126="","",Picks!E126)</f>
        <v>x</v>
      </c>
      <c r="F126" s="155" t="str">
        <f>IF(Picks!F126="","",Picks!F126)</f>
        <v/>
      </c>
      <c r="G126" s="51" t="str">
        <f>IF(Picks!G126="","",Picks!G126)</f>
        <v/>
      </c>
    </row>
    <row r="127" spans="1:7" ht="13.8" thickBot="1" x14ac:dyDescent="0.3">
      <c r="A127" s="156"/>
      <c r="B127" s="149" t="str">
        <f>IF(Picks!B127="","",Picks!B127)</f>
        <v>Macclesfield</v>
      </c>
      <c r="C127" s="150" t="str">
        <f>IF(Picks!C127="","",Picks!C127)</f>
        <v>16/11</v>
      </c>
      <c r="D127" s="151">
        <f>IF(Picks!D127="","",Picks!D127)</f>
        <v>2.4545454545454546</v>
      </c>
      <c r="E127" s="100" t="str">
        <f>IF(Picks!E127="","",Picks!E127)</f>
        <v>x</v>
      </c>
      <c r="F127" s="155" t="str">
        <f>IF(Picks!F127="","",Picks!F127)</f>
        <v/>
      </c>
      <c r="G127" s="51" t="str">
        <f>IF(Picks!G127="","",Picks!G127)</f>
        <v/>
      </c>
    </row>
    <row r="128" spans="1:7" ht="14.4" thickTop="1" thickBot="1" x14ac:dyDescent="0.3">
      <c r="A128" s="132" t="str">
        <f>IF(Picks!A128="","",Picks!A128)</f>
        <v>Mo Sudell</v>
      </c>
      <c r="B128" s="130" t="str">
        <f>IF(Picks!B128="","",Picks!B128)</f>
        <v>Villa</v>
      </c>
      <c r="C128" s="90" t="str">
        <f>IF(Picks!C128="","",Picks!C128)</f>
        <v>6/4</v>
      </c>
      <c r="D128" s="126">
        <f>IF(Picks!D128="","",Picks!D128)</f>
        <v>2.5</v>
      </c>
      <c r="E128" s="131" t="str">
        <f>IF(Picks!E128="","",Picks!E128)</f>
        <v>x</v>
      </c>
      <c r="F128" s="128">
        <f>IF(Picks!F128="","",Picks!F128)</f>
        <v>-4.7</v>
      </c>
      <c r="G128" s="129">
        <f>IF(Picks!G128="","",Picks!G128)</f>
        <v>27.227499999999992</v>
      </c>
    </row>
    <row r="129" spans="1:7" x14ac:dyDescent="0.25">
      <c r="A129" s="132"/>
      <c r="B129" s="68" t="str">
        <f>IF(Picks!B129="","",Picks!B129)</f>
        <v>Wigan</v>
      </c>
      <c r="C129" s="90" t="str">
        <f>IF(Picks!C129="","",Picks!C129)</f>
        <v>13/10</v>
      </c>
      <c r="D129" s="122">
        <f>IF(Picks!D129="","",Picks!D129)</f>
        <v>2.2999999999999998</v>
      </c>
      <c r="E129" s="100" t="str">
        <f>IF(Picks!E129="","",Picks!E129)</f>
        <v>√</v>
      </c>
      <c r="F129" s="155" t="str">
        <f>IF(Picks!F129="","",Picks!F129)</f>
        <v/>
      </c>
      <c r="G129" s="51" t="str">
        <f>IF(Picks!G129="","",Picks!G129)</f>
        <v/>
      </c>
    </row>
    <row r="130" spans="1:7" ht="13.8" thickBot="1" x14ac:dyDescent="0.3">
      <c r="A130" s="156"/>
      <c r="B130" s="149" t="str">
        <f>IF(Picks!B130="","",Picks!B130)</f>
        <v>Sheff U</v>
      </c>
      <c r="C130" s="150" t="str">
        <f>IF(Picks!C130="","",Picks!C130)</f>
        <v>21/20</v>
      </c>
      <c r="D130" s="151">
        <f>IF(Picks!D130="","",Picks!D130)</f>
        <v>2.0499999999999998</v>
      </c>
      <c r="E130" s="100" t="str">
        <f>IF(Picks!E130="","",Picks!E130)</f>
        <v>x</v>
      </c>
      <c r="F130" s="155" t="str">
        <f>IF(Picks!F130="","",Picks!F130)</f>
        <v/>
      </c>
      <c r="G130" s="51" t="str">
        <f>IF(Picks!G130="","",Picks!G130)</f>
        <v/>
      </c>
    </row>
    <row r="131" spans="1:7" ht="14.4" thickTop="1" thickBot="1" x14ac:dyDescent="0.3">
      <c r="A131" s="132" t="str">
        <f>IF(Picks!A131="","",Picks!A131)</f>
        <v>Nick Blocksidge</v>
      </c>
      <c r="B131" s="130" t="str">
        <f>IF(Picks!B131="","",Picks!B131)</f>
        <v>Brentford</v>
      </c>
      <c r="C131" s="90" t="str">
        <f>IF(Picks!C131="","",Picks!C131)</f>
        <v>11/10</v>
      </c>
      <c r="D131" s="126">
        <f>IF(Picks!D131="","",Picks!D131)</f>
        <v>2.1</v>
      </c>
      <c r="E131" s="131" t="str">
        <f>IF(Picks!E131="","",Picks!E131)</f>
        <v>√</v>
      </c>
      <c r="F131" s="128">
        <f>IF(Picks!F131="","",Picks!F131)</f>
        <v>2.2300000000000004</v>
      </c>
      <c r="G131" s="129">
        <f>IF(Picks!G131="","",Picks!G131)</f>
        <v>26.781999999999996</v>
      </c>
    </row>
    <row r="132" spans="1:7" x14ac:dyDescent="0.25">
      <c r="A132" s="132"/>
      <c r="B132" s="68" t="str">
        <f>IF(Picks!B132="","",Picks!B132)</f>
        <v>Bristol C</v>
      </c>
      <c r="C132" s="90" t="str">
        <f>IF(Picks!C132="","",Picks!C132)</f>
        <v>7/5</v>
      </c>
      <c r="D132" s="122">
        <f>IF(Picks!D132="","",Picks!D132)</f>
        <v>2.4</v>
      </c>
      <c r="E132" s="100" t="str">
        <f>IF(Picks!E132="","",Picks!E132)</f>
        <v>x</v>
      </c>
      <c r="F132" s="155" t="str">
        <f>IF(Picks!F132="","",Picks!F132)</f>
        <v/>
      </c>
      <c r="G132" s="51" t="str">
        <f>IF(Picks!G132="","",Picks!G132)</f>
        <v/>
      </c>
    </row>
    <row r="133" spans="1:7" ht="13.8" thickBot="1" x14ac:dyDescent="0.3">
      <c r="A133" s="156"/>
      <c r="B133" s="149" t="str">
        <f>IF(Picks!B133="","",Picks!B133)</f>
        <v>Wigan</v>
      </c>
      <c r="C133" s="150" t="str">
        <f>IF(Picks!C133="","",Picks!C133)</f>
        <v>13/10</v>
      </c>
      <c r="D133" s="151">
        <f>IF(Picks!D133="","",Picks!D133)</f>
        <v>2.2999999999999998</v>
      </c>
      <c r="E133" s="100" t="str">
        <f>IF(Picks!E133="","",Picks!E133)</f>
        <v>√</v>
      </c>
      <c r="F133" s="155" t="str">
        <f>IF(Picks!F133="","",Picks!F133)</f>
        <v/>
      </c>
      <c r="G133" s="51" t="str">
        <f>IF(Picks!G133="","",Picks!G133)</f>
        <v/>
      </c>
    </row>
    <row r="134" spans="1:7" ht="14.4" thickTop="1" thickBot="1" x14ac:dyDescent="0.3">
      <c r="A134" s="132" t="str">
        <f>IF(Picks!A134="","",Picks!A134)</f>
        <v>Nigel Heyes</v>
      </c>
      <c r="B134" s="130" t="str">
        <f>IF(Picks!B134="","",Picks!B134)</f>
        <v>Peterborough</v>
      </c>
      <c r="C134" s="90" t="str">
        <f>IF(Picks!C134="","",Picks!C134)</f>
        <v>23/20</v>
      </c>
      <c r="D134" s="126">
        <f>IF(Picks!D134="","",Picks!D134)</f>
        <v>2.15</v>
      </c>
      <c r="E134" s="131" t="str">
        <f>IF(Picks!E134="","",Picks!E134)</f>
        <v>√</v>
      </c>
      <c r="F134" s="128">
        <f>IF(Picks!F134="","",Picks!F134)</f>
        <v>-4.8499999999999996</v>
      </c>
      <c r="G134" s="129">
        <f>IF(Picks!G134="","",Picks!G134)</f>
        <v>45.864999999999995</v>
      </c>
    </row>
    <row r="135" spans="1:7" x14ac:dyDescent="0.25">
      <c r="A135" s="132"/>
      <c r="B135" s="68" t="str">
        <f>IF(Picks!B135="","",Picks!B135)</f>
        <v>Mansfield</v>
      </c>
      <c r="C135" s="90" t="str">
        <f>IF(Picks!C135="","",Picks!C135)</f>
        <v>5/2</v>
      </c>
      <c r="D135" s="122">
        <f>IF(Picks!D135="","",Picks!D135)</f>
        <v>3.5</v>
      </c>
      <c r="E135" s="100" t="str">
        <f>IF(Picks!E135="","",Picks!E135)</f>
        <v>x</v>
      </c>
      <c r="F135" s="155" t="str">
        <f>IF(Picks!F135="","",Picks!F135)</f>
        <v/>
      </c>
      <c r="G135" s="51" t="str">
        <f>IF(Picks!G135="","",Picks!G135)</f>
        <v/>
      </c>
    </row>
    <row r="136" spans="1:7" ht="13.8" thickBot="1" x14ac:dyDescent="0.3">
      <c r="A136" s="156"/>
      <c r="B136" s="149" t="str">
        <f>IF(Picks!B136="","",Picks!B136)</f>
        <v>Notts Co</v>
      </c>
      <c r="C136" s="150" t="str">
        <f>IF(Picks!C136="","",Picks!C136)</f>
        <v>9/5</v>
      </c>
      <c r="D136" s="151">
        <f>IF(Picks!D136="","",Picks!D136)</f>
        <v>2.8</v>
      </c>
      <c r="E136" s="100" t="str">
        <f>IF(Picks!E136="","",Picks!E136)</f>
        <v>x</v>
      </c>
      <c r="F136" s="155" t="str">
        <f>IF(Picks!F136="","",Picks!F136)</f>
        <v/>
      </c>
      <c r="G136" s="51" t="str">
        <f>IF(Picks!G136="","",Picks!G136)</f>
        <v/>
      </c>
    </row>
    <row r="137" spans="1:7" ht="14.4" thickTop="1" thickBot="1" x14ac:dyDescent="0.3">
      <c r="A137" s="132" t="str">
        <f>IF(Picks!A137="","",Picks!A137)</f>
        <v>Oscar Jackson</v>
      </c>
      <c r="B137" s="130" t="str">
        <f>IF(Picks!B137="","",Picks!B137)</f>
        <v>Stoke</v>
      </c>
      <c r="C137" s="90" t="str">
        <f>IF(Picks!C137="","",Picks!C137)</f>
        <v>14/5</v>
      </c>
      <c r="D137" s="126">
        <f>IF(Picks!D137="","",Picks!D137)</f>
        <v>3.8</v>
      </c>
      <c r="E137" s="131" t="str">
        <f>IF(Picks!E137="","",Picks!E137)</f>
        <v>x</v>
      </c>
      <c r="F137" s="128">
        <f>IF(Picks!F137="","",Picks!F137)</f>
        <v>-7</v>
      </c>
      <c r="G137" s="129">
        <f>IF(Picks!G137="","",Picks!G137)</f>
        <v>192.64</v>
      </c>
    </row>
    <row r="138" spans="1:7" x14ac:dyDescent="0.25">
      <c r="A138" s="132"/>
      <c r="B138" s="68" t="str">
        <f>IF(Picks!B138="","",Picks!B138)</f>
        <v>Notts Co</v>
      </c>
      <c r="C138" s="90" t="str">
        <f>IF(Picks!C138="","",Picks!C138)</f>
        <v>9/5</v>
      </c>
      <c r="D138" s="122">
        <f>IF(Picks!D138="","",Picks!D138)</f>
        <v>2.8</v>
      </c>
      <c r="E138" s="100" t="str">
        <f>IF(Picks!E138="","",Picks!E138)</f>
        <v>x</v>
      </c>
      <c r="F138" s="155" t="str">
        <f>IF(Picks!F138="","",Picks!F138)</f>
        <v/>
      </c>
      <c r="G138" s="51" t="str">
        <f>IF(Picks!G138="","",Picks!G138)</f>
        <v/>
      </c>
    </row>
    <row r="139" spans="1:7" ht="13.8" thickBot="1" x14ac:dyDescent="0.3">
      <c r="A139" s="156"/>
      <c r="B139" s="149" t="str">
        <f>IF(Picks!B139="","",Picks!B139)</f>
        <v>Newcastle</v>
      </c>
      <c r="C139" s="150" t="str">
        <f>IF(Picks!C139="","",Picks!C139)</f>
        <v>9/1</v>
      </c>
      <c r="D139" s="151">
        <f>IF(Picks!D139="","",Picks!D139)</f>
        <v>10</v>
      </c>
      <c r="E139" s="100" t="str">
        <f>IF(Picks!E139="","",Picks!E139)</f>
        <v>x</v>
      </c>
      <c r="F139" s="155" t="str">
        <f>IF(Picks!F139="","",Picks!F139)</f>
        <v/>
      </c>
      <c r="G139" s="51" t="str">
        <f>IF(Picks!G139="","",Picks!G139)</f>
        <v/>
      </c>
    </row>
    <row r="140" spans="1:7" ht="14.4" thickTop="1" thickBot="1" x14ac:dyDescent="0.3">
      <c r="A140" s="132" t="str">
        <f>IF(Picks!A140="","",Picks!A140)</f>
        <v>Paul Adderley</v>
      </c>
      <c r="B140" s="130" t="str">
        <f>IF(Picks!B140="","",Picks!B140)</f>
        <v>Newcastle</v>
      </c>
      <c r="C140" s="90" t="str">
        <f>IF(Picks!C140="","",Picks!C140)</f>
        <v>9/1</v>
      </c>
      <c r="D140" s="126">
        <f>IF(Picks!D140="","",Picks!D140)</f>
        <v>10</v>
      </c>
      <c r="E140" s="131" t="str">
        <f>IF(Picks!E140="","",Picks!E140)</f>
        <v>x</v>
      </c>
      <c r="F140" s="128">
        <f>IF(Picks!F140="","",Picks!F140)</f>
        <v>-7</v>
      </c>
      <c r="G140" s="129">
        <f>IF(Picks!G140="","",Picks!G140)</f>
        <v>1089.25</v>
      </c>
    </row>
    <row r="141" spans="1:7" x14ac:dyDescent="0.25">
      <c r="A141" s="132"/>
      <c r="B141" s="68" t="str">
        <f>IF(Picks!B141="","",Picks!B141)</f>
        <v>Watford</v>
      </c>
      <c r="C141" s="90" t="str">
        <f>IF(Picks!C141="","",Picks!C141)</f>
        <v>15/2</v>
      </c>
      <c r="D141" s="122">
        <f>IF(Picks!D141="","",Picks!D141)</f>
        <v>8.5</v>
      </c>
      <c r="E141" s="100" t="str">
        <f>IF(Picks!E141="","",Picks!E141)</f>
        <v>x</v>
      </c>
      <c r="F141" s="155" t="str">
        <f>IF(Picks!F141="","",Picks!F141)</f>
        <v/>
      </c>
      <c r="G141" s="51" t="str">
        <f>IF(Picks!G141="","",Picks!G141)</f>
        <v/>
      </c>
    </row>
    <row r="142" spans="1:7" ht="13.8" thickBot="1" x14ac:dyDescent="0.3">
      <c r="A142" s="156"/>
      <c r="B142" s="149" t="str">
        <f>IF(Picks!B142="","",Picks!B142)</f>
        <v>Brighton</v>
      </c>
      <c r="C142" s="150" t="str">
        <f>IF(Picks!C142="","",Picks!C142)</f>
        <v>17/2</v>
      </c>
      <c r="D142" s="151">
        <f>IF(Picks!D142="","",Picks!D142)</f>
        <v>9.5</v>
      </c>
      <c r="E142" s="100" t="str">
        <f>IF(Picks!E142="","",Picks!E142)</f>
        <v>x</v>
      </c>
      <c r="F142" s="155" t="str">
        <f>IF(Picks!F142="","",Picks!F142)</f>
        <v/>
      </c>
      <c r="G142" s="51" t="str">
        <f>IF(Picks!G142="","",Picks!G142)</f>
        <v/>
      </c>
    </row>
    <row r="143" spans="1:7" ht="14.4" thickTop="1" thickBot="1" x14ac:dyDescent="0.3">
      <c r="A143" s="132" t="str">
        <f>IF(Picks!A143="","",Picks!A143)</f>
        <v>Paul Allen</v>
      </c>
      <c r="B143" s="130" t="str">
        <f>IF(Picks!B143="","",Picks!B143)</f>
        <v>Luton</v>
      </c>
      <c r="C143" s="90" t="str">
        <f>IF(Picks!C143="","",Picks!C143)</f>
        <v>3/10</v>
      </c>
      <c r="D143" s="126">
        <f>IF(Picks!D143="","",Picks!D143)</f>
        <v>1.3</v>
      </c>
      <c r="E143" s="131" t="str">
        <f>IF(Picks!E143="","",Picks!E143)</f>
        <v>√</v>
      </c>
      <c r="F143" s="128">
        <f>IF(Picks!F143="","",Picks!F143)</f>
        <v>-0.75499999999999989</v>
      </c>
      <c r="G143" s="129">
        <f>IF(Picks!G143="","",Picks!G143)</f>
        <v>9.0257500000000022</v>
      </c>
    </row>
    <row r="144" spans="1:7" x14ac:dyDescent="0.25">
      <c r="A144" s="132"/>
      <c r="B144" s="68" t="str">
        <f>IF(Picks!B144="","",Picks!B144)</f>
        <v>Peterborough</v>
      </c>
      <c r="C144" s="90" t="str">
        <f>IF(Picks!C144="","",Picks!C144)</f>
        <v>23/20</v>
      </c>
      <c r="D144" s="122">
        <f>IF(Picks!D144="","",Picks!D144)</f>
        <v>2.15</v>
      </c>
      <c r="E144" s="100" t="str">
        <f>IF(Picks!E144="","",Picks!E144)</f>
        <v>√</v>
      </c>
      <c r="F144" s="155" t="str">
        <f>IF(Picks!F144="","",Picks!F144)</f>
        <v/>
      </c>
      <c r="G144" s="51" t="str">
        <f>IF(Picks!G144="","",Picks!G144)</f>
        <v/>
      </c>
    </row>
    <row r="145" spans="1:7" ht="13.8" thickBot="1" x14ac:dyDescent="0.3">
      <c r="A145" s="156"/>
      <c r="B145" s="149" t="str">
        <f>IF(Picks!B145="","",Picks!B145)</f>
        <v>Portsmouth</v>
      </c>
      <c r="C145" s="150" t="str">
        <f>IF(Picks!C145="","",Picks!C145)</f>
        <v>7/20</v>
      </c>
      <c r="D145" s="151">
        <f>IF(Picks!D145="","",Picks!D145)</f>
        <v>1.35</v>
      </c>
      <c r="E145" s="100" t="str">
        <f>IF(Picks!E145="","",Picks!E145)</f>
        <v>x</v>
      </c>
      <c r="F145" s="155" t="str">
        <f>IF(Picks!F145="","",Picks!F145)</f>
        <v/>
      </c>
      <c r="G145" s="51" t="str">
        <f>IF(Picks!G145="","",Picks!G145)</f>
        <v/>
      </c>
    </row>
    <row r="146" spans="1:7" ht="14.4" thickTop="1" thickBot="1" x14ac:dyDescent="0.3">
      <c r="A146" s="132" t="str">
        <f>IF(Picks!A146="","",Picks!A146)</f>
        <v>Paul Barnes</v>
      </c>
      <c r="B146" s="130" t="str">
        <f>IF(Picks!B146="","",Picks!B146)</f>
        <v>Bournemouth</v>
      </c>
      <c r="C146" s="90" t="str">
        <f>IF(Picks!C146="","",Picks!C146)</f>
        <v>17/5</v>
      </c>
      <c r="D146" s="126">
        <f>IF(Picks!D146="","",Picks!D146)</f>
        <v>4.4000000000000004</v>
      </c>
      <c r="E146" s="131" t="str">
        <f>IF(Picks!E146="","",Picks!E146)</f>
        <v>√</v>
      </c>
      <c r="F146" s="128">
        <f>IF(Picks!F146="","",Picks!F146)</f>
        <v>11.440000000000001</v>
      </c>
      <c r="G146" s="129">
        <f>IF(Picks!G146="","",Picks!G146)</f>
        <v>176.68</v>
      </c>
    </row>
    <row r="147" spans="1:7" x14ac:dyDescent="0.25">
      <c r="A147" s="132"/>
      <c r="B147" s="68" t="str">
        <f>IF(Picks!B147="","",Picks!B147)</f>
        <v>Watford</v>
      </c>
      <c r="C147" s="90" t="str">
        <f>IF(Picks!C147="","",Picks!C147)</f>
        <v>15/2</v>
      </c>
      <c r="D147" s="122">
        <f>IF(Picks!D147="","",Picks!D147)</f>
        <v>8.5</v>
      </c>
      <c r="E147" s="100" t="str">
        <f>IF(Picks!E147="","",Picks!E147)</f>
        <v>x</v>
      </c>
      <c r="F147" s="155" t="str">
        <f>IF(Picks!F147="","",Picks!F147)</f>
        <v/>
      </c>
      <c r="G147" s="51" t="str">
        <f>IF(Picks!G147="","",Picks!G147)</f>
        <v/>
      </c>
    </row>
    <row r="148" spans="1:7" ht="13.8" thickBot="1" x14ac:dyDescent="0.3">
      <c r="A148" s="156"/>
      <c r="B148" s="149" t="str">
        <f>IF(Picks!B148="","",Picks!B148)</f>
        <v>Palace</v>
      </c>
      <c r="C148" s="150" t="str">
        <f>IF(Picks!C148="","",Picks!C148)</f>
        <v>8/5</v>
      </c>
      <c r="D148" s="151">
        <f>IF(Picks!D148="","",Picks!D148)</f>
        <v>2.6</v>
      </c>
      <c r="E148" s="100" t="str">
        <f>IF(Picks!E148="","",Picks!E148)</f>
        <v>√</v>
      </c>
      <c r="F148" s="155" t="str">
        <f>IF(Picks!F148="","",Picks!F148)</f>
        <v/>
      </c>
      <c r="G148" s="51" t="str">
        <f>IF(Picks!G148="","",Picks!G148)</f>
        <v/>
      </c>
    </row>
    <row r="149" spans="1:7" ht="14.4" thickTop="1" thickBot="1" x14ac:dyDescent="0.3">
      <c r="A149" s="132" t="str">
        <f>IF(Picks!A149="","",Picks!A149)</f>
        <v>Paul Fairhurst</v>
      </c>
      <c r="B149" s="130" t="str">
        <f>IF(Picks!B149="","",Picks!B149)</f>
        <v>Cardiff</v>
      </c>
      <c r="C149" s="90" t="str">
        <f>IF(Picks!C149="","",Picks!C149)</f>
        <v>9/5</v>
      </c>
      <c r="D149" s="126">
        <f>IF(Picks!D149="","",Picks!D149)</f>
        <v>2.8</v>
      </c>
      <c r="E149" s="131" t="str">
        <f>IF(Picks!E149="","",Picks!E149)</f>
        <v>x</v>
      </c>
      <c r="F149" s="128">
        <f>IF(Picks!F149="","",Picks!F149)</f>
        <v>-4</v>
      </c>
      <c r="G149" s="129">
        <f>IF(Picks!G149="","",Picks!G149)</f>
        <v>27.72</v>
      </c>
    </row>
    <row r="150" spans="1:7" x14ac:dyDescent="0.25">
      <c r="A150" s="132"/>
      <c r="B150" s="68" t="str">
        <f>IF(Picks!B150="","",Picks!B150)</f>
        <v>Portsmouth</v>
      </c>
      <c r="C150" s="90" t="str">
        <f>IF(Picks!C150="","",Picks!C150)</f>
        <v>7/20</v>
      </c>
      <c r="D150" s="122">
        <f>IF(Picks!D150="","",Picks!D150)</f>
        <v>1.35</v>
      </c>
      <c r="E150" s="100" t="str">
        <f>IF(Picks!E150="","",Picks!E150)</f>
        <v>x</v>
      </c>
      <c r="F150" s="155" t="str">
        <f>IF(Picks!F150="","",Picks!F150)</f>
        <v/>
      </c>
      <c r="G150" s="51" t="str">
        <f>IF(Picks!G150="","",Picks!G150)</f>
        <v/>
      </c>
    </row>
    <row r="151" spans="1:7" ht="13.8" thickBot="1" x14ac:dyDescent="0.3">
      <c r="A151" s="156"/>
      <c r="B151" s="149" t="str">
        <f>IF(Picks!B151="","",Picks!B151)</f>
        <v>Norwich</v>
      </c>
      <c r="C151" s="150" t="str">
        <f>IF(Picks!C151="","",Picks!C151)</f>
        <v>2/1</v>
      </c>
      <c r="D151" s="151">
        <f>IF(Picks!D151="","",Picks!D151)</f>
        <v>3</v>
      </c>
      <c r="E151" s="100" t="str">
        <f>IF(Picks!E151="","",Picks!E151)</f>
        <v>√</v>
      </c>
      <c r="F151" s="155" t="str">
        <f>IF(Picks!F151="","",Picks!F151)</f>
        <v/>
      </c>
      <c r="G151" s="51" t="str">
        <f>IF(Picks!G151="","",Picks!G151)</f>
        <v/>
      </c>
    </row>
    <row r="152" spans="1:7" ht="14.4" thickTop="1" thickBot="1" x14ac:dyDescent="0.3">
      <c r="A152" s="132" t="str">
        <f>IF(Picks!A152="","",Picks!A152)</f>
        <v>Paul Fiddler</v>
      </c>
      <c r="B152" s="130" t="str">
        <f>IF(Picks!B152="","",Picks!B152)</f>
        <v>Spurs</v>
      </c>
      <c r="C152" s="90" t="str">
        <f>IF(Picks!C152="","",Picks!C152)</f>
        <v>3/4</v>
      </c>
      <c r="D152" s="126">
        <f>IF(Picks!D152="","",Picks!D152)</f>
        <v>1.75</v>
      </c>
      <c r="E152" s="131" t="str">
        <f>IF(Picks!E152="","",Picks!E152)</f>
        <v>x</v>
      </c>
      <c r="F152" s="128">
        <f>IF(Picks!F152="","",Picks!F152)</f>
        <v>-7</v>
      </c>
      <c r="G152" s="129">
        <f>IF(Picks!G152="","",Picks!G152)</f>
        <v>18.840000000000003</v>
      </c>
    </row>
    <row r="153" spans="1:7" x14ac:dyDescent="0.25">
      <c r="A153" s="132"/>
      <c r="B153" s="68" t="str">
        <f>IF(Picks!B153="","",Picks!B153)</f>
        <v>Sunderland</v>
      </c>
      <c r="C153" s="90" t="str">
        <f>IF(Picks!C153="","",Picks!C153)</f>
        <v>6/5</v>
      </c>
      <c r="D153" s="122">
        <f>IF(Picks!D153="","",Picks!D153)</f>
        <v>2.2000000000000002</v>
      </c>
      <c r="E153" s="100" t="str">
        <f>IF(Picks!E153="","",Picks!E153)</f>
        <v>x</v>
      </c>
      <c r="F153" s="155" t="str">
        <f>IF(Picks!F153="","",Picks!F153)</f>
        <v/>
      </c>
      <c r="G153" s="51" t="str">
        <f>IF(Picks!G153="","",Picks!G153)</f>
        <v/>
      </c>
    </row>
    <row r="154" spans="1:7" ht="13.8" thickBot="1" x14ac:dyDescent="0.3">
      <c r="A154" s="156"/>
      <c r="B154" s="149" t="str">
        <f>IF(Picks!B154="","",Picks!B154)</f>
        <v>Sheff U</v>
      </c>
      <c r="C154" s="150" t="str">
        <f>IF(Picks!C154="","",Picks!C154)</f>
        <v>21/20</v>
      </c>
      <c r="D154" s="151">
        <f>IF(Picks!D154="","",Picks!D154)</f>
        <v>2.0499999999999998</v>
      </c>
      <c r="E154" s="100" t="str">
        <f>IF(Picks!E154="","",Picks!E154)</f>
        <v>x</v>
      </c>
      <c r="F154" s="155" t="str">
        <f>IF(Picks!F154="","",Picks!F154)</f>
        <v/>
      </c>
      <c r="G154" s="51" t="str">
        <f>IF(Picks!G154="","",Picks!G154)</f>
        <v/>
      </c>
    </row>
    <row r="155" spans="1:7" ht="14.4" thickTop="1" thickBot="1" x14ac:dyDescent="0.3">
      <c r="A155" s="132" t="str">
        <f>IF(Picks!A155="","",Picks!A155)</f>
        <v>Paul Ridgeway</v>
      </c>
      <c r="B155" s="130" t="str">
        <f>IF(Picks!B155="","",Picks!B155)</f>
        <v>Chelsea</v>
      </c>
      <c r="C155" s="90" t="str">
        <f>IF(Picks!C155="","",Picks!C155)</f>
        <v>4/9</v>
      </c>
      <c r="D155" s="126">
        <f>IF(Picks!D155="","",Picks!D155)</f>
        <v>1.4444444444444444</v>
      </c>
      <c r="E155" s="131" t="str">
        <f>IF(Picks!E155="","",Picks!E155)</f>
        <v>√</v>
      </c>
      <c r="F155" s="128">
        <f>IF(Picks!F155="","",Picks!F155)</f>
        <v>-1.6444444444444439</v>
      </c>
      <c r="G155" s="129">
        <f>IF(Picks!G155="","",Picks!G155)</f>
        <v>9.4777777777777779</v>
      </c>
    </row>
    <row r="156" spans="1:7" x14ac:dyDescent="0.25">
      <c r="A156" s="132"/>
      <c r="B156" s="68" t="str">
        <f>IF(Picks!B156="","",Picks!B156)</f>
        <v>Spurs</v>
      </c>
      <c r="C156" s="90" t="str">
        <f>IF(Picks!C156="","",Picks!C156)</f>
        <v>3/4</v>
      </c>
      <c r="D156" s="122">
        <f>IF(Picks!D156="","",Picks!D156)</f>
        <v>1.75</v>
      </c>
      <c r="E156" s="100" t="str">
        <f>IF(Picks!E156="","",Picks!E156)</f>
        <v>x</v>
      </c>
      <c r="F156" s="155" t="str">
        <f>IF(Picks!F156="","",Picks!F156)</f>
        <v/>
      </c>
      <c r="G156" s="51" t="str">
        <f>IF(Picks!G156="","",Picks!G156)</f>
        <v/>
      </c>
    </row>
    <row r="157" spans="1:7" ht="13.8" thickBot="1" x14ac:dyDescent="0.3">
      <c r="A157" s="156"/>
      <c r="B157" s="149" t="str">
        <f>IF(Picks!B157="","",Picks!B157)</f>
        <v>Everton</v>
      </c>
      <c r="C157" s="150" t="str">
        <f>IF(Picks!C157="","",Picks!C157)</f>
        <v>6/10</v>
      </c>
      <c r="D157" s="151">
        <f>IF(Picks!D157="","",Picks!D157)</f>
        <v>1.6</v>
      </c>
      <c r="E157" s="100" t="str">
        <f>IF(Picks!E157="","",Picks!E157)</f>
        <v>√</v>
      </c>
      <c r="F157" s="155" t="str">
        <f>IF(Picks!F157="","",Picks!F157)</f>
        <v/>
      </c>
      <c r="G157" s="51" t="str">
        <f>IF(Picks!G157="","",Picks!G157)</f>
        <v/>
      </c>
    </row>
    <row r="158" spans="1:7" ht="14.4" thickTop="1" thickBot="1" x14ac:dyDescent="0.3">
      <c r="A158" s="132" t="str">
        <f>IF(Picks!A158="","",Picks!A158)</f>
        <v>Pete Baron</v>
      </c>
      <c r="B158" s="130" t="str">
        <f>IF(Picks!B158="","",Picks!B158)</f>
        <v>Cardiff</v>
      </c>
      <c r="C158" s="90" t="str">
        <f>IF(Picks!C158="","",Picks!C158)</f>
        <v>9/5</v>
      </c>
      <c r="D158" s="126">
        <f>IF(Picks!D158="","",Picks!D158)</f>
        <v>2.8</v>
      </c>
      <c r="E158" s="131" t="str">
        <f>IF(Picks!E158="","",Picks!E158)</f>
        <v>x</v>
      </c>
      <c r="F158" s="128">
        <f>IF(Picks!F158="","",Picks!F158)</f>
        <v>-4</v>
      </c>
      <c r="G158" s="129">
        <f>IF(Picks!G158="","",Picks!G158)</f>
        <v>52.79999999999999</v>
      </c>
    </row>
    <row r="159" spans="1:7" x14ac:dyDescent="0.25">
      <c r="A159" s="132"/>
      <c r="B159" s="68" t="str">
        <f>IF(Picks!B159="","",Picks!B159)</f>
        <v>Exeter</v>
      </c>
      <c r="C159" s="90" t="str">
        <f>IF(Picks!C159="","",Picks!C159)</f>
        <v>2/1</v>
      </c>
      <c r="D159" s="122">
        <f>IF(Picks!D159="","",Picks!D159)</f>
        <v>3</v>
      </c>
      <c r="E159" s="100" t="str">
        <f>IF(Picks!E159="","",Picks!E159)</f>
        <v>x</v>
      </c>
      <c r="F159" s="155" t="str">
        <f>IF(Picks!F159="","",Picks!F159)</f>
        <v/>
      </c>
      <c r="G159" s="51" t="str">
        <f>IF(Picks!G159="","",Picks!G159)</f>
        <v/>
      </c>
    </row>
    <row r="160" spans="1:7" ht="13.8" thickBot="1" x14ac:dyDescent="0.3">
      <c r="A160" s="156"/>
      <c r="B160" s="149" t="str">
        <f>IF(Picks!B160="","",Picks!B160)</f>
        <v>Norwich</v>
      </c>
      <c r="C160" s="150" t="str">
        <f>IF(Picks!C160="","",Picks!C160)</f>
        <v>2/1</v>
      </c>
      <c r="D160" s="151">
        <f>IF(Picks!D160="","",Picks!D160)</f>
        <v>3</v>
      </c>
      <c r="E160" s="100" t="str">
        <f>IF(Picks!E160="","",Picks!E160)</f>
        <v>√</v>
      </c>
      <c r="F160" s="155" t="str">
        <f>IF(Picks!F160="","",Picks!F160)</f>
        <v/>
      </c>
      <c r="G160" s="51" t="str">
        <f>IF(Picks!G160="","",Picks!G160)</f>
        <v/>
      </c>
    </row>
    <row r="161" spans="1:7" ht="14.4" thickTop="1" thickBot="1" x14ac:dyDescent="0.3">
      <c r="A161" s="132" t="str">
        <f>IF(Picks!A161="","",Picks!A161)</f>
        <v>Phil Brown</v>
      </c>
      <c r="B161" s="130" t="str">
        <f>IF(Picks!B161="","",Picks!B161)</f>
        <v>Cardiff</v>
      </c>
      <c r="C161" s="90" t="str">
        <f>IF(Picks!C161="","",Picks!C161)</f>
        <v>9/5</v>
      </c>
      <c r="D161" s="126">
        <f>IF(Picks!D161="","",Picks!D161)</f>
        <v>2.8</v>
      </c>
      <c r="E161" s="131" t="str">
        <f>IF(Picks!E161="","",Picks!E161)</f>
        <v>x</v>
      </c>
      <c r="F161" s="128">
        <f>IF(Picks!F161="","",Picks!F161)</f>
        <v>-4.625</v>
      </c>
      <c r="G161" s="129">
        <f>IF(Picks!G161="","",Picks!G161)</f>
        <v>40.09375</v>
      </c>
    </row>
    <row r="162" spans="1:7" x14ac:dyDescent="0.25">
      <c r="A162" s="132"/>
      <c r="B162" s="68" t="str">
        <f>IF(Picks!B162="","",Picks!B162)</f>
        <v>West Ham</v>
      </c>
      <c r="C162" s="90" t="str">
        <f>IF(Picks!C162="","",Picks!C162)</f>
        <v>11/8</v>
      </c>
      <c r="D162" s="122">
        <f>IF(Picks!D162="","",Picks!D162)</f>
        <v>2.375</v>
      </c>
      <c r="E162" s="100" t="str">
        <f>IF(Picks!E162="","",Picks!E162)</f>
        <v>√</v>
      </c>
      <c r="F162" s="155" t="str">
        <f>IF(Picks!F162="","",Picks!F162)</f>
        <v/>
      </c>
      <c r="G162" s="51" t="str">
        <f>IF(Picks!G162="","",Picks!G162)</f>
        <v/>
      </c>
    </row>
    <row r="163" spans="1:7" ht="13.8" thickBot="1" x14ac:dyDescent="0.3">
      <c r="A163" s="156"/>
      <c r="B163" s="149" t="str">
        <f>IF(Picks!B163="","",Picks!B163)</f>
        <v>Swansea</v>
      </c>
      <c r="C163" s="150" t="str">
        <f>IF(Picks!C163="","",Picks!C163)</f>
        <v>7/4</v>
      </c>
      <c r="D163" s="151">
        <f>IF(Picks!D163="","",Picks!D163)</f>
        <v>2.75</v>
      </c>
      <c r="E163" s="100" t="str">
        <f>IF(Picks!E163="","",Picks!E163)</f>
        <v>x</v>
      </c>
      <c r="F163" s="155" t="str">
        <f>IF(Picks!F163="","",Picks!F163)</f>
        <v/>
      </c>
      <c r="G163" s="51" t="str">
        <f>IF(Picks!G163="","",Picks!G163)</f>
        <v/>
      </c>
    </row>
    <row r="164" spans="1:7" ht="14.4" thickTop="1" thickBot="1" x14ac:dyDescent="0.3">
      <c r="A164" s="132" t="str">
        <f>IF(Picks!A164="","",Picks!A164)</f>
        <v>Phil Miller</v>
      </c>
      <c r="B164" s="130" t="str">
        <f>IF(Picks!B164="","",Picks!B164)</f>
        <v>Chelsea</v>
      </c>
      <c r="C164" s="90" t="str">
        <f>IF(Picks!C164="","",Picks!C164)</f>
        <v>4/9</v>
      </c>
      <c r="D164" s="126">
        <f>IF(Picks!D164="","",Picks!D164)</f>
        <v>1.4444444444444444</v>
      </c>
      <c r="E164" s="131" t="str">
        <f>IF(Picks!E164="","",Picks!E164)</f>
        <v>√</v>
      </c>
      <c r="F164" s="128">
        <f>IF(Picks!F164="","",Picks!F164)</f>
        <v>-1.8888888888888893</v>
      </c>
      <c r="G164" s="129">
        <f>IF(Picks!G164="","",Picks!G164)</f>
        <v>8.4529914529914514</v>
      </c>
    </row>
    <row r="165" spans="1:7" x14ac:dyDescent="0.25">
      <c r="A165" s="132"/>
      <c r="B165" s="68" t="str">
        <f>IF(Picks!B165="","",Picks!B165)</f>
        <v>Leeds</v>
      </c>
      <c r="C165" s="90" t="str">
        <f>IF(Picks!C165="","",Picks!C165)</f>
        <v>9/13</v>
      </c>
      <c r="D165" s="122">
        <f>IF(Picks!D165="","",Picks!D165)</f>
        <v>1.6923076923076923</v>
      </c>
      <c r="E165" s="100" t="str">
        <f>IF(Picks!E165="","",Picks!E165)</f>
        <v>x</v>
      </c>
      <c r="F165" s="155" t="str">
        <f>IF(Picks!F165="","",Picks!F165)</f>
        <v/>
      </c>
      <c r="G165" s="51" t="str">
        <f>IF(Picks!G165="","",Picks!G165)</f>
        <v/>
      </c>
    </row>
    <row r="166" spans="1:7" ht="13.8" thickBot="1" x14ac:dyDescent="0.3">
      <c r="A166" s="156"/>
      <c r="B166" s="149" t="str">
        <f>IF(Picks!B166="","",Picks!B166)</f>
        <v>Wolves</v>
      </c>
      <c r="C166" s="150" t="str">
        <f>IF(Picks!C166="","",Picks!C166)</f>
        <v>1/2</v>
      </c>
      <c r="D166" s="151">
        <f>IF(Picks!D166="","",Picks!D166)</f>
        <v>1.5</v>
      </c>
      <c r="E166" s="100" t="str">
        <f>IF(Picks!E166="","",Picks!E166)</f>
        <v>√</v>
      </c>
      <c r="F166" s="155" t="str">
        <f>IF(Picks!F166="","",Picks!F166)</f>
        <v/>
      </c>
      <c r="G166" s="51" t="str">
        <f>IF(Picks!G166="","",Picks!G166)</f>
        <v/>
      </c>
    </row>
    <row r="167" spans="1:7" ht="14.4" thickTop="1" thickBot="1" x14ac:dyDescent="0.3">
      <c r="A167" s="132" t="str">
        <f>IF(Picks!A167="","",Picks!A167)</f>
        <v>Rob England</v>
      </c>
      <c r="B167" s="130" t="str">
        <f>IF(Picks!B167="","",Picks!B167)</f>
        <v>Bury</v>
      </c>
      <c r="C167" s="90" t="str">
        <f>IF(Picks!C167="","",Picks!C167)</f>
        <v>1/2</v>
      </c>
      <c r="D167" s="126">
        <f>IF(Picks!D167="","",Picks!D167)</f>
        <v>1.5</v>
      </c>
      <c r="E167" s="131" t="str">
        <f>IF(Picks!E167="","",Picks!E167)</f>
        <v>x</v>
      </c>
      <c r="F167" s="128">
        <f>IF(Picks!F167="","",Picks!F167)</f>
        <v>-5.1538461538461533</v>
      </c>
      <c r="G167" s="129">
        <f>IF(Picks!G167="","",Picks!G167)</f>
        <v>14.440828402366861</v>
      </c>
    </row>
    <row r="168" spans="1:7" x14ac:dyDescent="0.25">
      <c r="A168" s="132"/>
      <c r="B168" s="68" t="str">
        <f>IF(Picks!B168="","",Picks!B168)</f>
        <v>Newport</v>
      </c>
      <c r="C168" s="90" t="str">
        <f>IF(Picks!C168="","",Picks!C168)</f>
        <v>15/13</v>
      </c>
      <c r="D168" s="122">
        <f>IF(Picks!D168="","",Picks!D168)</f>
        <v>2.1538461538461537</v>
      </c>
      <c r="E168" s="100" t="str">
        <f>IF(Picks!E168="","",Picks!E168)</f>
        <v>x</v>
      </c>
      <c r="F168" s="155" t="str">
        <f>IF(Picks!F168="","",Picks!F168)</f>
        <v/>
      </c>
      <c r="G168" s="51" t="str">
        <f>IF(Picks!G168="","",Picks!G168)</f>
        <v/>
      </c>
    </row>
    <row r="169" spans="1:7" ht="13.8" thickBot="1" x14ac:dyDescent="0.3">
      <c r="A169" s="156"/>
      <c r="B169" s="149" t="str">
        <f>IF(Picks!B169="","",Picks!B169)</f>
        <v>Middlesbro</v>
      </c>
      <c r="C169" s="150" t="str">
        <f>IF(Picks!C169="","",Picks!C169)</f>
        <v>11/13</v>
      </c>
      <c r="D169" s="151">
        <f>IF(Picks!D169="","",Picks!D169)</f>
        <v>1.8461538461538463</v>
      </c>
      <c r="E169" s="100" t="str">
        <f>IF(Picks!E169="","",Picks!E169)</f>
        <v>√</v>
      </c>
      <c r="F169" s="155" t="str">
        <f>IF(Picks!F169="","",Picks!F169)</f>
        <v/>
      </c>
      <c r="G169" s="51" t="str">
        <f>IF(Picks!G169="","",Picks!G169)</f>
        <v/>
      </c>
    </row>
    <row r="170" spans="1:7" ht="14.4" thickTop="1" thickBot="1" x14ac:dyDescent="0.3">
      <c r="A170" s="132" t="str">
        <f>IF(Picks!A170="","",Picks!A170)</f>
        <v>Sally Williams</v>
      </c>
      <c r="B170" s="130" t="str">
        <f>IF(Picks!B170="","",Picks!B170)</f>
        <v>Southend</v>
      </c>
      <c r="C170" s="90" t="str">
        <f>IF(Picks!C170="","",Picks!C170)</f>
        <v>11/5</v>
      </c>
      <c r="D170" s="126">
        <f>IF(Picks!D170="","",Picks!D170)</f>
        <v>3.2</v>
      </c>
      <c r="E170" s="131" t="str">
        <f>IF(Picks!E170="","",Picks!E170)</f>
        <v>√</v>
      </c>
      <c r="F170" s="128">
        <f>IF(Picks!F170="","",Picks!F170)</f>
        <v>-3.8</v>
      </c>
      <c r="G170" s="129">
        <f>IF(Picks!G170="","",Picks!G170)</f>
        <v>63.820000000000007</v>
      </c>
    </row>
    <row r="171" spans="1:7" x14ac:dyDescent="0.25">
      <c r="A171" s="132"/>
      <c r="B171" s="68" t="str">
        <f>IF(Picks!B171="","",Picks!B171)</f>
        <v>Notts co</v>
      </c>
      <c r="C171" s="90" t="str">
        <f>IF(Picks!C171="","",Picks!C171)</f>
        <v>9/5</v>
      </c>
      <c r="D171" s="122">
        <f>IF(Picks!D171="","",Picks!D171)</f>
        <v>2.8</v>
      </c>
      <c r="E171" s="100" t="str">
        <f>IF(Picks!E171="","",Picks!E171)</f>
        <v>x</v>
      </c>
      <c r="F171" s="155" t="str">
        <f>IF(Picks!F171="","",Picks!F171)</f>
        <v/>
      </c>
      <c r="G171" s="51" t="str">
        <f>IF(Picks!G171="","",Picks!G171)</f>
        <v/>
      </c>
    </row>
    <row r="172" spans="1:7" ht="13.8" thickBot="1" x14ac:dyDescent="0.3">
      <c r="A172" s="156"/>
      <c r="B172" s="149" t="str">
        <f>IF(Picks!B172="","",Picks!B172)</f>
        <v>Brentford draw</v>
      </c>
      <c r="C172" s="150" t="str">
        <f>IF(Picks!C172="","",Picks!C172)</f>
        <v>5/2</v>
      </c>
      <c r="D172" s="151">
        <f>IF(Picks!D172="","",Picks!D172)</f>
        <v>3.5</v>
      </c>
      <c r="E172" s="100" t="str">
        <f>IF(Picks!E172="","",Picks!E172)</f>
        <v>x</v>
      </c>
      <c r="F172" s="155" t="str">
        <f>IF(Picks!F172="","",Picks!F172)</f>
        <v/>
      </c>
      <c r="G172" s="51" t="str">
        <f>IF(Picks!G172="","",Picks!G172)</f>
        <v/>
      </c>
    </row>
    <row r="173" spans="1:7" ht="14.4" thickTop="1" thickBot="1" x14ac:dyDescent="0.3">
      <c r="A173" s="132" t="str">
        <f>IF(Picks!A173="","",Picks!A173)</f>
        <v>Simon Greenhalgh</v>
      </c>
      <c r="B173" s="68" t="str">
        <f>IF(Picks!B173="","",Picks!B173)</f>
        <v>Everton Draw</v>
      </c>
      <c r="C173" s="90" t="str">
        <f>IF(Picks!C173="","",Picks!C173)</f>
        <v>3/1</v>
      </c>
      <c r="D173" s="126">
        <f>IF(Picks!D173="","",Picks!D173)</f>
        <v>4</v>
      </c>
      <c r="E173" s="131" t="str">
        <f>IF(Picks!E173="","",Picks!E173)</f>
        <v>x</v>
      </c>
      <c r="F173" s="128">
        <f>IF(Picks!F173="","",Picks!F173)</f>
        <v>-7</v>
      </c>
      <c r="G173" s="129">
        <f>IF(Picks!G173="","",Picks!G173)</f>
        <v>102.50000000000001</v>
      </c>
    </row>
    <row r="174" spans="1:7" x14ac:dyDescent="0.25">
      <c r="A174" s="132"/>
      <c r="B174" s="68" t="str">
        <f>IF(Picks!B174="","",Picks!B174)</f>
        <v>Wolves Draw</v>
      </c>
      <c r="C174" s="90" t="str">
        <f>IF(Picks!C174="","",Picks!C174)</f>
        <v>16/5</v>
      </c>
      <c r="D174" s="122">
        <f>IF(Picks!D174="","",Picks!D174)</f>
        <v>4.2</v>
      </c>
      <c r="E174" s="100" t="str">
        <f>IF(Picks!E174="","",Picks!E174)</f>
        <v>x</v>
      </c>
      <c r="F174" s="155" t="str">
        <f>IF(Picks!F174="","",Picks!F174)</f>
        <v/>
      </c>
      <c r="G174" s="51" t="str">
        <f>IF(Picks!G174="","",Picks!G174)</f>
        <v/>
      </c>
    </row>
    <row r="175" spans="1:7" ht="13.8" thickBot="1" x14ac:dyDescent="0.3">
      <c r="A175" s="156"/>
      <c r="B175" s="149" t="str">
        <f>IF(Picks!B175="","",Picks!B175)</f>
        <v>Cardiff Draw</v>
      </c>
      <c r="C175" s="150" t="str">
        <f>IF(Picks!C175="","",Picks!C175)</f>
        <v>9/4</v>
      </c>
      <c r="D175" s="151">
        <f>IF(Picks!D175="","",Picks!D175)</f>
        <v>3.25</v>
      </c>
      <c r="E175" s="100" t="str">
        <f>IF(Picks!E175="","",Picks!E175)</f>
        <v>x</v>
      </c>
      <c r="F175" s="155" t="str">
        <f>IF(Picks!F175="","",Picks!F175)</f>
        <v/>
      </c>
      <c r="G175" s="51" t="str">
        <f>IF(Picks!G175="","",Picks!G175)</f>
        <v/>
      </c>
    </row>
    <row r="176" spans="1:7" ht="14.4" thickTop="1" thickBot="1" x14ac:dyDescent="0.3">
      <c r="A176" s="132" t="str">
        <f>IF(Picks!A176="","",Picks!A176)</f>
        <v>Ste Bentley</v>
      </c>
      <c r="B176" s="68" t="str">
        <f>IF(Picks!B176="","",Picks!B176)</f>
        <v>West Ham</v>
      </c>
      <c r="C176" s="90" t="str">
        <f>IF(Picks!C176="","",Picks!C176)</f>
        <v>11/8</v>
      </c>
      <c r="D176" s="126">
        <f>IF(Picks!D176="","",Picks!D176)</f>
        <v>2.375</v>
      </c>
      <c r="E176" s="131" t="str">
        <f>IF(Picks!E176="","",Picks!E176)</f>
        <v>√</v>
      </c>
      <c r="F176" s="128">
        <f>IF(Picks!F176="","",Picks!F176)</f>
        <v>19</v>
      </c>
      <c r="G176" s="129">
        <f>IF(Picks!G176="","",Picks!G176)</f>
        <v>19</v>
      </c>
    </row>
    <row r="177" spans="1:7" x14ac:dyDescent="0.25">
      <c r="A177" s="132"/>
      <c r="B177" s="68" t="str">
        <f>IF(Picks!B177="","",Picks!B177)</f>
        <v>Wolves</v>
      </c>
      <c r="C177" s="90" t="str">
        <f>IF(Picks!C177="","",Picks!C177)</f>
        <v>1/2</v>
      </c>
      <c r="D177" s="122">
        <f>IF(Picks!D177="","",Picks!D177)</f>
        <v>1.5</v>
      </c>
      <c r="E177" s="100" t="str">
        <f>IF(Picks!E177="","",Picks!E177)</f>
        <v>√</v>
      </c>
      <c r="F177" s="155" t="str">
        <f>IF(Picks!F177="","",Picks!F177)</f>
        <v/>
      </c>
      <c r="G177" s="51" t="str">
        <f>IF(Picks!G177="","",Picks!G177)</f>
        <v/>
      </c>
    </row>
    <row r="178" spans="1:7" ht="13.8" thickBot="1" x14ac:dyDescent="0.3">
      <c r="A178" s="156"/>
      <c r="B178" s="149" t="str">
        <f>IF(Picks!B178="","",Picks!B178)</f>
        <v>MK Dons</v>
      </c>
      <c r="C178" s="150" t="str">
        <f>IF(Picks!C178="","",Picks!C178)</f>
        <v>6/5</v>
      </c>
      <c r="D178" s="151">
        <f>IF(Picks!D178="","",Picks!D178)</f>
        <v>2.2000000000000002</v>
      </c>
      <c r="E178" s="100" t="str">
        <f>IF(Picks!E178="","",Picks!E178)</f>
        <v>√</v>
      </c>
      <c r="F178" s="155" t="str">
        <f>IF(Picks!F178="","",Picks!F178)</f>
        <v/>
      </c>
      <c r="G178" s="51" t="str">
        <f>IF(Picks!G178="","",Picks!G178)</f>
        <v/>
      </c>
    </row>
    <row r="179" spans="1:7" ht="14.4" thickTop="1" thickBot="1" x14ac:dyDescent="0.3">
      <c r="A179" s="132" t="str">
        <f>IF(Picks!A179="","",Picks!A179)</f>
        <v>Stephen Barr</v>
      </c>
      <c r="B179" s="68" t="str">
        <f>IF(Picks!B179="","",Picks!B179)</f>
        <v>Spurs</v>
      </c>
      <c r="C179" s="90" t="str">
        <f>IF(Picks!C179="","",Picks!C179)</f>
        <v>3/4</v>
      </c>
      <c r="D179" s="126">
        <f>IF(Picks!D179="","",Picks!D179)</f>
        <v>1.75</v>
      </c>
      <c r="E179" s="131" t="str">
        <f>IF(Picks!E179="","",Picks!E179)</f>
        <v>x</v>
      </c>
      <c r="F179" s="128">
        <f>IF(Picks!F179="","",Picks!F179)</f>
        <v>-7</v>
      </c>
      <c r="G179" s="129">
        <f>IF(Picks!G179="","",Picks!G179)</f>
        <v>218.875</v>
      </c>
    </row>
    <row r="180" spans="1:7" x14ac:dyDescent="0.25">
      <c r="A180" s="132"/>
      <c r="B180" s="68" t="str">
        <f>IF(Picks!B180="","",Picks!B180)</f>
        <v>Fulham</v>
      </c>
      <c r="C180" s="90" t="str">
        <f>IF(Picks!C180="","",Picks!C180)</f>
        <v>11/2</v>
      </c>
      <c r="D180" s="122">
        <f>IF(Picks!D180="","",Picks!D180)</f>
        <v>6.5</v>
      </c>
      <c r="E180" s="100" t="str">
        <f>IF(Picks!E180="","",Picks!E180)</f>
        <v>x</v>
      </c>
      <c r="F180" s="155" t="str">
        <f>IF(Picks!F180="","",Picks!F180)</f>
        <v/>
      </c>
      <c r="G180" s="51" t="str">
        <f>IF(Picks!G180="","",Picks!G180)</f>
        <v/>
      </c>
    </row>
    <row r="181" spans="1:7" ht="13.8" thickBot="1" x14ac:dyDescent="0.3">
      <c r="A181" s="156"/>
      <c r="B181" s="149" t="str">
        <f>IF(Picks!B181="","",Picks!B181)</f>
        <v>Huddersfield</v>
      </c>
      <c r="C181" s="150" t="str">
        <f>IF(Picks!C181="","",Picks!C181)</f>
        <v>9/1</v>
      </c>
      <c r="D181" s="151">
        <f>IF(Picks!D181="","",Picks!D181)</f>
        <v>10</v>
      </c>
      <c r="E181" s="100" t="str">
        <f>IF(Picks!E181="","",Picks!E181)</f>
        <v>x</v>
      </c>
      <c r="F181" s="155" t="str">
        <f>IF(Picks!F181="","",Picks!F181)</f>
        <v/>
      </c>
      <c r="G181" s="51" t="str">
        <f>IF(Picks!G181="","",Picks!G181)</f>
        <v/>
      </c>
    </row>
    <row r="182" spans="1:7" ht="14.4" thickTop="1" thickBot="1" x14ac:dyDescent="0.3">
      <c r="A182" s="132" t="str">
        <f>IF(Picks!A182="","",Picks!A182)</f>
        <v>Stephen Troop</v>
      </c>
      <c r="B182" s="68" t="str">
        <f>IF(Picks!B182="","",Picks!B182)</f>
        <v>Bournemouth</v>
      </c>
      <c r="C182" s="90" t="str">
        <f>IF(Picks!C182="","",Picks!C182)</f>
        <v>17/5</v>
      </c>
      <c r="D182" s="126">
        <f>IF(Picks!D182="","",Picks!D182)</f>
        <v>4.4000000000000004</v>
      </c>
      <c r="E182" s="131" t="str">
        <f>IF(Picks!E182="","",Picks!E182)</f>
        <v>√</v>
      </c>
      <c r="F182" s="128">
        <f>IF(Picks!F182="","",Picks!F182)</f>
        <v>26.65</v>
      </c>
      <c r="G182" s="129">
        <f>IF(Picks!G182="","",Picks!G182)</f>
        <v>26.65</v>
      </c>
    </row>
    <row r="183" spans="1:7" x14ac:dyDescent="0.25">
      <c r="A183" s="132"/>
      <c r="B183" s="68" t="str">
        <f>IF(Picks!B183="","",Picks!B183)</f>
        <v>Liverpool</v>
      </c>
      <c r="C183" s="90" t="str">
        <f>IF(Picks!C183="","",Picks!C183)</f>
        <v>1/3</v>
      </c>
      <c r="D183" s="122">
        <f>IF(Picks!D183="","",Picks!D183)</f>
        <v>1.3333333333333333</v>
      </c>
      <c r="E183" s="100" t="str">
        <f>IF(Picks!E183="","",Picks!E183)</f>
        <v>√</v>
      </c>
      <c r="F183" s="155" t="str">
        <f>IF(Picks!F183="","",Picks!F183)</f>
        <v/>
      </c>
      <c r="G183" s="51" t="str">
        <f>IF(Picks!G183="","",Picks!G183)</f>
        <v/>
      </c>
    </row>
    <row r="184" spans="1:7" ht="13.8" thickBot="1" x14ac:dyDescent="0.3">
      <c r="A184" s="156"/>
      <c r="B184" s="149" t="str">
        <f>IF(Picks!B184="","",Picks!B184)</f>
        <v>Charlton</v>
      </c>
      <c r="C184" s="150" t="str">
        <f>IF(Picks!C184="","",Picks!C184)</f>
        <v>3/4</v>
      </c>
      <c r="D184" s="151">
        <f>IF(Picks!D184="","",Picks!D184)</f>
        <v>1.75</v>
      </c>
      <c r="E184" s="100" t="str">
        <f>IF(Picks!E184="","",Picks!E184)</f>
        <v>√</v>
      </c>
      <c r="F184" s="155" t="str">
        <f>IF(Picks!F184="","",Picks!F184)</f>
        <v/>
      </c>
      <c r="G184" s="51" t="str">
        <f>IF(Picks!G184="","",Picks!G184)</f>
        <v/>
      </c>
    </row>
    <row r="185" spans="1:7" ht="14.4" thickTop="1" thickBot="1" x14ac:dyDescent="0.3">
      <c r="A185" s="132" t="str">
        <f>IF(Picks!A185="","",Picks!A185)</f>
        <v>Steve Baxter</v>
      </c>
      <c r="B185" s="68" t="str">
        <f>IF(Picks!B185="","",Picks!B185)</f>
        <v>Liverpool</v>
      </c>
      <c r="C185" s="90" t="str">
        <f>IF(Picks!C185="","",Picks!C185)</f>
        <v>1/3</v>
      </c>
      <c r="D185" s="126">
        <f>IF(Picks!D185="","",Picks!D185)</f>
        <v>1.3333333333333333</v>
      </c>
      <c r="E185" s="131" t="str">
        <f>IF(Picks!E185="","",Picks!E185)</f>
        <v>√</v>
      </c>
      <c r="F185" s="128">
        <f>IF(Picks!F185="","",Picks!F185)</f>
        <v>-5.666666666666667</v>
      </c>
      <c r="G185" s="129">
        <f>IF(Picks!G185="","",Picks!G185)</f>
        <v>4.6116666666666664</v>
      </c>
    </row>
    <row r="186" spans="1:7" x14ac:dyDescent="0.25">
      <c r="A186" s="132"/>
      <c r="B186" s="68" t="str">
        <f>IF(Picks!B186="","",Picks!B186)</f>
        <v>Man U</v>
      </c>
      <c r="C186" s="90" t="str">
        <f>IF(Picks!C186="","",Picks!C186)</f>
        <v>3/10</v>
      </c>
      <c r="D186" s="122">
        <f>IF(Picks!D186="","",Picks!D186)</f>
        <v>1.3</v>
      </c>
      <c r="E186" s="100" t="str">
        <f>IF(Picks!E186="","",Picks!E186)</f>
        <v>x</v>
      </c>
      <c r="F186" s="155" t="str">
        <f>IF(Picks!F186="","",Picks!F186)</f>
        <v/>
      </c>
      <c r="G186" s="51" t="str">
        <f>IF(Picks!G186="","",Picks!G186)</f>
        <v/>
      </c>
    </row>
    <row r="187" spans="1:7" ht="13.8" thickBot="1" x14ac:dyDescent="0.3">
      <c r="A187" s="156"/>
      <c r="B187" s="149" t="str">
        <f>IF(Picks!B187="","",Picks!B187)</f>
        <v>Arsenal</v>
      </c>
      <c r="C187" s="150" t="str">
        <f>IF(Picks!C187="","",Picks!C187)</f>
        <v>7/20</v>
      </c>
      <c r="D187" s="151">
        <f>IF(Picks!D187="","",Picks!D187)</f>
        <v>1.35</v>
      </c>
      <c r="E187" s="100" t="str">
        <f>IF(Picks!E187="","",Picks!E187)</f>
        <v>x</v>
      </c>
      <c r="F187" s="155" t="str">
        <f>IF(Picks!F187="","",Picks!F187)</f>
        <v/>
      </c>
      <c r="G187" s="51" t="str">
        <f>IF(Picks!G187="","",Picks!G187)</f>
        <v/>
      </c>
    </row>
    <row r="188" spans="1:7" ht="14.4" thickTop="1" thickBot="1" x14ac:dyDescent="0.3">
      <c r="A188" s="132" t="str">
        <f>IF(Picks!A188="","",Picks!A188)</f>
        <v>Steve Carter</v>
      </c>
      <c r="B188" s="68" t="str">
        <f>IF(Picks!B188="","",Picks!B188)</f>
        <v>Everton</v>
      </c>
      <c r="C188" s="90" t="str">
        <f>IF(Picks!C188="","",Picks!C188)</f>
        <v>6/10</v>
      </c>
      <c r="D188" s="126">
        <f>IF(Picks!D188="","",Picks!D188)</f>
        <v>1.6</v>
      </c>
      <c r="E188" s="131" t="str">
        <f>IF(Picks!E188="","",Picks!E188)</f>
        <v>√</v>
      </c>
      <c r="F188" s="128">
        <f>IF(Picks!F188="","",Picks!F188)</f>
        <v>1.3599999999999994</v>
      </c>
      <c r="G188" s="129">
        <f>IF(Picks!G188="","",Picks!G188)</f>
        <v>17.740000000000002</v>
      </c>
    </row>
    <row r="189" spans="1:7" x14ac:dyDescent="0.25">
      <c r="A189" s="132"/>
      <c r="B189" s="68" t="str">
        <f>IF(Picks!B189="","",Picks!B189)</f>
        <v>Spurs</v>
      </c>
      <c r="C189" s="90" t="str">
        <f>IF(Picks!C189="","",Picks!C189)</f>
        <v>3/4</v>
      </c>
      <c r="D189" s="122">
        <f>IF(Picks!D189="","",Picks!D189)</f>
        <v>1.75</v>
      </c>
      <c r="E189" s="100" t="str">
        <f>IF(Picks!E189="","",Picks!E189)</f>
        <v>x</v>
      </c>
      <c r="F189" s="155" t="str">
        <f>IF(Picks!F189="","",Picks!F189)</f>
        <v/>
      </c>
      <c r="G189" s="51" t="str">
        <f>IF(Picks!G189="","",Picks!G189)</f>
        <v/>
      </c>
    </row>
    <row r="190" spans="1:7" ht="13.8" thickBot="1" x14ac:dyDescent="0.3">
      <c r="A190" s="156"/>
      <c r="B190" s="149" t="str">
        <f>IF(Picks!B190="","",Picks!B190)</f>
        <v>Palace</v>
      </c>
      <c r="C190" s="150" t="str">
        <f>IF(Picks!C190="","",Picks!C190)</f>
        <v>8/5</v>
      </c>
      <c r="D190" s="151">
        <f>IF(Picks!D190="","",Picks!D190)</f>
        <v>2.6</v>
      </c>
      <c r="E190" s="100" t="str">
        <f>IF(Picks!E190="","",Picks!E190)</f>
        <v>√</v>
      </c>
      <c r="F190" s="155" t="str">
        <f>IF(Picks!F190="","",Picks!F190)</f>
        <v/>
      </c>
      <c r="G190" s="51" t="str">
        <f>IF(Picks!G190="","",Picks!G190)</f>
        <v/>
      </c>
    </row>
    <row r="191" spans="1:7" ht="14.4" thickTop="1" thickBot="1" x14ac:dyDescent="0.3">
      <c r="A191" s="132" t="str">
        <f>IF(Picks!A191="","",Picks!A191)</f>
        <v>Tom Robinson</v>
      </c>
      <c r="B191" s="68" t="str">
        <f>IF(Picks!B191="","",Picks!B191)</f>
        <v>Luton</v>
      </c>
      <c r="C191" s="90" t="str">
        <f>IF(Picks!C191="","",Picks!C191)</f>
        <v>3/10</v>
      </c>
      <c r="D191" s="126">
        <f>IF(Picks!D191="","",Picks!D191)</f>
        <v>1.3</v>
      </c>
      <c r="E191" s="131" t="str">
        <f>IF(Picks!E191="","",Picks!E191)</f>
        <v>√</v>
      </c>
      <c r="F191" s="128">
        <f>IF(Picks!F191="","",Picks!F191)</f>
        <v>1.7749999999999986</v>
      </c>
      <c r="G191" s="129">
        <f>IF(Picks!G191="","",Picks!G191)</f>
        <v>37.942500000000003</v>
      </c>
    </row>
    <row r="192" spans="1:7" x14ac:dyDescent="0.25">
      <c r="A192" s="132"/>
      <c r="B192" s="68" t="str">
        <f>IF(Picks!B192="","",Picks!B192)</f>
        <v>Fleetwood</v>
      </c>
      <c r="C192" s="90" t="str">
        <f>IF(Picks!C192="","",Picks!C192)</f>
        <v>27/10</v>
      </c>
      <c r="D192" s="122">
        <f>IF(Picks!D192="","",Picks!D192)</f>
        <v>3.7</v>
      </c>
      <c r="E192" s="100" t="str">
        <f>IF(Picks!E192="","",Picks!E192)</f>
        <v>x</v>
      </c>
      <c r="F192" s="155" t="str">
        <f>IF(Picks!F192="","",Picks!F192)</f>
        <v/>
      </c>
      <c r="G192" s="51" t="str">
        <f>IF(Picks!G192="","",Picks!G192)</f>
        <v/>
      </c>
    </row>
    <row r="193" spans="1:7" ht="13.8" thickBot="1" x14ac:dyDescent="0.3">
      <c r="A193" s="156"/>
      <c r="B193" s="149" t="str">
        <f>IF(Picks!B193="","",Picks!B193)</f>
        <v>Macclesfield draw</v>
      </c>
      <c r="C193" s="150" t="str">
        <f>IF(Picks!C193="","",Picks!C193)</f>
        <v>9/4</v>
      </c>
      <c r="D193" s="151">
        <f>IF(Picks!D193="","",Picks!D193)</f>
        <v>3.25</v>
      </c>
      <c r="E193" s="100" t="str">
        <f>IF(Picks!E193="","",Picks!E193)</f>
        <v>√</v>
      </c>
      <c r="F193" s="155" t="str">
        <f>IF(Picks!F193="","",Picks!F193)</f>
        <v/>
      </c>
      <c r="G193" s="51" t="str">
        <f>IF(Picks!G193="","",Picks!G193)</f>
        <v/>
      </c>
    </row>
    <row r="194" spans="1:7" ht="14.4" thickTop="1" thickBot="1" x14ac:dyDescent="0.3">
      <c r="A194" s="132" t="str">
        <f>IF(Picks!A194="","",Picks!A194)</f>
        <v>Vinny Topping</v>
      </c>
      <c r="B194" s="68" t="str">
        <f>IF(Picks!B194="","",Picks!B194)</f>
        <v>Everton</v>
      </c>
      <c r="C194" s="90" t="str">
        <f>IF(Picks!C194="","",Picks!C194)</f>
        <v>6/10</v>
      </c>
      <c r="D194" s="126">
        <f>IF(Picks!D194="","",Picks!D194)</f>
        <v>1.6</v>
      </c>
      <c r="E194" s="131" t="str">
        <f>IF(Picks!E194="","",Picks!E194)</f>
        <v>√</v>
      </c>
      <c r="F194" s="128">
        <f>IF(Picks!F194="","",Picks!F194)</f>
        <v>0.58000000000000007</v>
      </c>
      <c r="G194" s="129">
        <f>IF(Picks!G194="","",Picks!G194)</f>
        <v>28.464999999999996</v>
      </c>
    </row>
    <row r="195" spans="1:7" x14ac:dyDescent="0.25">
      <c r="A195" s="132"/>
      <c r="B195" s="68" t="str">
        <f>IF(Picks!B195="","",Picks!B195)</f>
        <v>West Brom</v>
      </c>
      <c r="C195" s="90" t="str">
        <f>IF(Picks!C195="","",Picks!C195)</f>
        <v>9/4</v>
      </c>
      <c r="D195" s="122">
        <f>IF(Picks!D195="","",Picks!D195)</f>
        <v>3.25</v>
      </c>
      <c r="E195" s="100" t="str">
        <f>IF(Picks!E195="","",Picks!E195)</f>
        <v>x</v>
      </c>
      <c r="F195" s="155" t="str">
        <f>IF(Picks!F195="","",Picks!F195)</f>
        <v/>
      </c>
      <c r="G195" s="51" t="str">
        <f>IF(Picks!G195="","",Picks!G195)</f>
        <v/>
      </c>
    </row>
    <row r="196" spans="1:7" ht="13.8" thickBot="1" x14ac:dyDescent="0.3">
      <c r="A196" s="156"/>
      <c r="B196" s="149" t="str">
        <f>IF(Picks!B196="","",Picks!B196)</f>
        <v>Wigan</v>
      </c>
      <c r="C196" s="150" t="str">
        <f>IF(Picks!C196="","",Picks!C196)</f>
        <v>13/10</v>
      </c>
      <c r="D196" s="151">
        <f>IF(Picks!D196="","",Picks!D196)</f>
        <v>2.2999999999999998</v>
      </c>
      <c r="E196" s="100" t="str">
        <f>IF(Picks!E196="","",Picks!E196)</f>
        <v>√</v>
      </c>
      <c r="F196" s="155" t="str">
        <f>IF(Picks!F196="","",Picks!F196)</f>
        <v/>
      </c>
      <c r="G196" s="51" t="str">
        <f>IF(Picks!G196="","",Picks!G196)</f>
        <v/>
      </c>
    </row>
    <row r="197" spans="1:7" ht="13.8" thickTop="1" x14ac:dyDescent="0.25">
      <c r="E197" s="592"/>
      <c r="F197" s="592"/>
      <c r="G197" s="592"/>
    </row>
  </sheetData>
  <hyperlinks>
    <hyperlink ref="A1" location="Menu!A1" display="Menu!A1"/>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R76"/>
  <sheetViews>
    <sheetView topLeftCell="A25" workbookViewId="0">
      <selection activeCell="B45" sqref="B45"/>
    </sheetView>
  </sheetViews>
  <sheetFormatPr defaultRowHeight="13.2" x14ac:dyDescent="0.25"/>
  <cols>
    <col min="1" max="1" width="10.109375" bestFit="1" customWidth="1"/>
    <col min="2" max="2" width="18.88671875" style="4" customWidth="1"/>
    <col min="3" max="3" width="19.109375" style="17" customWidth="1"/>
    <col min="4" max="4" width="14" style="17" customWidth="1"/>
    <col min="5" max="5" width="16.33203125" customWidth="1"/>
    <col min="6" max="6" width="7.109375" customWidth="1"/>
    <col min="8" max="10" width="16.33203125" customWidth="1"/>
  </cols>
  <sheetData>
    <row r="1" spans="1:18" hidden="1" x14ac:dyDescent="0.25">
      <c r="A1" s="86"/>
      <c r="B1" s="87"/>
      <c r="C1" s="180"/>
      <c r="D1" s="180"/>
      <c r="E1" s="180"/>
      <c r="F1" s="178"/>
      <c r="G1" s="86"/>
      <c r="H1" s="86"/>
      <c r="I1" s="86"/>
      <c r="J1" s="86"/>
      <c r="K1" s="86"/>
      <c r="L1" s="86"/>
      <c r="M1" s="86"/>
      <c r="N1" s="86"/>
      <c r="O1" s="86"/>
      <c r="P1" s="86"/>
      <c r="Q1" s="86"/>
      <c r="R1" s="86"/>
    </row>
    <row r="2" spans="1:18" hidden="1" x14ac:dyDescent="0.25">
      <c r="A2" s="86"/>
      <c r="B2" s="87"/>
      <c r="C2" s="180"/>
      <c r="D2" s="180"/>
      <c r="E2" s="180"/>
      <c r="F2" s="178"/>
      <c r="G2" s="86"/>
      <c r="H2" s="86"/>
      <c r="I2" s="86"/>
      <c r="J2" s="86"/>
      <c r="K2" s="86"/>
      <c r="L2" s="86"/>
      <c r="M2" s="86"/>
      <c r="N2" s="86"/>
      <c r="O2" s="86"/>
      <c r="P2" s="86"/>
      <c r="Q2" s="86"/>
      <c r="R2" s="86"/>
    </row>
    <row r="3" spans="1:18" ht="35.1" hidden="1" customHeight="1" x14ac:dyDescent="0.25">
      <c r="A3" s="86"/>
      <c r="B3" s="322" t="s">
        <v>477</v>
      </c>
      <c r="C3" s="207"/>
      <c r="D3" s="207"/>
      <c r="E3" s="208"/>
      <c r="F3" s="177"/>
      <c r="H3" s="328" t="s">
        <v>381</v>
      </c>
      <c r="I3" s="296"/>
      <c r="J3" s="296"/>
      <c r="K3" s="86"/>
      <c r="L3" s="86"/>
      <c r="M3" s="86"/>
      <c r="N3" s="86"/>
      <c r="O3" s="86"/>
      <c r="P3" s="86"/>
      <c r="Q3" s="86"/>
    </row>
    <row r="4" spans="1:18" s="307" customFormat="1" ht="24.9" hidden="1" customHeight="1" x14ac:dyDescent="0.25">
      <c r="A4" s="172"/>
      <c r="B4" s="209" t="s">
        <v>369</v>
      </c>
      <c r="C4" s="211" t="s">
        <v>370</v>
      </c>
      <c r="D4" s="211" t="s">
        <v>371</v>
      </c>
      <c r="E4" s="210" t="s">
        <v>143</v>
      </c>
      <c r="F4" s="320"/>
      <c r="G4" s="172"/>
      <c r="H4" s="329" t="s">
        <v>261</v>
      </c>
      <c r="I4" s="329" t="s">
        <v>262</v>
      </c>
      <c r="J4" s="329" t="s">
        <v>263</v>
      </c>
      <c r="K4" s="172"/>
      <c r="L4" s="172"/>
      <c r="M4" s="172"/>
      <c r="N4" s="172"/>
      <c r="O4" s="172"/>
      <c r="P4" s="172"/>
    </row>
    <row r="5" spans="1:18" ht="20.100000000000001" hidden="1" customHeight="1" x14ac:dyDescent="0.25">
      <c r="A5" s="86"/>
      <c r="B5" s="406">
        <v>43323</v>
      </c>
      <c r="C5" s="404">
        <v>1</v>
      </c>
      <c r="D5" s="321"/>
      <c r="E5" s="212"/>
      <c r="F5" s="178"/>
      <c r="G5" s="86"/>
      <c r="H5" s="212">
        <f>IF($B5="","",$B5-5)</f>
        <v>43318</v>
      </c>
      <c r="I5" s="212">
        <f>IF($B5="","",$B5-3)</f>
        <v>43320</v>
      </c>
      <c r="J5" s="212">
        <f>IF($B5="","",$B5+2)</f>
        <v>43325</v>
      </c>
      <c r="K5" s="86"/>
      <c r="L5" s="86"/>
      <c r="M5" s="86"/>
      <c r="N5" s="86"/>
      <c r="O5" s="86"/>
      <c r="P5" s="86"/>
    </row>
    <row r="6" spans="1:18" ht="20.100000000000001" hidden="1" customHeight="1" x14ac:dyDescent="0.25">
      <c r="A6" s="86"/>
      <c r="B6" s="406">
        <v>43330</v>
      </c>
      <c r="C6" s="404">
        <v>2</v>
      </c>
      <c r="D6" s="321"/>
      <c r="E6" s="212"/>
      <c r="F6" s="178"/>
      <c r="G6" s="86"/>
      <c r="H6" s="212">
        <f t="shared" ref="H6:H24" si="0">IF($B6="","",$B6-5)</f>
        <v>43325</v>
      </c>
      <c r="I6" s="212">
        <f t="shared" ref="I6:I24" si="1">IF($B6="","",$B6-3)</f>
        <v>43327</v>
      </c>
      <c r="J6" s="212">
        <f t="shared" ref="J6:J24" si="2">IF($B6="","",$B6+2)</f>
        <v>43332</v>
      </c>
      <c r="K6" s="86"/>
      <c r="L6" s="86"/>
      <c r="M6" s="86"/>
      <c r="N6" s="86"/>
      <c r="O6" s="86"/>
      <c r="P6" s="86"/>
    </row>
    <row r="7" spans="1:18" ht="20.100000000000001" hidden="1" customHeight="1" x14ac:dyDescent="0.25">
      <c r="A7" s="86"/>
      <c r="B7" s="406">
        <v>43337</v>
      </c>
      <c r="C7" s="404">
        <v>3</v>
      </c>
      <c r="D7" s="321"/>
      <c r="E7" s="212" t="s">
        <v>144</v>
      </c>
      <c r="F7" s="178"/>
      <c r="G7" s="86"/>
      <c r="H7" s="212">
        <f t="shared" si="0"/>
        <v>43332</v>
      </c>
      <c r="I7" s="212">
        <f t="shared" si="1"/>
        <v>43334</v>
      </c>
      <c r="J7" s="212">
        <f t="shared" si="2"/>
        <v>43339</v>
      </c>
      <c r="K7" s="86"/>
      <c r="L7" s="86"/>
      <c r="M7" s="86"/>
      <c r="N7" s="86"/>
      <c r="O7" s="86"/>
      <c r="P7" s="86"/>
    </row>
    <row r="8" spans="1:18" ht="20.100000000000001" hidden="1" customHeight="1" x14ac:dyDescent="0.25">
      <c r="A8" s="86"/>
      <c r="B8" s="406">
        <v>43344</v>
      </c>
      <c r="C8" s="404">
        <v>4</v>
      </c>
      <c r="D8" s="321"/>
      <c r="E8" s="212" t="s">
        <v>145</v>
      </c>
      <c r="F8" s="178"/>
      <c r="G8" s="86"/>
      <c r="H8" s="212">
        <f t="shared" si="0"/>
        <v>43339</v>
      </c>
      <c r="I8" s="212">
        <f t="shared" si="1"/>
        <v>43341</v>
      </c>
      <c r="J8" s="212">
        <f t="shared" si="2"/>
        <v>43346</v>
      </c>
      <c r="K8" s="86"/>
      <c r="L8" s="86"/>
      <c r="M8" s="86"/>
      <c r="N8" s="86"/>
      <c r="O8" s="86"/>
      <c r="P8" s="86"/>
    </row>
    <row r="9" spans="1:18" ht="20.100000000000001" hidden="1" customHeight="1" x14ac:dyDescent="0.25">
      <c r="A9" s="86"/>
      <c r="B9" s="406">
        <v>43351</v>
      </c>
      <c r="C9" s="404">
        <v>5</v>
      </c>
      <c r="D9" s="321"/>
      <c r="E9" s="213" t="s">
        <v>146</v>
      </c>
      <c r="F9" s="178"/>
      <c r="G9" s="86"/>
      <c r="H9" s="212">
        <f t="shared" si="0"/>
        <v>43346</v>
      </c>
      <c r="I9" s="212">
        <f t="shared" si="1"/>
        <v>43348</v>
      </c>
      <c r="J9" s="212">
        <f t="shared" si="2"/>
        <v>43353</v>
      </c>
      <c r="K9" s="86"/>
      <c r="L9" s="86"/>
      <c r="M9" s="86"/>
      <c r="N9" s="86"/>
      <c r="O9" s="86"/>
      <c r="P9" s="86"/>
    </row>
    <row r="10" spans="1:18" ht="20.100000000000001" hidden="1" customHeight="1" x14ac:dyDescent="0.25">
      <c r="A10" s="86"/>
      <c r="B10" s="406">
        <v>43358</v>
      </c>
      <c r="C10" s="404">
        <v>6</v>
      </c>
      <c r="D10" s="321"/>
      <c r="E10" s="213" t="s">
        <v>147</v>
      </c>
      <c r="F10" s="179"/>
      <c r="G10" s="86"/>
      <c r="H10" s="212">
        <f t="shared" si="0"/>
        <v>43353</v>
      </c>
      <c r="I10" s="212">
        <f t="shared" si="1"/>
        <v>43355</v>
      </c>
      <c r="J10" s="212">
        <f t="shared" si="2"/>
        <v>43360</v>
      </c>
      <c r="K10" s="86"/>
      <c r="L10" s="86"/>
      <c r="M10" s="86"/>
      <c r="N10" s="86"/>
      <c r="O10" s="86"/>
      <c r="P10" s="86"/>
    </row>
    <row r="11" spans="1:18" ht="20.100000000000001" hidden="1" customHeight="1" x14ac:dyDescent="0.25">
      <c r="A11" s="86"/>
      <c r="B11" s="406">
        <v>43365</v>
      </c>
      <c r="C11" s="404">
        <v>7</v>
      </c>
      <c r="D11" s="321"/>
      <c r="E11" s="212"/>
      <c r="F11" s="179"/>
      <c r="G11" s="86"/>
      <c r="H11" s="212">
        <f t="shared" si="0"/>
        <v>43360</v>
      </c>
      <c r="I11" s="212">
        <f t="shared" si="1"/>
        <v>43362</v>
      </c>
      <c r="J11" s="212">
        <f t="shared" si="2"/>
        <v>43367</v>
      </c>
      <c r="K11" s="86"/>
      <c r="L11" s="86"/>
      <c r="M11" s="86"/>
      <c r="N11" s="86"/>
      <c r="O11" s="86"/>
      <c r="P11" s="86"/>
    </row>
    <row r="12" spans="1:18" ht="20.100000000000001" hidden="1" customHeight="1" x14ac:dyDescent="0.25">
      <c r="A12" s="86"/>
      <c r="B12" s="406">
        <v>43372</v>
      </c>
      <c r="C12" s="405" t="s">
        <v>372</v>
      </c>
      <c r="D12" s="321"/>
      <c r="E12" s="212" t="s">
        <v>148</v>
      </c>
      <c r="F12" s="179"/>
      <c r="G12" s="86"/>
      <c r="H12" s="212">
        <f t="shared" si="0"/>
        <v>43367</v>
      </c>
      <c r="I12" s="212">
        <f t="shared" si="1"/>
        <v>43369</v>
      </c>
      <c r="J12" s="212">
        <f t="shared" si="2"/>
        <v>43374</v>
      </c>
      <c r="K12" s="86"/>
      <c r="L12" s="86"/>
      <c r="M12" s="86"/>
      <c r="N12" s="86"/>
      <c r="O12" s="86"/>
      <c r="P12" s="86"/>
    </row>
    <row r="13" spans="1:18" ht="20.100000000000001" hidden="1" customHeight="1" x14ac:dyDescent="0.25">
      <c r="A13" s="86"/>
      <c r="B13" s="406">
        <v>43379</v>
      </c>
      <c r="C13" s="404" t="s">
        <v>373</v>
      </c>
      <c r="D13" s="321" t="s">
        <v>258</v>
      </c>
      <c r="E13" s="212" t="s">
        <v>149</v>
      </c>
      <c r="F13" s="178"/>
      <c r="G13" s="86"/>
      <c r="H13" s="212">
        <f t="shared" si="0"/>
        <v>43374</v>
      </c>
      <c r="I13" s="212">
        <f t="shared" si="1"/>
        <v>43376</v>
      </c>
      <c r="J13" s="212">
        <f t="shared" si="2"/>
        <v>43381</v>
      </c>
      <c r="K13" s="86"/>
      <c r="L13" s="86"/>
      <c r="M13" s="86"/>
      <c r="N13" s="86"/>
      <c r="O13" s="86"/>
      <c r="P13" s="86"/>
    </row>
    <row r="14" spans="1:18" ht="20.100000000000001" hidden="1" customHeight="1" x14ac:dyDescent="0.25">
      <c r="A14" s="86"/>
      <c r="B14" s="406">
        <v>43379</v>
      </c>
      <c r="C14" s="404" t="s">
        <v>247</v>
      </c>
      <c r="D14" s="321" t="s">
        <v>258</v>
      </c>
      <c r="E14" s="212"/>
      <c r="F14" s="178"/>
      <c r="G14" s="86"/>
      <c r="H14" s="212">
        <f t="shared" si="0"/>
        <v>43374</v>
      </c>
      <c r="I14" s="212">
        <f t="shared" si="1"/>
        <v>43376</v>
      </c>
      <c r="J14" s="212">
        <f t="shared" si="2"/>
        <v>43381</v>
      </c>
      <c r="K14" s="86"/>
      <c r="L14" s="86"/>
      <c r="M14" s="86"/>
      <c r="N14" s="86"/>
      <c r="O14" s="86"/>
      <c r="P14" s="86"/>
    </row>
    <row r="15" spans="1:18" ht="20.100000000000001" hidden="1" customHeight="1" x14ac:dyDescent="0.25">
      <c r="A15" s="86"/>
      <c r="B15" s="406">
        <v>43386</v>
      </c>
      <c r="C15" s="404" t="s">
        <v>248</v>
      </c>
      <c r="D15" s="321"/>
      <c r="E15" s="212" t="s">
        <v>150</v>
      </c>
      <c r="F15" s="178"/>
      <c r="G15" s="86"/>
      <c r="H15" s="212">
        <f t="shared" si="0"/>
        <v>43381</v>
      </c>
      <c r="I15" s="212">
        <f t="shared" si="1"/>
        <v>43383</v>
      </c>
      <c r="J15" s="212">
        <f t="shared" si="2"/>
        <v>43388</v>
      </c>
      <c r="K15" s="86"/>
      <c r="L15" s="86"/>
      <c r="M15" s="86"/>
      <c r="N15" s="86"/>
      <c r="O15" s="86"/>
      <c r="P15" s="86"/>
    </row>
    <row r="16" spans="1:18" ht="20.100000000000001" hidden="1" customHeight="1" x14ac:dyDescent="0.25">
      <c r="A16" s="86"/>
      <c r="B16" s="406">
        <v>43393</v>
      </c>
      <c r="C16" s="404" t="s">
        <v>249</v>
      </c>
      <c r="D16" s="321"/>
      <c r="E16" s="212" t="s">
        <v>151</v>
      </c>
      <c r="F16" s="178"/>
      <c r="G16" s="86"/>
      <c r="H16" s="212">
        <f t="shared" si="0"/>
        <v>43388</v>
      </c>
      <c r="I16" s="212">
        <f t="shared" si="1"/>
        <v>43390</v>
      </c>
      <c r="J16" s="212">
        <f t="shared" si="2"/>
        <v>43395</v>
      </c>
      <c r="K16" s="86"/>
      <c r="L16" s="86"/>
      <c r="M16" s="86"/>
      <c r="N16" s="86"/>
      <c r="O16" s="86"/>
      <c r="P16" s="86"/>
    </row>
    <row r="17" spans="1:16" ht="20.100000000000001" hidden="1" customHeight="1" x14ac:dyDescent="0.25">
      <c r="A17" s="86"/>
      <c r="B17" s="406">
        <v>43400</v>
      </c>
      <c r="C17" s="404" t="s">
        <v>250</v>
      </c>
      <c r="D17" s="321"/>
      <c r="E17" s="212"/>
      <c r="F17" s="178"/>
      <c r="G17" s="86"/>
      <c r="H17" s="212">
        <f t="shared" si="0"/>
        <v>43395</v>
      </c>
      <c r="I17" s="212">
        <f t="shared" si="1"/>
        <v>43397</v>
      </c>
      <c r="J17" s="212">
        <f t="shared" si="2"/>
        <v>43402</v>
      </c>
      <c r="K17" s="86"/>
      <c r="L17" s="86"/>
      <c r="M17" s="86"/>
      <c r="N17" s="86"/>
      <c r="O17" s="86"/>
      <c r="P17" s="86"/>
    </row>
    <row r="18" spans="1:16" ht="20.100000000000001" hidden="1" customHeight="1" x14ac:dyDescent="0.25">
      <c r="A18" s="86"/>
      <c r="B18" s="406">
        <v>43407</v>
      </c>
      <c r="C18" s="404" t="s">
        <v>251</v>
      </c>
      <c r="D18" s="321"/>
      <c r="E18" s="212" t="s">
        <v>152</v>
      </c>
      <c r="F18" s="178"/>
      <c r="G18" s="86"/>
      <c r="H18" s="212">
        <f t="shared" si="0"/>
        <v>43402</v>
      </c>
      <c r="I18" s="212">
        <f t="shared" si="1"/>
        <v>43404</v>
      </c>
      <c r="J18" s="212">
        <f t="shared" si="2"/>
        <v>43409</v>
      </c>
      <c r="K18" s="86"/>
      <c r="L18" s="86"/>
      <c r="M18" s="86"/>
      <c r="N18" s="86"/>
      <c r="O18" s="86"/>
      <c r="P18" s="86"/>
    </row>
    <row r="19" spans="1:16" ht="20.100000000000001" hidden="1" customHeight="1" x14ac:dyDescent="0.25">
      <c r="A19" s="86"/>
      <c r="B19" s="406">
        <v>43414</v>
      </c>
      <c r="C19" s="404" t="s">
        <v>252</v>
      </c>
      <c r="D19" s="321"/>
      <c r="E19" s="212" t="s">
        <v>153</v>
      </c>
      <c r="F19" s="178"/>
      <c r="G19" s="86"/>
      <c r="H19" s="212">
        <f t="shared" si="0"/>
        <v>43409</v>
      </c>
      <c r="I19" s="212">
        <f t="shared" si="1"/>
        <v>43411</v>
      </c>
      <c r="J19" s="212">
        <f t="shared" si="2"/>
        <v>43416</v>
      </c>
      <c r="K19" s="86"/>
      <c r="L19" s="86"/>
      <c r="M19" s="86"/>
      <c r="N19" s="86"/>
      <c r="O19" s="86"/>
      <c r="P19" s="86"/>
    </row>
    <row r="20" spans="1:16" ht="20.100000000000001" hidden="1" customHeight="1" x14ac:dyDescent="0.25">
      <c r="A20" s="86"/>
      <c r="B20" s="406">
        <v>43421</v>
      </c>
      <c r="C20" s="404" t="s">
        <v>253</v>
      </c>
      <c r="D20" s="321"/>
      <c r="E20" s="212" t="s">
        <v>154</v>
      </c>
      <c r="F20" s="178"/>
      <c r="G20" s="86"/>
      <c r="H20" s="212">
        <f t="shared" si="0"/>
        <v>43416</v>
      </c>
      <c r="I20" s="212">
        <f t="shared" si="1"/>
        <v>43418</v>
      </c>
      <c r="J20" s="212">
        <f t="shared" si="2"/>
        <v>43423</v>
      </c>
      <c r="K20" s="86"/>
      <c r="L20" s="86"/>
      <c r="M20" s="86"/>
      <c r="N20" s="86"/>
      <c r="O20" s="86"/>
      <c r="P20" s="86"/>
    </row>
    <row r="21" spans="1:16" ht="20.100000000000001" hidden="1" customHeight="1" x14ac:dyDescent="0.25">
      <c r="A21" s="86"/>
      <c r="B21" s="406">
        <v>43428</v>
      </c>
      <c r="C21" s="404" t="s">
        <v>254</v>
      </c>
      <c r="D21" s="321"/>
      <c r="E21" s="212" t="s">
        <v>155</v>
      </c>
      <c r="F21" s="178"/>
      <c r="G21" s="86"/>
      <c r="H21" s="212">
        <f t="shared" si="0"/>
        <v>43423</v>
      </c>
      <c r="I21" s="212">
        <f t="shared" si="1"/>
        <v>43425</v>
      </c>
      <c r="J21" s="212">
        <f t="shared" si="2"/>
        <v>43430</v>
      </c>
      <c r="K21" s="86"/>
      <c r="L21" s="86"/>
      <c r="M21" s="86"/>
      <c r="N21" s="86"/>
      <c r="O21" s="86"/>
      <c r="P21" s="86"/>
    </row>
    <row r="22" spans="1:16" ht="20.100000000000001" hidden="1" customHeight="1" x14ac:dyDescent="0.25">
      <c r="A22" s="86"/>
      <c r="B22" s="406">
        <v>43435</v>
      </c>
      <c r="C22" s="404" t="s">
        <v>255</v>
      </c>
      <c r="D22" s="321"/>
      <c r="E22" s="212" t="s">
        <v>18</v>
      </c>
      <c r="F22" s="178"/>
      <c r="G22" s="86"/>
      <c r="H22" s="212">
        <f t="shared" si="0"/>
        <v>43430</v>
      </c>
      <c r="I22" s="212">
        <f t="shared" si="1"/>
        <v>43432</v>
      </c>
      <c r="J22" s="212">
        <f t="shared" si="2"/>
        <v>43437</v>
      </c>
      <c r="K22" s="86"/>
      <c r="L22" s="86"/>
      <c r="M22" s="86"/>
      <c r="N22" s="86"/>
      <c r="O22" s="86"/>
      <c r="P22" s="86"/>
    </row>
    <row r="23" spans="1:16" ht="20.100000000000001" hidden="1" customHeight="1" x14ac:dyDescent="0.25">
      <c r="A23" s="86"/>
      <c r="B23" s="406">
        <v>43442</v>
      </c>
      <c r="C23" s="404" t="s">
        <v>256</v>
      </c>
      <c r="D23" s="321"/>
      <c r="E23" s="212" t="s">
        <v>156</v>
      </c>
      <c r="F23" s="178"/>
      <c r="G23" s="86"/>
      <c r="H23" s="212">
        <f t="shared" si="0"/>
        <v>43437</v>
      </c>
      <c r="I23" s="212">
        <f t="shared" si="1"/>
        <v>43439</v>
      </c>
      <c r="J23" s="212">
        <f t="shared" si="2"/>
        <v>43444</v>
      </c>
      <c r="K23" s="86"/>
      <c r="L23" s="86"/>
      <c r="M23" s="86"/>
      <c r="N23" s="86"/>
      <c r="O23" s="86"/>
      <c r="P23" s="86"/>
    </row>
    <row r="24" spans="1:16" ht="20.100000000000001" hidden="1" customHeight="1" x14ac:dyDescent="0.25">
      <c r="A24" s="86"/>
      <c r="B24" s="406">
        <v>43449</v>
      </c>
      <c r="C24" s="404">
        <v>20</v>
      </c>
      <c r="D24" s="321"/>
      <c r="E24" s="212"/>
      <c r="F24" s="178"/>
      <c r="G24" s="86"/>
      <c r="H24" s="212">
        <f t="shared" si="0"/>
        <v>43444</v>
      </c>
      <c r="I24" s="212">
        <f t="shared" si="1"/>
        <v>43446</v>
      </c>
      <c r="J24" s="212">
        <f t="shared" si="2"/>
        <v>43451</v>
      </c>
      <c r="K24" s="86"/>
      <c r="L24" s="86"/>
      <c r="M24" s="86"/>
      <c r="N24" s="86"/>
      <c r="O24" s="86"/>
      <c r="P24" s="86"/>
    </row>
    <row r="25" spans="1:16" x14ac:dyDescent="0.25">
      <c r="A25" s="86"/>
      <c r="B25" s="87"/>
      <c r="C25" s="180"/>
      <c r="D25" s="180"/>
      <c r="E25" s="86"/>
      <c r="F25" s="176"/>
      <c r="G25" s="86"/>
      <c r="H25" s="86"/>
      <c r="I25" s="86"/>
      <c r="J25" s="86"/>
      <c r="K25" s="86"/>
      <c r="L25" s="86"/>
      <c r="M25" s="86"/>
      <c r="N25" s="86"/>
      <c r="O25" s="86"/>
      <c r="P25" s="86"/>
    </row>
    <row r="26" spans="1:16" ht="35.1" customHeight="1" x14ac:dyDescent="0.25">
      <c r="A26" s="86"/>
      <c r="B26" s="322" t="s">
        <v>552</v>
      </c>
      <c r="C26" s="207"/>
      <c r="D26" s="207"/>
      <c r="E26" s="208"/>
      <c r="F26" s="176"/>
      <c r="G26" s="86"/>
      <c r="H26" s="328" t="s">
        <v>381</v>
      </c>
      <c r="I26" s="296"/>
      <c r="J26" s="296"/>
      <c r="K26" s="86"/>
      <c r="L26" s="86"/>
      <c r="M26" s="86"/>
      <c r="N26" s="86"/>
      <c r="O26" s="86"/>
      <c r="P26" s="86"/>
    </row>
    <row r="27" spans="1:16" ht="24.9" customHeight="1" x14ac:dyDescent="0.25">
      <c r="A27" s="86"/>
      <c r="B27" s="209" t="s">
        <v>369</v>
      </c>
      <c r="C27" s="211" t="s">
        <v>370</v>
      </c>
      <c r="D27" s="211" t="s">
        <v>371</v>
      </c>
      <c r="E27" s="210" t="s">
        <v>143</v>
      </c>
      <c r="F27" s="176"/>
      <c r="G27" s="86"/>
      <c r="H27" s="329" t="s">
        <v>261</v>
      </c>
      <c r="I27" s="329" t="s">
        <v>262</v>
      </c>
      <c r="J27" s="329" t="s">
        <v>263</v>
      </c>
      <c r="K27" s="86"/>
      <c r="L27" s="86"/>
      <c r="M27" s="86"/>
      <c r="N27" s="86"/>
      <c r="O27" s="86"/>
      <c r="P27" s="86"/>
    </row>
    <row r="28" spans="1:16" ht="20.100000000000001" customHeight="1" x14ac:dyDescent="0.25">
      <c r="A28" s="660"/>
      <c r="B28" s="406">
        <v>43465</v>
      </c>
      <c r="C28" s="404" t="s">
        <v>374</v>
      </c>
      <c r="D28" s="321"/>
      <c r="E28" s="212"/>
      <c r="F28" s="176"/>
      <c r="G28" s="86"/>
      <c r="H28" s="212">
        <f>IF($B28="","",$B28+1)</f>
        <v>43466</v>
      </c>
      <c r="I28" s="212">
        <f>IF($B28="","",$B28+2)</f>
        <v>43467</v>
      </c>
      <c r="J28" s="212">
        <f>IF($B28="","",$B28+7)</f>
        <v>43472</v>
      </c>
      <c r="K28" s="86"/>
      <c r="L28" s="86"/>
      <c r="M28" s="86"/>
      <c r="N28" s="86"/>
      <c r="O28" s="86"/>
      <c r="P28" s="86"/>
    </row>
    <row r="29" spans="1:16" ht="20.100000000000001" customHeight="1" x14ac:dyDescent="0.25">
      <c r="A29" s="660"/>
      <c r="B29" s="406">
        <v>43472</v>
      </c>
      <c r="C29" s="404" t="s">
        <v>375</v>
      </c>
      <c r="D29" s="321"/>
      <c r="E29" s="212"/>
      <c r="F29" s="176"/>
      <c r="G29" s="86"/>
      <c r="H29" s="212">
        <f t="shared" ref="H29:H47" si="3">IF($B29="","",$B29+1)</f>
        <v>43473</v>
      </c>
      <c r="I29" s="212">
        <f t="shared" ref="I29:I47" si="4">IF($B29="","",$B29+2)</f>
        <v>43474</v>
      </c>
      <c r="J29" s="212">
        <f t="shared" ref="J29:J47" si="5">IF($B29="","",$B29+7)</f>
        <v>43479</v>
      </c>
      <c r="K29" s="86"/>
      <c r="L29" s="86"/>
      <c r="M29" s="86"/>
      <c r="N29" s="86"/>
      <c r="O29" s="86"/>
      <c r="P29" s="86"/>
    </row>
    <row r="30" spans="1:16" ht="20.100000000000001" customHeight="1" x14ac:dyDescent="0.25">
      <c r="A30" s="660"/>
      <c r="B30" s="406">
        <v>43479</v>
      </c>
      <c r="C30" s="404" t="s">
        <v>376</v>
      </c>
      <c r="D30" s="321"/>
      <c r="E30" s="212"/>
      <c r="F30" s="176"/>
      <c r="G30" s="86"/>
      <c r="H30" s="212">
        <f t="shared" si="3"/>
        <v>43480</v>
      </c>
      <c r="I30" s="212">
        <f t="shared" si="4"/>
        <v>43481</v>
      </c>
      <c r="J30" s="212">
        <f t="shared" si="5"/>
        <v>43486</v>
      </c>
      <c r="K30" s="86"/>
      <c r="L30" s="86"/>
      <c r="M30" s="86"/>
      <c r="N30" s="86"/>
      <c r="O30" s="86"/>
      <c r="P30" s="86"/>
    </row>
    <row r="31" spans="1:16" ht="20.100000000000001" customHeight="1" x14ac:dyDescent="0.25">
      <c r="A31" s="660"/>
      <c r="B31" s="406">
        <v>43486</v>
      </c>
      <c r="C31" s="404" t="s">
        <v>377</v>
      </c>
      <c r="D31" s="321" t="s">
        <v>258</v>
      </c>
      <c r="E31" s="212" t="s">
        <v>144</v>
      </c>
      <c r="F31" s="176"/>
      <c r="G31" s="86"/>
      <c r="H31" s="212">
        <f t="shared" si="3"/>
        <v>43487</v>
      </c>
      <c r="I31" s="212">
        <f t="shared" si="4"/>
        <v>43488</v>
      </c>
      <c r="J31" s="212">
        <f t="shared" si="5"/>
        <v>43493</v>
      </c>
      <c r="K31" s="86"/>
      <c r="L31" s="86"/>
      <c r="M31" s="86"/>
      <c r="N31" s="86"/>
      <c r="O31" s="86"/>
      <c r="P31" s="86"/>
    </row>
    <row r="32" spans="1:16" ht="20.100000000000001" customHeight="1" x14ac:dyDescent="0.25">
      <c r="A32" s="660"/>
      <c r="B32" s="406">
        <v>43486</v>
      </c>
      <c r="C32" s="404" t="s">
        <v>378</v>
      </c>
      <c r="D32" s="321" t="s">
        <v>258</v>
      </c>
      <c r="E32" s="212" t="s">
        <v>145</v>
      </c>
      <c r="F32" s="176"/>
      <c r="G32" s="86"/>
      <c r="H32" s="212">
        <f t="shared" si="3"/>
        <v>43487</v>
      </c>
      <c r="I32" s="212">
        <f t="shared" si="4"/>
        <v>43488</v>
      </c>
      <c r="J32" s="212">
        <f t="shared" si="5"/>
        <v>43493</v>
      </c>
      <c r="K32" s="86"/>
      <c r="L32" s="86"/>
      <c r="M32" s="86"/>
      <c r="N32" s="86"/>
      <c r="O32" s="86"/>
      <c r="P32" s="86"/>
    </row>
    <row r="33" spans="1:16" ht="20.100000000000001" customHeight="1" x14ac:dyDescent="0.25">
      <c r="A33" s="660"/>
      <c r="B33" s="406">
        <v>43493</v>
      </c>
      <c r="C33" s="404" t="s">
        <v>379</v>
      </c>
      <c r="D33" s="321"/>
      <c r="E33" s="212" t="s">
        <v>146</v>
      </c>
      <c r="F33" s="176"/>
      <c r="G33" s="86"/>
      <c r="H33" s="212">
        <f t="shared" si="3"/>
        <v>43494</v>
      </c>
      <c r="I33" s="212">
        <f t="shared" si="4"/>
        <v>43495</v>
      </c>
      <c r="J33" s="212">
        <f t="shared" si="5"/>
        <v>43500</v>
      </c>
      <c r="K33" s="86"/>
      <c r="L33" s="86"/>
      <c r="M33" s="86"/>
      <c r="N33" s="86"/>
      <c r="O33" s="86"/>
      <c r="P33" s="86"/>
    </row>
    <row r="34" spans="1:16" ht="20.100000000000001" customHeight="1" x14ac:dyDescent="0.25">
      <c r="A34" s="660"/>
      <c r="B34" s="406">
        <v>43500</v>
      </c>
      <c r="C34" s="404" t="s">
        <v>380</v>
      </c>
      <c r="D34" s="321"/>
      <c r="E34" s="212" t="s">
        <v>147</v>
      </c>
      <c r="F34" s="176"/>
      <c r="G34" s="86"/>
      <c r="H34" s="212">
        <f t="shared" si="3"/>
        <v>43501</v>
      </c>
      <c r="I34" s="212">
        <f t="shared" si="4"/>
        <v>43502</v>
      </c>
      <c r="J34" s="212">
        <f t="shared" si="5"/>
        <v>43507</v>
      </c>
      <c r="K34" s="86"/>
      <c r="L34" s="86"/>
      <c r="M34" s="86"/>
      <c r="N34" s="86"/>
      <c r="O34" s="86"/>
      <c r="P34" s="86"/>
    </row>
    <row r="35" spans="1:16" ht="20.100000000000001" customHeight="1" x14ac:dyDescent="0.25">
      <c r="A35" s="660"/>
      <c r="B35" s="406">
        <v>43507</v>
      </c>
      <c r="C35" s="405" t="s">
        <v>372</v>
      </c>
      <c r="D35" s="321"/>
      <c r="E35" s="212" t="s">
        <v>148</v>
      </c>
      <c r="F35" s="176"/>
      <c r="G35" s="86"/>
      <c r="H35" s="212">
        <f t="shared" si="3"/>
        <v>43508</v>
      </c>
      <c r="I35" s="212">
        <f t="shared" si="4"/>
        <v>43509</v>
      </c>
      <c r="J35" s="212">
        <f t="shared" si="5"/>
        <v>43514</v>
      </c>
      <c r="K35" s="86"/>
      <c r="L35" s="86"/>
      <c r="M35" s="86"/>
      <c r="N35" s="86"/>
      <c r="O35" s="86"/>
      <c r="P35" s="86"/>
    </row>
    <row r="36" spans="1:16" ht="20.100000000000001" customHeight="1" x14ac:dyDescent="0.25">
      <c r="A36" s="660"/>
      <c r="B36" s="406">
        <v>43514</v>
      </c>
      <c r="C36" s="404" t="s">
        <v>373</v>
      </c>
      <c r="D36" s="321"/>
      <c r="E36" s="212" t="s">
        <v>149</v>
      </c>
      <c r="F36" s="176"/>
      <c r="G36" s="86"/>
      <c r="H36" s="212">
        <f t="shared" si="3"/>
        <v>43515</v>
      </c>
      <c r="I36" s="212">
        <f t="shared" si="4"/>
        <v>43516</v>
      </c>
      <c r="J36" s="212">
        <f t="shared" si="5"/>
        <v>43521</v>
      </c>
      <c r="K36" s="86"/>
      <c r="L36" s="86"/>
      <c r="M36" s="86"/>
      <c r="N36" s="86"/>
      <c r="O36" s="86"/>
      <c r="P36" s="86"/>
    </row>
    <row r="37" spans="1:16" ht="20.100000000000001" customHeight="1" x14ac:dyDescent="0.25">
      <c r="A37" s="660"/>
      <c r="B37" s="406">
        <v>43521</v>
      </c>
      <c r="C37" s="404" t="s">
        <v>247</v>
      </c>
      <c r="D37" s="321"/>
      <c r="E37" s="212"/>
      <c r="F37" s="176"/>
      <c r="G37" s="86"/>
      <c r="H37" s="212">
        <f t="shared" si="3"/>
        <v>43522</v>
      </c>
      <c r="I37" s="212">
        <f t="shared" si="4"/>
        <v>43523</v>
      </c>
      <c r="J37" s="212">
        <f t="shared" si="5"/>
        <v>43528</v>
      </c>
      <c r="K37" s="86"/>
      <c r="L37" s="86"/>
      <c r="M37" s="86"/>
      <c r="N37" s="86"/>
      <c r="O37" s="86"/>
      <c r="P37" s="86"/>
    </row>
    <row r="38" spans="1:16" ht="20.100000000000001" customHeight="1" x14ac:dyDescent="0.25">
      <c r="A38" s="660"/>
      <c r="B38" s="406">
        <v>43528</v>
      </c>
      <c r="C38" s="404" t="s">
        <v>248</v>
      </c>
      <c r="D38" s="321"/>
      <c r="E38" s="212" t="s">
        <v>150</v>
      </c>
      <c r="F38" s="176"/>
      <c r="G38" s="86"/>
      <c r="H38" s="212">
        <f t="shared" si="3"/>
        <v>43529</v>
      </c>
      <c r="I38" s="212">
        <f t="shared" si="4"/>
        <v>43530</v>
      </c>
      <c r="J38" s="212">
        <f t="shared" si="5"/>
        <v>43535</v>
      </c>
      <c r="K38" s="86"/>
      <c r="L38" s="86"/>
      <c r="M38" s="86"/>
      <c r="N38" s="86"/>
      <c r="O38" s="86"/>
      <c r="P38" s="86"/>
    </row>
    <row r="39" spans="1:16" ht="20.100000000000001" customHeight="1" x14ac:dyDescent="0.25">
      <c r="A39" s="660"/>
      <c r="B39" s="406">
        <v>43535</v>
      </c>
      <c r="C39" s="404" t="s">
        <v>249</v>
      </c>
      <c r="D39" s="321" t="s">
        <v>258</v>
      </c>
      <c r="E39" s="212" t="s">
        <v>151</v>
      </c>
      <c r="F39" s="86"/>
      <c r="G39" s="86"/>
      <c r="H39" s="212">
        <f t="shared" si="3"/>
        <v>43536</v>
      </c>
      <c r="I39" s="212">
        <f t="shared" si="4"/>
        <v>43537</v>
      </c>
      <c r="J39" s="212">
        <f t="shared" si="5"/>
        <v>43542</v>
      </c>
      <c r="K39" s="86"/>
      <c r="L39" s="86"/>
      <c r="M39" s="86"/>
      <c r="N39" s="86"/>
      <c r="O39" s="86"/>
      <c r="P39" s="86"/>
    </row>
    <row r="40" spans="1:16" ht="20.100000000000001" customHeight="1" x14ac:dyDescent="0.25">
      <c r="A40" s="660"/>
      <c r="B40" s="406">
        <v>43535</v>
      </c>
      <c r="C40" s="404" t="s">
        <v>250</v>
      </c>
      <c r="D40" s="321" t="s">
        <v>258</v>
      </c>
      <c r="E40" s="212"/>
      <c r="F40" s="86"/>
      <c r="G40" s="86"/>
      <c r="H40" s="212">
        <f t="shared" si="3"/>
        <v>43536</v>
      </c>
      <c r="I40" s="212">
        <f t="shared" si="4"/>
        <v>43537</v>
      </c>
      <c r="J40" s="212">
        <f t="shared" si="5"/>
        <v>43542</v>
      </c>
      <c r="K40" s="86"/>
      <c r="L40" s="86"/>
      <c r="M40" s="86"/>
      <c r="N40" s="86"/>
      <c r="O40" s="86"/>
      <c r="P40" s="86"/>
    </row>
    <row r="41" spans="1:16" ht="20.100000000000001" customHeight="1" x14ac:dyDescent="0.25">
      <c r="A41" s="660"/>
      <c r="B41" s="406">
        <v>43542</v>
      </c>
      <c r="C41" s="404" t="s">
        <v>251</v>
      </c>
      <c r="D41" s="321"/>
      <c r="E41" s="212" t="s">
        <v>152</v>
      </c>
      <c r="F41" s="86"/>
      <c r="G41" s="86"/>
      <c r="H41" s="212">
        <f t="shared" si="3"/>
        <v>43543</v>
      </c>
      <c r="I41" s="212">
        <f t="shared" si="4"/>
        <v>43544</v>
      </c>
      <c r="J41" s="212">
        <f t="shared" si="5"/>
        <v>43549</v>
      </c>
      <c r="K41" s="86"/>
      <c r="L41" s="86"/>
      <c r="M41" s="86"/>
      <c r="N41" s="86"/>
      <c r="O41" s="86"/>
      <c r="P41" s="86"/>
    </row>
    <row r="42" spans="1:16" ht="20.100000000000001" customHeight="1" x14ac:dyDescent="0.25">
      <c r="A42" s="660"/>
      <c r="B42" s="406">
        <v>43549</v>
      </c>
      <c r="C42" s="404" t="s">
        <v>252</v>
      </c>
      <c r="D42" s="321"/>
      <c r="E42" s="212" t="s">
        <v>153</v>
      </c>
      <c r="F42" s="86"/>
      <c r="G42" s="86"/>
      <c r="H42" s="212">
        <f t="shared" si="3"/>
        <v>43550</v>
      </c>
      <c r="I42" s="212">
        <f t="shared" si="4"/>
        <v>43551</v>
      </c>
      <c r="J42" s="212">
        <f t="shared" si="5"/>
        <v>43556</v>
      </c>
      <c r="K42" s="86"/>
      <c r="L42" s="86"/>
      <c r="M42" s="86"/>
      <c r="N42" s="86"/>
      <c r="O42" s="86"/>
      <c r="P42" s="86"/>
    </row>
    <row r="43" spans="1:16" ht="20.100000000000001" customHeight="1" x14ac:dyDescent="0.25">
      <c r="A43" s="660"/>
      <c r="B43" s="406">
        <v>43556</v>
      </c>
      <c r="C43" s="404" t="s">
        <v>253</v>
      </c>
      <c r="D43" s="321"/>
      <c r="E43" s="212" t="s">
        <v>154</v>
      </c>
      <c r="F43" s="86"/>
      <c r="G43" s="86"/>
      <c r="H43" s="212">
        <f t="shared" si="3"/>
        <v>43557</v>
      </c>
      <c r="I43" s="212">
        <f t="shared" si="4"/>
        <v>43558</v>
      </c>
      <c r="J43" s="212">
        <f t="shared" si="5"/>
        <v>43563</v>
      </c>
      <c r="K43" s="86"/>
      <c r="L43" s="86"/>
      <c r="M43" s="86"/>
      <c r="N43" s="86"/>
      <c r="O43" s="86"/>
      <c r="P43" s="86"/>
    </row>
    <row r="44" spans="1:16" ht="20.100000000000001" customHeight="1" x14ac:dyDescent="0.25">
      <c r="A44" s="660"/>
      <c r="B44" s="406">
        <v>43563</v>
      </c>
      <c r="C44" s="404" t="s">
        <v>254</v>
      </c>
      <c r="D44" s="321"/>
      <c r="E44" s="212" t="s">
        <v>155</v>
      </c>
      <c r="F44" s="86"/>
      <c r="G44" s="86"/>
      <c r="H44" s="212">
        <f t="shared" si="3"/>
        <v>43564</v>
      </c>
      <c r="I44" s="212">
        <f t="shared" si="4"/>
        <v>43565</v>
      </c>
      <c r="J44" s="212">
        <f t="shared" si="5"/>
        <v>43570</v>
      </c>
      <c r="K44" s="86"/>
      <c r="L44" s="86"/>
      <c r="M44" s="86"/>
      <c r="N44" s="86"/>
      <c r="O44" s="86"/>
      <c r="P44" s="86"/>
    </row>
    <row r="45" spans="1:16" ht="20.100000000000001" customHeight="1" x14ac:dyDescent="0.25">
      <c r="A45" s="660"/>
      <c r="B45" s="406">
        <v>43570</v>
      </c>
      <c r="C45" s="404" t="s">
        <v>255</v>
      </c>
      <c r="D45" s="321"/>
      <c r="E45" s="212" t="s">
        <v>18</v>
      </c>
      <c r="F45" s="86"/>
      <c r="G45" s="86"/>
      <c r="H45" s="212">
        <f t="shared" si="3"/>
        <v>43571</v>
      </c>
      <c r="I45" s="212">
        <f t="shared" si="4"/>
        <v>43572</v>
      </c>
      <c r="J45" s="212">
        <f t="shared" si="5"/>
        <v>43577</v>
      </c>
      <c r="K45" s="86"/>
      <c r="L45" s="86"/>
      <c r="M45" s="86"/>
      <c r="N45" s="86"/>
      <c r="O45" s="86"/>
      <c r="P45" s="86"/>
    </row>
    <row r="46" spans="1:16" ht="20.100000000000001" customHeight="1" x14ac:dyDescent="0.25">
      <c r="A46" s="660"/>
      <c r="B46" s="406">
        <v>43577</v>
      </c>
      <c r="C46" s="404" t="s">
        <v>256</v>
      </c>
      <c r="D46" s="321"/>
      <c r="E46" s="212" t="s">
        <v>156</v>
      </c>
      <c r="F46" s="86"/>
      <c r="G46" s="86"/>
      <c r="H46" s="212">
        <f t="shared" si="3"/>
        <v>43578</v>
      </c>
      <c r="I46" s="212">
        <f t="shared" si="4"/>
        <v>43579</v>
      </c>
      <c r="J46" s="212">
        <f t="shared" si="5"/>
        <v>43584</v>
      </c>
      <c r="K46" s="86"/>
      <c r="L46" s="86"/>
      <c r="M46" s="86"/>
      <c r="N46" s="86"/>
      <c r="O46" s="86"/>
      <c r="P46" s="86"/>
    </row>
    <row r="47" spans="1:16" ht="20.100000000000001" customHeight="1" x14ac:dyDescent="0.25">
      <c r="A47" s="660"/>
      <c r="B47" s="406">
        <v>43584</v>
      </c>
      <c r="C47" s="404" t="s">
        <v>257</v>
      </c>
      <c r="D47" s="321"/>
      <c r="E47" s="212"/>
      <c r="F47" s="86"/>
      <c r="G47" s="86"/>
      <c r="H47" s="212">
        <f t="shared" si="3"/>
        <v>43585</v>
      </c>
      <c r="I47" s="212">
        <f t="shared" si="4"/>
        <v>43586</v>
      </c>
      <c r="J47" s="212">
        <f t="shared" si="5"/>
        <v>43591</v>
      </c>
      <c r="K47" s="86"/>
      <c r="L47" s="86"/>
      <c r="M47" s="86"/>
      <c r="N47" s="86"/>
      <c r="O47" s="86"/>
      <c r="P47" s="86"/>
    </row>
    <row r="48" spans="1:16" x14ac:dyDescent="0.25">
      <c r="A48" s="86"/>
      <c r="B48" s="87"/>
      <c r="C48" s="180"/>
      <c r="D48" s="180"/>
      <c r="E48" s="86"/>
      <c r="F48" s="86"/>
      <c r="G48" s="86"/>
      <c r="H48" s="86"/>
      <c r="I48" s="86"/>
      <c r="J48" s="86"/>
      <c r="K48" s="86"/>
      <c r="L48" s="86"/>
      <c r="M48" s="86"/>
      <c r="N48" s="86"/>
      <c r="O48" s="86"/>
      <c r="P48" s="86"/>
    </row>
    <row r="49" spans="1:16" x14ac:dyDescent="0.25">
      <c r="A49" s="86"/>
      <c r="B49" s="87"/>
      <c r="C49" s="180"/>
      <c r="D49" s="180"/>
      <c r="E49" s="86"/>
      <c r="F49" s="86"/>
      <c r="G49" s="86"/>
      <c r="H49" s="86"/>
      <c r="I49" s="86"/>
      <c r="J49" s="86"/>
      <c r="K49" s="86"/>
      <c r="L49" s="86"/>
      <c r="M49" s="86"/>
      <c r="N49" s="86"/>
      <c r="O49" s="86"/>
      <c r="P49" s="86"/>
    </row>
    <row r="50" spans="1:16" x14ac:dyDescent="0.25">
      <c r="A50" s="86"/>
      <c r="B50" s="87"/>
      <c r="C50" s="180"/>
      <c r="D50" s="180"/>
      <c r="E50" s="86"/>
      <c r="F50" s="86"/>
      <c r="G50" s="86"/>
      <c r="H50" s="86"/>
      <c r="I50" s="86"/>
      <c r="J50" s="86"/>
      <c r="K50" s="86"/>
      <c r="L50" s="86"/>
      <c r="M50" s="86"/>
      <c r="N50" s="86"/>
      <c r="O50" s="86"/>
      <c r="P50" s="86"/>
    </row>
    <row r="51" spans="1:16" x14ac:dyDescent="0.25">
      <c r="A51" s="86"/>
      <c r="B51" s="87"/>
      <c r="C51" s="180"/>
      <c r="D51" s="180"/>
      <c r="E51" s="86"/>
      <c r="F51" s="86"/>
      <c r="G51" s="86"/>
      <c r="H51" s="86"/>
      <c r="I51" s="86"/>
      <c r="J51" s="86"/>
      <c r="K51" s="86"/>
      <c r="L51" s="86"/>
      <c r="M51" s="86"/>
      <c r="N51" s="86"/>
      <c r="O51" s="86"/>
      <c r="P51" s="86"/>
    </row>
    <row r="52" spans="1:16" x14ac:dyDescent="0.25">
      <c r="A52" s="86"/>
      <c r="B52" s="87"/>
      <c r="C52" s="180"/>
      <c r="D52" s="180"/>
      <c r="E52" s="86"/>
      <c r="F52" s="86"/>
      <c r="G52" s="86"/>
      <c r="H52" s="86"/>
      <c r="I52" s="86"/>
      <c r="J52" s="86"/>
      <c r="K52" s="86"/>
      <c r="L52" s="86"/>
      <c r="M52" s="86"/>
      <c r="N52" s="86"/>
      <c r="O52" s="86"/>
      <c r="P52" s="86"/>
    </row>
    <row r="53" spans="1:16" x14ac:dyDescent="0.25">
      <c r="A53" s="86"/>
      <c r="B53" s="87"/>
      <c r="C53" s="180"/>
      <c r="D53" s="180"/>
      <c r="E53" s="86"/>
      <c r="F53" s="86"/>
      <c r="G53" s="86"/>
      <c r="H53" s="86"/>
      <c r="I53" s="86"/>
      <c r="J53" s="86"/>
      <c r="K53" s="86"/>
      <c r="L53" s="86"/>
      <c r="M53" s="86"/>
      <c r="N53" s="86"/>
      <c r="O53" s="86"/>
      <c r="P53" s="86"/>
    </row>
    <row r="54" spans="1:16" x14ac:dyDescent="0.25">
      <c r="A54" s="86"/>
      <c r="B54" s="87"/>
      <c r="C54" s="180"/>
      <c r="D54" s="180"/>
      <c r="E54" s="86"/>
      <c r="F54" s="86"/>
      <c r="G54" s="86"/>
      <c r="H54" s="86"/>
      <c r="I54" s="86"/>
      <c r="J54" s="86"/>
      <c r="K54" s="86"/>
      <c r="L54" s="86"/>
      <c r="M54" s="86"/>
      <c r="N54" s="86"/>
      <c r="O54" s="86"/>
      <c r="P54" s="86"/>
    </row>
    <row r="55" spans="1:16" x14ac:dyDescent="0.25">
      <c r="A55" s="86"/>
      <c r="B55" s="87"/>
      <c r="C55" s="180"/>
      <c r="D55" s="180"/>
      <c r="E55" s="86"/>
      <c r="F55" s="86"/>
      <c r="G55" s="86"/>
      <c r="H55" s="86"/>
      <c r="I55" s="86"/>
      <c r="J55" s="86"/>
      <c r="K55" s="86"/>
      <c r="L55" s="86"/>
      <c r="M55" s="86"/>
      <c r="N55" s="86"/>
      <c r="O55" s="86"/>
      <c r="P55" s="86"/>
    </row>
    <row r="56" spans="1:16" x14ac:dyDescent="0.25">
      <c r="A56" s="86"/>
      <c r="B56" s="87"/>
      <c r="C56" s="180"/>
      <c r="D56" s="180"/>
      <c r="E56" s="86"/>
      <c r="F56" s="86"/>
      <c r="G56" s="86"/>
      <c r="H56" s="86"/>
      <c r="I56" s="86"/>
      <c r="J56" s="86"/>
      <c r="K56" s="86"/>
      <c r="L56" s="86"/>
      <c r="M56" s="86"/>
      <c r="N56" s="86"/>
      <c r="O56" s="86"/>
      <c r="P56" s="86"/>
    </row>
    <row r="57" spans="1:16" x14ac:dyDescent="0.25">
      <c r="A57" s="86"/>
      <c r="B57" s="87"/>
      <c r="C57" s="180"/>
      <c r="D57" s="180"/>
      <c r="E57" s="86"/>
      <c r="F57" s="86"/>
      <c r="G57" s="86"/>
      <c r="H57" s="86"/>
      <c r="I57" s="86"/>
      <c r="J57" s="86"/>
      <c r="K57" s="86"/>
      <c r="L57" s="86"/>
      <c r="M57" s="86"/>
      <c r="N57" s="86"/>
      <c r="O57" s="86"/>
      <c r="P57" s="86"/>
    </row>
    <row r="58" spans="1:16" x14ac:dyDescent="0.25">
      <c r="A58" s="86"/>
      <c r="B58" s="87"/>
      <c r="C58" s="180"/>
      <c r="D58" s="180"/>
      <c r="E58" s="86"/>
      <c r="F58" s="86"/>
      <c r="G58" s="86"/>
      <c r="H58" s="86"/>
      <c r="I58" s="86"/>
      <c r="J58" s="86"/>
      <c r="K58" s="86"/>
      <c r="L58" s="86"/>
      <c r="M58" s="86"/>
      <c r="N58" s="86"/>
      <c r="O58" s="86"/>
      <c r="P58" s="86"/>
    </row>
    <row r="59" spans="1:16" x14ac:dyDescent="0.25">
      <c r="A59" s="86"/>
      <c r="B59" s="87"/>
      <c r="C59" s="180"/>
      <c r="D59" s="180"/>
      <c r="E59" s="86"/>
      <c r="F59" s="86"/>
      <c r="G59" s="86"/>
      <c r="H59" s="86"/>
      <c r="I59" s="86"/>
      <c r="J59" s="86"/>
      <c r="K59" s="86"/>
      <c r="L59" s="86"/>
      <c r="M59" s="86"/>
      <c r="N59" s="86"/>
      <c r="O59" s="86"/>
      <c r="P59" s="86"/>
    </row>
    <row r="60" spans="1:16" x14ac:dyDescent="0.25">
      <c r="A60" s="86"/>
      <c r="B60" s="87"/>
      <c r="C60" s="180"/>
      <c r="D60" s="180"/>
      <c r="E60" s="86"/>
      <c r="F60" s="86"/>
      <c r="G60" s="86"/>
      <c r="H60" s="86"/>
      <c r="I60" s="86"/>
      <c r="J60" s="86"/>
      <c r="K60" s="86"/>
      <c r="L60" s="86"/>
      <c r="M60" s="86"/>
      <c r="N60" s="86"/>
      <c r="O60" s="86"/>
      <c r="P60" s="86"/>
    </row>
    <row r="61" spans="1:16" x14ac:dyDescent="0.25">
      <c r="A61" s="86"/>
      <c r="B61" s="87"/>
      <c r="C61" s="180"/>
      <c r="D61" s="180"/>
      <c r="E61" s="86"/>
      <c r="F61" s="86"/>
      <c r="G61" s="86"/>
      <c r="H61" s="86"/>
      <c r="I61" s="86"/>
      <c r="J61" s="86"/>
      <c r="K61" s="86"/>
      <c r="L61" s="86"/>
      <c r="M61" s="86"/>
      <c r="N61" s="86"/>
      <c r="O61" s="86"/>
      <c r="P61" s="86"/>
    </row>
    <row r="62" spans="1:16" x14ac:dyDescent="0.25">
      <c r="A62" s="86"/>
      <c r="B62" s="87"/>
      <c r="C62" s="180"/>
      <c r="D62" s="180"/>
      <c r="E62" s="86"/>
      <c r="F62" s="86"/>
      <c r="G62" s="86"/>
      <c r="H62" s="86"/>
      <c r="I62" s="86"/>
      <c r="J62" s="86"/>
      <c r="K62" s="86"/>
      <c r="L62" s="86"/>
      <c r="M62" s="86"/>
      <c r="N62" s="86"/>
      <c r="O62" s="86"/>
      <c r="P62" s="86"/>
    </row>
    <row r="63" spans="1:16" x14ac:dyDescent="0.25">
      <c r="A63" s="86"/>
      <c r="B63" s="87"/>
      <c r="C63" s="180"/>
      <c r="D63" s="180"/>
      <c r="E63" s="86"/>
      <c r="F63" s="86"/>
      <c r="G63" s="86"/>
      <c r="H63" s="86"/>
      <c r="I63" s="86"/>
      <c r="J63" s="86"/>
      <c r="K63" s="86"/>
      <c r="L63" s="86"/>
      <c r="M63" s="86"/>
      <c r="N63" s="86"/>
      <c r="O63" s="86"/>
      <c r="P63" s="86"/>
    </row>
    <row r="64" spans="1:16" x14ac:dyDescent="0.25">
      <c r="A64" s="86"/>
      <c r="B64" s="87"/>
      <c r="C64" s="180"/>
      <c r="D64" s="180"/>
      <c r="E64" s="86"/>
      <c r="F64" s="86"/>
      <c r="G64" s="86"/>
      <c r="H64" s="86"/>
      <c r="I64" s="86"/>
      <c r="J64" s="86"/>
      <c r="K64" s="86"/>
      <c r="L64" s="86"/>
      <c r="M64" s="86"/>
      <c r="N64" s="86"/>
      <c r="O64" s="86"/>
      <c r="P64" s="86"/>
    </row>
    <row r="65" spans="1:16" x14ac:dyDescent="0.25">
      <c r="A65" s="86"/>
      <c r="B65" s="87"/>
      <c r="C65" s="180"/>
      <c r="D65" s="180"/>
      <c r="E65" s="86"/>
      <c r="F65" s="86"/>
      <c r="G65" s="86"/>
      <c r="H65" s="86"/>
      <c r="I65" s="86"/>
      <c r="J65" s="86"/>
      <c r="K65" s="86"/>
      <c r="L65" s="86"/>
      <c r="M65" s="86"/>
      <c r="N65" s="86"/>
      <c r="O65" s="86"/>
      <c r="P65" s="86"/>
    </row>
    <row r="66" spans="1:16" x14ac:dyDescent="0.25">
      <c r="A66" s="86"/>
      <c r="B66" s="87"/>
      <c r="C66" s="180"/>
      <c r="D66" s="180"/>
      <c r="E66" s="86"/>
      <c r="F66" s="86"/>
      <c r="G66" s="86"/>
      <c r="H66" s="86"/>
      <c r="I66" s="86"/>
      <c r="J66" s="86"/>
      <c r="K66" s="86"/>
      <c r="L66" s="86"/>
      <c r="M66" s="86"/>
      <c r="N66" s="86"/>
      <c r="O66" s="86"/>
      <c r="P66" s="86"/>
    </row>
    <row r="67" spans="1:16" x14ac:dyDescent="0.25">
      <c r="A67" s="86"/>
      <c r="B67" s="87"/>
      <c r="C67" s="180"/>
      <c r="D67" s="180"/>
      <c r="E67" s="86"/>
      <c r="F67" s="86"/>
      <c r="G67" s="86"/>
      <c r="H67" s="86"/>
      <c r="I67" s="86"/>
      <c r="J67" s="86"/>
      <c r="K67" s="86"/>
      <c r="L67" s="86"/>
      <c r="M67" s="86"/>
      <c r="N67" s="86"/>
      <c r="O67" s="86"/>
      <c r="P67" s="86"/>
    </row>
    <row r="68" spans="1:16" x14ac:dyDescent="0.25">
      <c r="A68" s="86"/>
      <c r="B68" s="87"/>
      <c r="C68" s="180"/>
      <c r="D68" s="180"/>
      <c r="E68" s="86"/>
      <c r="F68" s="86"/>
      <c r="G68" s="86"/>
      <c r="H68" s="86"/>
      <c r="I68" s="86"/>
      <c r="J68" s="86"/>
      <c r="K68" s="86"/>
      <c r="L68" s="86"/>
      <c r="M68" s="86"/>
      <c r="N68" s="86"/>
      <c r="O68" s="86"/>
      <c r="P68" s="86"/>
    </row>
    <row r="69" spans="1:16" x14ac:dyDescent="0.25">
      <c r="A69" s="86"/>
      <c r="B69" s="87"/>
      <c r="C69" s="180"/>
      <c r="D69" s="180"/>
      <c r="E69" s="86"/>
      <c r="F69" s="86"/>
      <c r="G69" s="86"/>
      <c r="H69" s="86"/>
      <c r="I69" s="86"/>
      <c r="J69" s="86"/>
      <c r="K69" s="86"/>
      <c r="L69" s="86"/>
      <c r="M69" s="86"/>
      <c r="N69" s="86"/>
      <c r="O69" s="86"/>
      <c r="P69" s="86"/>
    </row>
    <row r="70" spans="1:16" x14ac:dyDescent="0.25">
      <c r="A70" s="86"/>
      <c r="B70" s="87"/>
      <c r="C70" s="180"/>
      <c r="D70" s="180"/>
      <c r="E70" s="86"/>
      <c r="F70" s="86"/>
      <c r="G70" s="86"/>
      <c r="H70" s="86"/>
      <c r="I70" s="86"/>
      <c r="J70" s="86"/>
      <c r="K70" s="86"/>
      <c r="L70" s="86"/>
      <c r="M70" s="86"/>
      <c r="N70" s="86"/>
      <c r="O70" s="86"/>
      <c r="P70" s="86"/>
    </row>
    <row r="71" spans="1:16" x14ac:dyDescent="0.25">
      <c r="A71" s="86"/>
      <c r="B71" s="87"/>
      <c r="C71" s="180"/>
      <c r="D71" s="180"/>
      <c r="E71" s="86"/>
      <c r="F71" s="86"/>
      <c r="G71" s="86"/>
      <c r="H71" s="86"/>
      <c r="I71" s="86"/>
      <c r="J71" s="86"/>
      <c r="K71" s="86"/>
      <c r="L71" s="86"/>
      <c r="M71" s="86"/>
      <c r="N71" s="86"/>
      <c r="O71" s="86"/>
      <c r="P71" s="86"/>
    </row>
    <row r="72" spans="1:16" x14ac:dyDescent="0.25">
      <c r="A72" s="86"/>
      <c r="B72" s="87"/>
      <c r="C72" s="180"/>
      <c r="D72" s="180"/>
      <c r="E72" s="86"/>
      <c r="F72" s="86"/>
      <c r="G72" s="86"/>
      <c r="H72" s="86"/>
      <c r="I72" s="86"/>
      <c r="J72" s="86"/>
      <c r="K72" s="86"/>
      <c r="L72" s="86"/>
      <c r="M72" s="86"/>
      <c r="N72" s="86"/>
      <c r="O72" s="86"/>
      <c r="P72" s="86"/>
    </row>
    <row r="73" spans="1:16" x14ac:dyDescent="0.25">
      <c r="A73" s="86"/>
      <c r="B73" s="87"/>
      <c r="C73" s="180"/>
      <c r="D73" s="180"/>
      <c r="E73" s="86"/>
      <c r="F73" s="86"/>
      <c r="G73" s="86"/>
      <c r="H73" s="86"/>
      <c r="I73" s="86"/>
      <c r="J73" s="86"/>
      <c r="K73" s="86"/>
      <c r="L73" s="86"/>
      <c r="M73" s="86"/>
      <c r="N73" s="86"/>
      <c r="O73" s="86"/>
      <c r="P73" s="86"/>
    </row>
    <row r="74" spans="1:16" x14ac:dyDescent="0.25">
      <c r="A74" s="86"/>
      <c r="B74" s="87"/>
      <c r="C74" s="180"/>
      <c r="D74" s="180"/>
      <c r="E74" s="86"/>
      <c r="F74" s="86"/>
      <c r="G74" s="86"/>
      <c r="H74" s="86"/>
      <c r="I74" s="86"/>
      <c r="J74" s="86"/>
      <c r="K74" s="86"/>
      <c r="L74" s="86"/>
      <c r="M74" s="86"/>
      <c r="N74" s="86"/>
      <c r="O74" s="86"/>
      <c r="P74" s="86"/>
    </row>
    <row r="75" spans="1:16" x14ac:dyDescent="0.25">
      <c r="A75" s="86"/>
      <c r="B75" s="87"/>
      <c r="C75" s="180"/>
      <c r="D75" s="180"/>
      <c r="E75" s="86"/>
      <c r="F75" s="86"/>
      <c r="G75" s="86"/>
      <c r="H75" s="86"/>
      <c r="I75" s="86"/>
      <c r="J75" s="86"/>
      <c r="K75" s="86"/>
      <c r="L75" s="86"/>
      <c r="M75" s="86"/>
      <c r="N75" s="86"/>
      <c r="O75" s="86"/>
      <c r="P75" s="86"/>
    </row>
    <row r="76" spans="1:16" x14ac:dyDescent="0.25">
      <c r="K76" s="86"/>
      <c r="L76" s="86"/>
      <c r="M76" s="86"/>
      <c r="N76" s="86"/>
      <c r="O76" s="86"/>
      <c r="P76" s="86"/>
    </row>
  </sheetData>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7030A0"/>
  </sheetPr>
  <dimension ref="A1:V112"/>
  <sheetViews>
    <sheetView zoomScale="90" zoomScaleNormal="90" workbookViewId="0">
      <pane ySplit="1" topLeftCell="A2" activePane="bottomLeft" state="frozen"/>
      <selection pane="bottomLeft"/>
    </sheetView>
  </sheetViews>
  <sheetFormatPr defaultRowHeight="13.2" x14ac:dyDescent="0.25"/>
  <cols>
    <col min="1" max="1" width="11.88671875" style="295" customWidth="1"/>
    <col min="2" max="2" width="10.109375" style="153" customWidth="1"/>
    <col min="3" max="3" width="9.6640625" style="153" customWidth="1"/>
    <col min="4" max="4" width="10.33203125" style="153" customWidth="1"/>
    <col min="5" max="5" width="9.109375" style="4" customWidth="1"/>
    <col min="6" max="6" width="21.33203125" style="487" customWidth="1"/>
    <col min="7" max="10" width="9.44140625" style="552" customWidth="1"/>
    <col min="11" max="11" width="11" style="536" customWidth="1"/>
    <col min="12" max="14" width="9.44140625" style="554" customWidth="1"/>
    <col min="15" max="15" width="9.44140625" style="536" customWidth="1"/>
    <col min="16" max="16" width="10.109375" style="536" customWidth="1"/>
    <col min="17" max="17" width="10.109375" style="295" customWidth="1"/>
    <col min="18" max="19" width="9.44140625" style="295" customWidth="1"/>
    <col min="21" max="21" width="11.33203125" bestFit="1" customWidth="1"/>
    <col min="22" max="22" width="5" bestFit="1" customWidth="1"/>
  </cols>
  <sheetData>
    <row r="1" spans="1:22" ht="45.6" customHeight="1" x14ac:dyDescent="0.25">
      <c r="A1" s="537" t="s">
        <v>550</v>
      </c>
      <c r="B1" s="556" t="s">
        <v>536</v>
      </c>
      <c r="C1" s="538" t="s">
        <v>468</v>
      </c>
      <c r="D1" s="555" t="s">
        <v>544</v>
      </c>
      <c r="E1" s="555" t="s">
        <v>545</v>
      </c>
      <c r="F1" s="539">
        <f>(COUNTA(C:C)-1)-(COUNTIF(C:C,"Y"))</f>
        <v>65</v>
      </c>
      <c r="G1" s="587" t="s">
        <v>546</v>
      </c>
      <c r="H1" s="558" t="s">
        <v>428</v>
      </c>
      <c r="I1" s="558" t="s">
        <v>130</v>
      </c>
      <c r="J1" s="558" t="s">
        <v>131</v>
      </c>
      <c r="K1" s="557" t="s">
        <v>534</v>
      </c>
      <c r="L1" s="558" t="s">
        <v>466</v>
      </c>
      <c r="M1" s="558" t="s">
        <v>467</v>
      </c>
      <c r="N1" s="558" t="s">
        <v>186</v>
      </c>
      <c r="O1" s="557" t="s">
        <v>382</v>
      </c>
      <c r="P1" s="557" t="s">
        <v>535</v>
      </c>
      <c r="Q1" s="540" t="s">
        <v>537</v>
      </c>
      <c r="R1" s="540" t="s">
        <v>538</v>
      </c>
      <c r="S1" s="540" t="s">
        <v>539</v>
      </c>
      <c r="U1" s="585" t="s">
        <v>468</v>
      </c>
      <c r="V1" s="586" t="s">
        <v>542</v>
      </c>
    </row>
    <row r="2" spans="1:22" x14ac:dyDescent="0.25">
      <c r="A2" s="541">
        <f t="shared" ref="A2:A33" si="0">IF(F2="","",Q2-S2+R2)</f>
        <v>151.35499999999999</v>
      </c>
      <c r="B2" s="542" t="s">
        <v>272</v>
      </c>
      <c r="C2" s="542" t="s">
        <v>542</v>
      </c>
      <c r="D2" s="542" t="s">
        <v>272</v>
      </c>
      <c r="E2" s="543">
        <v>1</v>
      </c>
      <c r="F2" s="544" t="s">
        <v>322</v>
      </c>
      <c r="G2" s="588">
        <v>61.081088379213369</v>
      </c>
      <c r="H2" s="550">
        <v>35</v>
      </c>
      <c r="I2" s="550">
        <v>-1.3142857142857141</v>
      </c>
      <c r="J2" s="550">
        <v>2</v>
      </c>
      <c r="K2" s="545">
        <v>28.78</v>
      </c>
      <c r="L2" s="550">
        <v>127.575</v>
      </c>
      <c r="M2" s="550">
        <v>15</v>
      </c>
      <c r="N2" s="550">
        <v>0</v>
      </c>
      <c r="O2" s="545">
        <v>142.57499999999999</v>
      </c>
      <c r="P2" s="545">
        <v>171.35499999999999</v>
      </c>
      <c r="Q2" s="546">
        <f t="shared" ref="Q2:Q33" si="1">IF(F2="","",P2-20)</f>
        <v>151.35499999999999</v>
      </c>
      <c r="R2" s="546"/>
      <c r="S2" s="546"/>
    </row>
    <row r="3" spans="1:22" x14ac:dyDescent="0.25">
      <c r="A3" s="541">
        <f t="shared" si="0"/>
        <v>206.965</v>
      </c>
      <c r="B3" s="542" t="s">
        <v>272</v>
      </c>
      <c r="C3" s="542" t="s">
        <v>542</v>
      </c>
      <c r="D3" s="542" t="s">
        <v>272</v>
      </c>
      <c r="E3" s="543">
        <v>2</v>
      </c>
      <c r="F3" s="544" t="s">
        <v>332</v>
      </c>
      <c r="G3" s="588">
        <v>41.132048340548337</v>
      </c>
      <c r="H3" s="550">
        <v>29</v>
      </c>
      <c r="I3" s="550">
        <v>4.6000000000000014</v>
      </c>
      <c r="J3" s="550">
        <v>2</v>
      </c>
      <c r="K3" s="545">
        <v>115.84</v>
      </c>
      <c r="L3" s="550">
        <v>91.125</v>
      </c>
      <c r="M3" s="550">
        <v>20</v>
      </c>
      <c r="N3" s="550">
        <v>0</v>
      </c>
      <c r="O3" s="545">
        <v>111.125</v>
      </c>
      <c r="P3" s="545">
        <v>226.965</v>
      </c>
      <c r="Q3" s="546">
        <f t="shared" si="1"/>
        <v>206.965</v>
      </c>
      <c r="R3" s="546"/>
      <c r="S3" s="546"/>
      <c r="U3" s="450" t="s">
        <v>543</v>
      </c>
      <c r="V3" s="454"/>
    </row>
    <row r="4" spans="1:22" x14ac:dyDescent="0.25">
      <c r="A4" s="541">
        <f t="shared" si="0"/>
        <v>147.98500000000001</v>
      </c>
      <c r="B4" s="542" t="s">
        <v>272</v>
      </c>
      <c r="C4" s="542" t="s">
        <v>542</v>
      </c>
      <c r="D4" s="542" t="s">
        <v>272</v>
      </c>
      <c r="E4" s="543">
        <v>3</v>
      </c>
      <c r="F4" s="544" t="s">
        <v>344</v>
      </c>
      <c r="G4" s="588">
        <v>19.35960784313724</v>
      </c>
      <c r="H4" s="550">
        <v>21</v>
      </c>
      <c r="I4" s="550">
        <v>11.36</v>
      </c>
      <c r="J4" s="550">
        <v>2</v>
      </c>
      <c r="K4" s="545">
        <v>87.375</v>
      </c>
      <c r="L4" s="550">
        <v>65.61</v>
      </c>
      <c r="M4" s="550">
        <v>15</v>
      </c>
      <c r="N4" s="550">
        <v>0</v>
      </c>
      <c r="O4" s="545">
        <v>80.61</v>
      </c>
      <c r="P4" s="545">
        <v>167.98500000000001</v>
      </c>
      <c r="Q4" s="546">
        <f t="shared" si="1"/>
        <v>147.98500000000001</v>
      </c>
      <c r="R4" s="546"/>
      <c r="S4" s="546"/>
      <c r="U4" s="450" t="s">
        <v>536</v>
      </c>
      <c r="V4" s="454" t="s">
        <v>159</v>
      </c>
    </row>
    <row r="5" spans="1:22" x14ac:dyDescent="0.25">
      <c r="A5" s="541">
        <f t="shared" si="0"/>
        <v>44.844999999999999</v>
      </c>
      <c r="B5" s="542" t="s">
        <v>272</v>
      </c>
      <c r="C5" s="542" t="s">
        <v>542</v>
      </c>
      <c r="D5" s="542" t="s">
        <v>272</v>
      </c>
      <c r="E5" s="543">
        <v>4</v>
      </c>
      <c r="F5" s="544" t="s">
        <v>325</v>
      </c>
      <c r="G5" s="588">
        <v>13.266205908289242</v>
      </c>
      <c r="H5" s="550">
        <v>33</v>
      </c>
      <c r="I5" s="550">
        <v>9.8095238095238102</v>
      </c>
      <c r="J5" s="550">
        <v>3</v>
      </c>
      <c r="K5" s="545">
        <v>16.105000000000004</v>
      </c>
      <c r="L5" s="550">
        <v>43.74</v>
      </c>
      <c r="M5" s="550">
        <v>5</v>
      </c>
      <c r="N5" s="550">
        <v>0</v>
      </c>
      <c r="O5" s="545">
        <v>48.74</v>
      </c>
      <c r="P5" s="545">
        <v>64.844999999999999</v>
      </c>
      <c r="Q5" s="546">
        <f t="shared" si="1"/>
        <v>44.844999999999999</v>
      </c>
      <c r="R5" s="546"/>
      <c r="S5" s="546"/>
      <c r="U5" s="453" t="s">
        <v>272</v>
      </c>
      <c r="V5" s="455">
        <v>16</v>
      </c>
    </row>
    <row r="6" spans="1:22" x14ac:dyDescent="0.25">
      <c r="A6" s="541">
        <f t="shared" si="0"/>
        <v>51.265000000000001</v>
      </c>
      <c r="B6" s="542" t="s">
        <v>272</v>
      </c>
      <c r="C6" s="542" t="s">
        <v>542</v>
      </c>
      <c r="D6" s="542" t="s">
        <v>272</v>
      </c>
      <c r="E6" s="543">
        <v>5</v>
      </c>
      <c r="F6" s="544" t="s">
        <v>342</v>
      </c>
      <c r="G6" s="588">
        <v>10.224072510822502</v>
      </c>
      <c r="H6" s="550">
        <v>27</v>
      </c>
      <c r="I6" s="550">
        <v>25.171428571428564</v>
      </c>
      <c r="J6" s="550">
        <v>3</v>
      </c>
      <c r="K6" s="545">
        <v>30.75</v>
      </c>
      <c r="L6" s="550">
        <v>25.515000000000001</v>
      </c>
      <c r="M6" s="550">
        <v>15</v>
      </c>
      <c r="N6" s="550">
        <v>0</v>
      </c>
      <c r="O6" s="545">
        <v>40.515000000000001</v>
      </c>
      <c r="P6" s="545">
        <v>71.265000000000001</v>
      </c>
      <c r="Q6" s="546">
        <f t="shared" si="1"/>
        <v>51.265000000000001</v>
      </c>
      <c r="R6" s="546"/>
      <c r="S6" s="546"/>
      <c r="U6" s="456" t="s">
        <v>273</v>
      </c>
      <c r="V6" s="457">
        <v>16</v>
      </c>
    </row>
    <row r="7" spans="1:22" x14ac:dyDescent="0.25">
      <c r="A7" s="541">
        <f t="shared" si="0"/>
        <v>5.4999999999999716E-2</v>
      </c>
      <c r="B7" s="542" t="s">
        <v>272</v>
      </c>
      <c r="C7" s="542" t="s">
        <v>542</v>
      </c>
      <c r="D7" s="542" t="s">
        <v>272</v>
      </c>
      <c r="E7" s="543">
        <v>6</v>
      </c>
      <c r="F7" s="544" t="s">
        <v>336</v>
      </c>
      <c r="G7" s="588">
        <v>-8.9684830977845635</v>
      </c>
      <c r="H7" s="550">
        <v>35</v>
      </c>
      <c r="I7" s="550">
        <v>9.8095238095238102</v>
      </c>
      <c r="J7" s="550">
        <v>3</v>
      </c>
      <c r="K7" s="545">
        <v>9.120000000000001</v>
      </c>
      <c r="L7" s="550">
        <v>10.935</v>
      </c>
      <c r="M7" s="550">
        <v>0</v>
      </c>
      <c r="N7" s="550">
        <v>0</v>
      </c>
      <c r="O7" s="545">
        <v>10.935</v>
      </c>
      <c r="P7" s="545">
        <v>20.055</v>
      </c>
      <c r="Q7" s="546">
        <f t="shared" si="1"/>
        <v>5.4999999999999716E-2</v>
      </c>
      <c r="R7" s="546"/>
      <c r="S7" s="546"/>
      <c r="U7" s="456" t="s">
        <v>274</v>
      </c>
      <c r="V7" s="457">
        <v>16</v>
      </c>
    </row>
    <row r="8" spans="1:22" x14ac:dyDescent="0.25">
      <c r="A8" s="541">
        <f t="shared" si="0"/>
        <v>-20</v>
      </c>
      <c r="B8" s="542" t="s">
        <v>272</v>
      </c>
      <c r="C8" s="542" t="s">
        <v>542</v>
      </c>
      <c r="D8" s="542" t="s">
        <v>272</v>
      </c>
      <c r="E8" s="543">
        <v>7</v>
      </c>
      <c r="F8" s="544" t="s">
        <v>327</v>
      </c>
      <c r="G8" s="588">
        <v>-12.464320445349863</v>
      </c>
      <c r="H8" s="550">
        <v>28</v>
      </c>
      <c r="I8" s="550">
        <v>-3</v>
      </c>
      <c r="J8" s="550">
        <v>1</v>
      </c>
      <c r="K8" s="545">
        <v>-5</v>
      </c>
      <c r="L8" s="550">
        <v>0</v>
      </c>
      <c r="M8" s="550">
        <v>5</v>
      </c>
      <c r="N8" s="550">
        <v>0</v>
      </c>
      <c r="O8" s="545">
        <v>5</v>
      </c>
      <c r="P8" s="545">
        <v>0</v>
      </c>
      <c r="Q8" s="546">
        <f t="shared" si="1"/>
        <v>-20</v>
      </c>
      <c r="R8" s="546"/>
      <c r="S8" s="546"/>
      <c r="U8" s="456" t="s">
        <v>275</v>
      </c>
      <c r="V8" s="457">
        <v>17</v>
      </c>
    </row>
    <row r="9" spans="1:22" x14ac:dyDescent="0.25">
      <c r="A9" s="541">
        <f t="shared" si="0"/>
        <v>11.18</v>
      </c>
      <c r="B9" s="542" t="s">
        <v>272</v>
      </c>
      <c r="C9" s="542" t="s">
        <v>542</v>
      </c>
      <c r="D9" s="542" t="s">
        <v>272</v>
      </c>
      <c r="E9" s="543">
        <v>8</v>
      </c>
      <c r="F9" s="544" t="s">
        <v>321</v>
      </c>
      <c r="G9" s="588">
        <v>-14.07083333333334</v>
      </c>
      <c r="H9" s="550">
        <v>25</v>
      </c>
      <c r="I9" s="550">
        <v>-4.45</v>
      </c>
      <c r="J9" s="550">
        <v>1</v>
      </c>
      <c r="K9" s="545">
        <v>26.18</v>
      </c>
      <c r="L9" s="550">
        <v>0</v>
      </c>
      <c r="M9" s="550">
        <v>5</v>
      </c>
      <c r="N9" s="550">
        <v>0</v>
      </c>
      <c r="O9" s="545">
        <v>5</v>
      </c>
      <c r="P9" s="545">
        <v>31.18</v>
      </c>
      <c r="Q9" s="546">
        <f t="shared" si="1"/>
        <v>11.18</v>
      </c>
      <c r="R9" s="546"/>
      <c r="S9" s="546"/>
      <c r="U9" s="458" t="s">
        <v>160</v>
      </c>
      <c r="V9" s="459">
        <v>65</v>
      </c>
    </row>
    <row r="10" spans="1:22" x14ac:dyDescent="0.25">
      <c r="A10" s="541">
        <f t="shared" si="0"/>
        <v>33.375</v>
      </c>
      <c r="B10" s="542" t="s">
        <v>272</v>
      </c>
      <c r="C10" s="542" t="s">
        <v>542</v>
      </c>
      <c r="D10" s="542" t="s">
        <v>272</v>
      </c>
      <c r="E10" s="543">
        <v>9</v>
      </c>
      <c r="F10" s="544" t="s">
        <v>357</v>
      </c>
      <c r="G10" s="588">
        <v>-17.504233734402856</v>
      </c>
      <c r="H10" s="550">
        <v>36</v>
      </c>
      <c r="I10" s="550">
        <v>0.5</v>
      </c>
      <c r="J10" s="550">
        <v>2</v>
      </c>
      <c r="K10" s="545">
        <v>53.375</v>
      </c>
      <c r="L10" s="550">
        <v>0</v>
      </c>
      <c r="M10" s="550">
        <v>0</v>
      </c>
      <c r="N10" s="550">
        <v>0</v>
      </c>
      <c r="O10" s="545">
        <v>0</v>
      </c>
      <c r="P10" s="545">
        <v>53.375</v>
      </c>
      <c r="Q10" s="546">
        <f t="shared" si="1"/>
        <v>33.375</v>
      </c>
      <c r="R10" s="546"/>
      <c r="S10" s="546"/>
    </row>
    <row r="11" spans="1:22" x14ac:dyDescent="0.25">
      <c r="A11" s="541">
        <f t="shared" si="0"/>
        <v>-10.93</v>
      </c>
      <c r="B11" s="542" t="s">
        <v>272</v>
      </c>
      <c r="C11" s="542" t="s">
        <v>542</v>
      </c>
      <c r="D11" s="542" t="s">
        <v>272</v>
      </c>
      <c r="E11" s="543">
        <v>10</v>
      </c>
      <c r="F11" s="544" t="s">
        <v>330</v>
      </c>
      <c r="G11" s="588">
        <v>-17.55121212121211</v>
      </c>
      <c r="H11" s="550">
        <v>27</v>
      </c>
      <c r="I11" s="550">
        <v>0.40000000000000036</v>
      </c>
      <c r="J11" s="550">
        <v>2</v>
      </c>
      <c r="K11" s="545">
        <v>-0.92999999999999972</v>
      </c>
      <c r="L11" s="550">
        <v>0</v>
      </c>
      <c r="M11" s="550">
        <v>10</v>
      </c>
      <c r="N11" s="550">
        <v>0</v>
      </c>
      <c r="O11" s="545">
        <v>10</v>
      </c>
      <c r="P11" s="545">
        <v>9.07</v>
      </c>
      <c r="Q11" s="546">
        <f t="shared" si="1"/>
        <v>-10.93</v>
      </c>
      <c r="R11" s="546"/>
      <c r="S11" s="546"/>
    </row>
    <row r="12" spans="1:22" x14ac:dyDescent="0.25">
      <c r="A12" s="541">
        <f t="shared" si="0"/>
        <v>93.55</v>
      </c>
      <c r="B12" s="542" t="s">
        <v>272</v>
      </c>
      <c r="C12" s="542" t="s">
        <v>542</v>
      </c>
      <c r="D12" s="542" t="s">
        <v>273</v>
      </c>
      <c r="E12" s="543">
        <v>1</v>
      </c>
      <c r="F12" s="544" t="s">
        <v>352</v>
      </c>
      <c r="G12" s="588">
        <v>164.59714285714284</v>
      </c>
      <c r="H12" s="550">
        <v>26</v>
      </c>
      <c r="I12" s="550">
        <v>10.777777777777779</v>
      </c>
      <c r="J12" s="550">
        <v>3</v>
      </c>
      <c r="K12" s="545">
        <v>-6.5</v>
      </c>
      <c r="L12" s="550">
        <v>85.05</v>
      </c>
      <c r="M12" s="550">
        <v>35</v>
      </c>
      <c r="N12" s="550">
        <v>0</v>
      </c>
      <c r="O12" s="545">
        <v>120.05</v>
      </c>
      <c r="P12" s="545">
        <v>113.55</v>
      </c>
      <c r="Q12" s="546">
        <f t="shared" si="1"/>
        <v>93.55</v>
      </c>
      <c r="R12" s="546"/>
      <c r="S12" s="546"/>
    </row>
    <row r="13" spans="1:22" x14ac:dyDescent="0.25">
      <c r="A13" s="541">
        <f t="shared" si="0"/>
        <v>73.84</v>
      </c>
      <c r="B13" s="542" t="s">
        <v>272</v>
      </c>
      <c r="C13" s="542" t="s">
        <v>542</v>
      </c>
      <c r="D13" s="542" t="s">
        <v>273</v>
      </c>
      <c r="E13" s="543">
        <v>2</v>
      </c>
      <c r="F13" s="544" t="s">
        <v>367</v>
      </c>
      <c r="G13" s="588">
        <v>28.646717171717164</v>
      </c>
      <c r="H13" s="550">
        <v>25</v>
      </c>
      <c r="I13" s="550">
        <v>0.60000000000000009</v>
      </c>
      <c r="J13" s="550">
        <v>2</v>
      </c>
      <c r="K13" s="545">
        <v>8.09</v>
      </c>
      <c r="L13" s="550">
        <v>60.75</v>
      </c>
      <c r="M13" s="550">
        <v>25</v>
      </c>
      <c r="N13" s="550">
        <v>0</v>
      </c>
      <c r="O13" s="545">
        <v>85.75</v>
      </c>
      <c r="P13" s="545">
        <v>93.84</v>
      </c>
      <c r="Q13" s="546">
        <f t="shared" si="1"/>
        <v>73.84</v>
      </c>
      <c r="R13" s="546"/>
      <c r="S13" s="546"/>
    </row>
    <row r="14" spans="1:22" x14ac:dyDescent="0.25">
      <c r="A14" s="541">
        <f t="shared" si="0"/>
        <v>13.740000000000002</v>
      </c>
      <c r="B14" s="542" t="s">
        <v>272</v>
      </c>
      <c r="C14" s="542" t="s">
        <v>542</v>
      </c>
      <c r="D14" s="542" t="s">
        <v>273</v>
      </c>
      <c r="E14" s="543">
        <v>3</v>
      </c>
      <c r="F14" s="544" t="s">
        <v>324</v>
      </c>
      <c r="G14" s="588">
        <v>24.292501498501512</v>
      </c>
      <c r="H14" s="550">
        <v>30</v>
      </c>
      <c r="I14" s="550">
        <v>1.1285714285714263</v>
      </c>
      <c r="J14" s="550">
        <v>2</v>
      </c>
      <c r="K14" s="547">
        <v>-20</v>
      </c>
      <c r="L14" s="550">
        <v>43.74</v>
      </c>
      <c r="M14" s="550">
        <v>10</v>
      </c>
      <c r="N14" s="550">
        <v>0</v>
      </c>
      <c r="O14" s="547">
        <v>53.74</v>
      </c>
      <c r="P14" s="547">
        <v>33.74</v>
      </c>
      <c r="Q14" s="546">
        <f t="shared" si="1"/>
        <v>13.740000000000002</v>
      </c>
      <c r="R14" s="541"/>
      <c r="S14" s="541"/>
    </row>
    <row r="15" spans="1:22" x14ac:dyDescent="0.25">
      <c r="A15" s="541">
        <f t="shared" si="0"/>
        <v>22.659999999999997</v>
      </c>
      <c r="B15" s="542" t="s">
        <v>272</v>
      </c>
      <c r="C15" s="542" t="s">
        <v>542</v>
      </c>
      <c r="D15" s="542" t="s">
        <v>273</v>
      </c>
      <c r="E15" s="543">
        <v>4</v>
      </c>
      <c r="F15" s="544" t="s">
        <v>364</v>
      </c>
      <c r="G15" s="588">
        <v>22.970029781946444</v>
      </c>
      <c r="H15" s="550">
        <v>34</v>
      </c>
      <c r="I15" s="550">
        <v>0.26666666666666661</v>
      </c>
      <c r="J15" s="550">
        <v>2</v>
      </c>
      <c r="K15" s="545">
        <v>8.5</v>
      </c>
      <c r="L15" s="550">
        <v>29.16</v>
      </c>
      <c r="M15" s="550">
        <v>5</v>
      </c>
      <c r="N15" s="550">
        <v>0</v>
      </c>
      <c r="O15" s="545">
        <v>34.159999999999997</v>
      </c>
      <c r="P15" s="545">
        <v>42.66</v>
      </c>
      <c r="Q15" s="546">
        <f t="shared" si="1"/>
        <v>22.659999999999997</v>
      </c>
      <c r="R15" s="546"/>
      <c r="S15" s="546"/>
    </row>
    <row r="16" spans="1:22" x14ac:dyDescent="0.25">
      <c r="A16" s="541">
        <f t="shared" si="0"/>
        <v>24.045000000000002</v>
      </c>
      <c r="B16" s="542" t="s">
        <v>272</v>
      </c>
      <c r="C16" s="542" t="s">
        <v>542</v>
      </c>
      <c r="D16" s="542" t="s">
        <v>273</v>
      </c>
      <c r="E16" s="543">
        <v>5</v>
      </c>
      <c r="F16" s="544" t="s">
        <v>363</v>
      </c>
      <c r="G16" s="588">
        <v>-9.3728280542986404</v>
      </c>
      <c r="H16" s="550">
        <v>25</v>
      </c>
      <c r="I16" s="550">
        <v>6.91</v>
      </c>
      <c r="J16" s="550">
        <v>2</v>
      </c>
      <c r="K16" s="545">
        <v>17.034999999999997</v>
      </c>
      <c r="L16" s="550">
        <v>17.010000000000002</v>
      </c>
      <c r="M16" s="550">
        <v>10</v>
      </c>
      <c r="N16" s="550">
        <v>0</v>
      </c>
      <c r="O16" s="545">
        <v>27.01</v>
      </c>
      <c r="P16" s="545">
        <v>44.045000000000002</v>
      </c>
      <c r="Q16" s="546">
        <f t="shared" si="1"/>
        <v>24.045000000000002</v>
      </c>
      <c r="R16" s="546"/>
      <c r="S16" s="546"/>
    </row>
    <row r="17" spans="1:19" x14ac:dyDescent="0.25">
      <c r="A17" s="541">
        <f t="shared" si="0"/>
        <v>-15.515000000000001</v>
      </c>
      <c r="B17" s="542" t="s">
        <v>272</v>
      </c>
      <c r="C17" s="542" t="s">
        <v>542</v>
      </c>
      <c r="D17" s="542" t="s">
        <v>273</v>
      </c>
      <c r="E17" s="543">
        <v>6</v>
      </c>
      <c r="F17" s="544" t="s">
        <v>368</v>
      </c>
      <c r="G17" s="588">
        <v>-14.675394223423631</v>
      </c>
      <c r="H17" s="550">
        <v>28</v>
      </c>
      <c r="I17" s="550">
        <v>10.720000000000002</v>
      </c>
      <c r="J17" s="550">
        <v>3</v>
      </c>
      <c r="K17" s="545">
        <v>-2.8049999999999997</v>
      </c>
      <c r="L17" s="550">
        <v>7.29</v>
      </c>
      <c r="M17" s="550">
        <v>0</v>
      </c>
      <c r="N17" s="550">
        <v>0</v>
      </c>
      <c r="O17" s="545">
        <v>7.29</v>
      </c>
      <c r="P17" s="545">
        <v>4.4850000000000003</v>
      </c>
      <c r="Q17" s="546">
        <f t="shared" si="1"/>
        <v>-15.515000000000001</v>
      </c>
      <c r="R17" s="546"/>
      <c r="S17" s="546"/>
    </row>
    <row r="18" spans="1:19" x14ac:dyDescent="0.25">
      <c r="A18" s="541">
        <f t="shared" si="0"/>
        <v>-28.25</v>
      </c>
      <c r="B18" s="542" t="s">
        <v>273</v>
      </c>
      <c r="C18" s="542" t="s">
        <v>542</v>
      </c>
      <c r="D18" s="542" t="s">
        <v>272</v>
      </c>
      <c r="E18" s="543">
        <v>11</v>
      </c>
      <c r="F18" s="544" t="s">
        <v>340</v>
      </c>
      <c r="G18" s="588">
        <v>-23.556502525252526</v>
      </c>
      <c r="H18" s="550">
        <v>31</v>
      </c>
      <c r="I18" s="550">
        <v>2.2708333333333339</v>
      </c>
      <c r="J18" s="550">
        <v>2</v>
      </c>
      <c r="K18" s="545">
        <v>-8.25</v>
      </c>
      <c r="L18" s="550">
        <v>0</v>
      </c>
      <c r="M18" s="550">
        <v>0</v>
      </c>
      <c r="N18" s="550">
        <v>0</v>
      </c>
      <c r="O18" s="545">
        <v>0</v>
      </c>
      <c r="P18" s="545">
        <v>-8.25</v>
      </c>
      <c r="Q18" s="546">
        <f t="shared" si="1"/>
        <v>-28.25</v>
      </c>
      <c r="R18" s="546"/>
      <c r="S18" s="546"/>
    </row>
    <row r="19" spans="1:19" x14ac:dyDescent="0.25">
      <c r="A19" s="541">
        <f t="shared" si="0"/>
        <v>14.545000000000002</v>
      </c>
      <c r="B19" s="542" t="s">
        <v>273</v>
      </c>
      <c r="C19" s="542" t="s">
        <v>542</v>
      </c>
      <c r="D19" s="542" t="s">
        <v>272</v>
      </c>
      <c r="E19" s="543">
        <v>12</v>
      </c>
      <c r="F19" s="544" t="s">
        <v>341</v>
      </c>
      <c r="G19" s="588">
        <v>-32.585439814814819</v>
      </c>
      <c r="H19" s="550">
        <v>19</v>
      </c>
      <c r="I19" s="550">
        <v>6.91</v>
      </c>
      <c r="J19" s="550">
        <v>2</v>
      </c>
      <c r="K19" s="545">
        <v>29.545000000000002</v>
      </c>
      <c r="L19" s="550">
        <v>0</v>
      </c>
      <c r="M19" s="550">
        <v>5</v>
      </c>
      <c r="N19" s="550">
        <v>0</v>
      </c>
      <c r="O19" s="545">
        <v>5</v>
      </c>
      <c r="P19" s="545">
        <v>34.545000000000002</v>
      </c>
      <c r="Q19" s="546">
        <f t="shared" si="1"/>
        <v>14.545000000000002</v>
      </c>
      <c r="R19" s="546"/>
      <c r="S19" s="546"/>
    </row>
    <row r="20" spans="1:19" x14ac:dyDescent="0.25">
      <c r="A20" s="541">
        <f t="shared" si="0"/>
        <v>65.349999999999994</v>
      </c>
      <c r="B20" s="542" t="s">
        <v>273</v>
      </c>
      <c r="C20" s="542" t="s">
        <v>542</v>
      </c>
      <c r="D20" s="542" t="s">
        <v>272</v>
      </c>
      <c r="E20" s="543">
        <v>13</v>
      </c>
      <c r="F20" s="544" t="s">
        <v>323</v>
      </c>
      <c r="G20" s="588">
        <v>-38.61475207390648</v>
      </c>
      <c r="H20" s="550">
        <v>21</v>
      </c>
      <c r="I20" s="550">
        <v>-7</v>
      </c>
      <c r="J20" s="550">
        <v>0</v>
      </c>
      <c r="K20" s="545">
        <v>75.349999999999994</v>
      </c>
      <c r="L20" s="550">
        <v>0</v>
      </c>
      <c r="M20" s="550">
        <v>10</v>
      </c>
      <c r="N20" s="550">
        <v>0</v>
      </c>
      <c r="O20" s="545">
        <v>10</v>
      </c>
      <c r="P20" s="545">
        <v>85.35</v>
      </c>
      <c r="Q20" s="546">
        <f t="shared" si="1"/>
        <v>65.349999999999994</v>
      </c>
      <c r="R20" s="546"/>
      <c r="S20" s="546"/>
    </row>
    <row r="21" spans="1:19" x14ac:dyDescent="0.25">
      <c r="A21" s="541">
        <f t="shared" si="0"/>
        <v>-28.97</v>
      </c>
      <c r="B21" s="542" t="s">
        <v>273</v>
      </c>
      <c r="C21" s="542" t="s">
        <v>542</v>
      </c>
      <c r="D21" s="542" t="s">
        <v>272</v>
      </c>
      <c r="E21" s="543">
        <v>14</v>
      </c>
      <c r="F21" s="544" t="s">
        <v>328</v>
      </c>
      <c r="G21" s="588">
        <v>-52.318484848484857</v>
      </c>
      <c r="H21" s="550">
        <v>18</v>
      </c>
      <c r="I21" s="550">
        <v>-7</v>
      </c>
      <c r="J21" s="550">
        <v>0</v>
      </c>
      <c r="K21" s="545">
        <v>-8.9699999999999989</v>
      </c>
      <c r="L21" s="550">
        <v>0</v>
      </c>
      <c r="M21" s="550">
        <v>0</v>
      </c>
      <c r="N21" s="550">
        <v>0</v>
      </c>
      <c r="O21" s="545">
        <v>0</v>
      </c>
      <c r="P21" s="545">
        <v>-8.9699999999999989</v>
      </c>
      <c r="Q21" s="546">
        <f t="shared" si="1"/>
        <v>-28.97</v>
      </c>
      <c r="R21" s="546"/>
      <c r="S21" s="546"/>
    </row>
    <row r="22" spans="1:19" x14ac:dyDescent="0.25">
      <c r="A22" s="541">
        <f t="shared" si="0"/>
        <v>63.75</v>
      </c>
      <c r="B22" s="542" t="s">
        <v>273</v>
      </c>
      <c r="C22" s="542" t="s">
        <v>542</v>
      </c>
      <c r="D22" s="542" t="s">
        <v>272</v>
      </c>
      <c r="E22" s="543">
        <v>15</v>
      </c>
      <c r="F22" s="544" t="s">
        <v>343</v>
      </c>
      <c r="G22" s="588">
        <v>-54.154999999999994</v>
      </c>
      <c r="H22" s="550">
        <v>16</v>
      </c>
      <c r="I22" s="550">
        <v>-7</v>
      </c>
      <c r="J22" s="550">
        <v>0</v>
      </c>
      <c r="K22" s="547">
        <v>78.75</v>
      </c>
      <c r="L22" s="550">
        <v>0</v>
      </c>
      <c r="M22" s="550">
        <v>5</v>
      </c>
      <c r="N22" s="550">
        <v>0</v>
      </c>
      <c r="O22" s="547">
        <v>5</v>
      </c>
      <c r="P22" s="547">
        <v>83.75</v>
      </c>
      <c r="Q22" s="546">
        <f t="shared" si="1"/>
        <v>63.75</v>
      </c>
      <c r="R22" s="541"/>
      <c r="S22" s="541"/>
    </row>
    <row r="23" spans="1:19" x14ac:dyDescent="0.25">
      <c r="A23" s="541">
        <f t="shared" si="0"/>
        <v>26.25</v>
      </c>
      <c r="B23" s="542" t="s">
        <v>273</v>
      </c>
      <c r="C23" s="542" t="s">
        <v>542</v>
      </c>
      <c r="D23" s="542" t="s">
        <v>273</v>
      </c>
      <c r="E23" s="543">
        <v>7</v>
      </c>
      <c r="F23" s="544" t="s">
        <v>337</v>
      </c>
      <c r="G23" s="588">
        <v>-22.169700854700853</v>
      </c>
      <c r="H23" s="550">
        <v>24</v>
      </c>
      <c r="I23" s="550">
        <v>-7</v>
      </c>
      <c r="J23" s="550">
        <v>0</v>
      </c>
      <c r="K23" s="545">
        <v>41.25</v>
      </c>
      <c r="L23" s="550">
        <v>0</v>
      </c>
      <c r="M23" s="550">
        <v>5</v>
      </c>
      <c r="N23" s="550">
        <v>0</v>
      </c>
      <c r="O23" s="545">
        <v>5</v>
      </c>
      <c r="P23" s="545">
        <v>46.25</v>
      </c>
      <c r="Q23" s="546">
        <f t="shared" si="1"/>
        <v>26.25</v>
      </c>
      <c r="R23" s="546"/>
      <c r="S23" s="546"/>
    </row>
    <row r="24" spans="1:19" x14ac:dyDescent="0.25">
      <c r="A24" s="541">
        <f t="shared" si="0"/>
        <v>-25</v>
      </c>
      <c r="B24" s="542" t="s">
        <v>273</v>
      </c>
      <c r="C24" s="542" t="s">
        <v>542</v>
      </c>
      <c r="D24" s="542" t="s">
        <v>273</v>
      </c>
      <c r="E24" s="543">
        <v>8</v>
      </c>
      <c r="F24" s="544" t="s">
        <v>345</v>
      </c>
      <c r="G24" s="588">
        <v>-22.862219251336899</v>
      </c>
      <c r="H24" s="550">
        <v>23</v>
      </c>
      <c r="I24" s="550">
        <v>-5</v>
      </c>
      <c r="J24" s="550">
        <v>1</v>
      </c>
      <c r="K24" s="545">
        <v>-15</v>
      </c>
      <c r="L24" s="550">
        <v>0</v>
      </c>
      <c r="M24" s="550">
        <v>10</v>
      </c>
      <c r="N24" s="550">
        <v>0</v>
      </c>
      <c r="O24" s="545">
        <v>10</v>
      </c>
      <c r="P24" s="545">
        <v>-5</v>
      </c>
      <c r="Q24" s="546">
        <f t="shared" si="1"/>
        <v>-25</v>
      </c>
      <c r="R24" s="546"/>
      <c r="S24" s="546"/>
    </row>
    <row r="25" spans="1:19" x14ac:dyDescent="0.25">
      <c r="A25" s="541">
        <f t="shared" si="0"/>
        <v>-20</v>
      </c>
      <c r="B25" s="542" t="s">
        <v>273</v>
      </c>
      <c r="C25" s="542" t="s">
        <v>542</v>
      </c>
      <c r="D25" s="542" t="s">
        <v>273</v>
      </c>
      <c r="E25" s="543">
        <v>9</v>
      </c>
      <c r="F25" s="544" t="s">
        <v>356</v>
      </c>
      <c r="G25" s="588">
        <v>-37.151919191919191</v>
      </c>
      <c r="H25" s="550">
        <v>22</v>
      </c>
      <c r="I25" s="550">
        <v>-7</v>
      </c>
      <c r="J25" s="550">
        <v>0</v>
      </c>
      <c r="K25" s="545">
        <v>-10</v>
      </c>
      <c r="L25" s="550">
        <v>0</v>
      </c>
      <c r="M25" s="550">
        <v>10</v>
      </c>
      <c r="N25" s="550">
        <v>0</v>
      </c>
      <c r="O25" s="545">
        <v>10</v>
      </c>
      <c r="P25" s="545">
        <v>0</v>
      </c>
      <c r="Q25" s="546">
        <f t="shared" si="1"/>
        <v>-20</v>
      </c>
      <c r="R25" s="546"/>
      <c r="S25" s="546"/>
    </row>
    <row r="26" spans="1:19" x14ac:dyDescent="0.25">
      <c r="A26" s="541">
        <f t="shared" si="0"/>
        <v>47.775000000000006</v>
      </c>
      <c r="B26" s="542" t="s">
        <v>273</v>
      </c>
      <c r="C26" s="542" t="s">
        <v>542</v>
      </c>
      <c r="D26" s="542" t="s">
        <v>274</v>
      </c>
      <c r="E26" s="543">
        <v>1</v>
      </c>
      <c r="F26" s="544" t="s">
        <v>355</v>
      </c>
      <c r="G26" s="588">
        <v>100.85998015873017</v>
      </c>
      <c r="H26" s="550">
        <v>26</v>
      </c>
      <c r="I26" s="550">
        <v>-0.89999999999999991</v>
      </c>
      <c r="J26" s="550">
        <v>1</v>
      </c>
      <c r="K26" s="547">
        <v>0.25</v>
      </c>
      <c r="L26" s="550">
        <v>42.524999999999999</v>
      </c>
      <c r="M26" s="550">
        <v>25</v>
      </c>
      <c r="N26" s="550">
        <v>0</v>
      </c>
      <c r="O26" s="547">
        <v>67.525000000000006</v>
      </c>
      <c r="P26" s="547">
        <v>67.775000000000006</v>
      </c>
      <c r="Q26" s="546">
        <f t="shared" si="1"/>
        <v>47.775000000000006</v>
      </c>
      <c r="R26" s="541"/>
      <c r="S26" s="541"/>
    </row>
    <row r="27" spans="1:19" x14ac:dyDescent="0.25">
      <c r="A27" s="541">
        <f t="shared" si="0"/>
        <v>42.125</v>
      </c>
      <c r="B27" s="542" t="s">
        <v>273</v>
      </c>
      <c r="C27" s="542" t="s">
        <v>542</v>
      </c>
      <c r="D27" s="542" t="s">
        <v>274</v>
      </c>
      <c r="E27" s="543">
        <v>2</v>
      </c>
      <c r="F27" s="544" t="s">
        <v>348</v>
      </c>
      <c r="G27" s="588">
        <v>56.937402148356696</v>
      </c>
      <c r="H27" s="550">
        <v>40</v>
      </c>
      <c r="I27" s="550">
        <v>-1.8285714285714292</v>
      </c>
      <c r="J27" s="550">
        <v>2</v>
      </c>
      <c r="K27" s="545">
        <v>11.75</v>
      </c>
      <c r="L27" s="550">
        <v>30.375</v>
      </c>
      <c r="M27" s="550">
        <v>20</v>
      </c>
      <c r="N27" s="550">
        <v>0</v>
      </c>
      <c r="O27" s="545">
        <v>50.375</v>
      </c>
      <c r="P27" s="545">
        <v>62.125</v>
      </c>
      <c r="Q27" s="546">
        <f t="shared" si="1"/>
        <v>42.125</v>
      </c>
      <c r="R27" s="546"/>
      <c r="S27" s="546"/>
    </row>
    <row r="28" spans="1:19" x14ac:dyDescent="0.25">
      <c r="A28" s="541">
        <f t="shared" si="0"/>
        <v>45.320000000000007</v>
      </c>
      <c r="B28" s="542" t="s">
        <v>273</v>
      </c>
      <c r="C28" s="542" t="s">
        <v>542</v>
      </c>
      <c r="D28" s="542" t="s">
        <v>274</v>
      </c>
      <c r="E28" s="543">
        <v>3</v>
      </c>
      <c r="F28" s="544" t="s">
        <v>391</v>
      </c>
      <c r="G28" s="588">
        <v>51.294573993907321</v>
      </c>
      <c r="H28" s="550">
        <v>34</v>
      </c>
      <c r="I28" s="550">
        <v>3.466666666666665</v>
      </c>
      <c r="J28" s="550">
        <v>2</v>
      </c>
      <c r="K28" s="545">
        <v>23.450000000000003</v>
      </c>
      <c r="L28" s="550">
        <v>21.87</v>
      </c>
      <c r="M28" s="550">
        <v>20</v>
      </c>
      <c r="N28" s="550">
        <v>0</v>
      </c>
      <c r="O28" s="545">
        <v>41.870000000000005</v>
      </c>
      <c r="P28" s="545">
        <v>65.320000000000007</v>
      </c>
      <c r="Q28" s="546">
        <f t="shared" si="1"/>
        <v>45.320000000000007</v>
      </c>
      <c r="R28" s="546"/>
      <c r="S28" s="546"/>
    </row>
    <row r="29" spans="1:19" x14ac:dyDescent="0.25">
      <c r="A29" s="541">
        <f t="shared" si="0"/>
        <v>-7.3800000000000026</v>
      </c>
      <c r="B29" s="542" t="s">
        <v>273</v>
      </c>
      <c r="C29" s="542" t="s">
        <v>542</v>
      </c>
      <c r="D29" s="542" t="s">
        <v>274</v>
      </c>
      <c r="E29" s="543">
        <v>4</v>
      </c>
      <c r="F29" s="544" t="s">
        <v>350</v>
      </c>
      <c r="G29" s="588">
        <v>16.591097892187179</v>
      </c>
      <c r="H29" s="550">
        <v>39</v>
      </c>
      <c r="I29" s="550">
        <v>-0.44444444444444464</v>
      </c>
      <c r="J29" s="550">
        <v>2</v>
      </c>
      <c r="K29" s="545">
        <v>-6.9600000000000009</v>
      </c>
      <c r="L29" s="550">
        <v>14.58</v>
      </c>
      <c r="M29" s="550">
        <v>5</v>
      </c>
      <c r="N29" s="550">
        <v>0</v>
      </c>
      <c r="O29" s="545">
        <v>19.579999999999998</v>
      </c>
      <c r="P29" s="545">
        <v>12.619999999999997</v>
      </c>
      <c r="Q29" s="546">
        <f t="shared" si="1"/>
        <v>-7.3800000000000026</v>
      </c>
      <c r="R29" s="546"/>
      <c r="S29" s="546"/>
    </row>
    <row r="30" spans="1:19" x14ac:dyDescent="0.25">
      <c r="A30" s="541">
        <f t="shared" si="0"/>
        <v>-22.494999999999997</v>
      </c>
      <c r="B30" s="542" t="s">
        <v>273</v>
      </c>
      <c r="C30" s="542" t="s">
        <v>542</v>
      </c>
      <c r="D30" s="542" t="s">
        <v>274</v>
      </c>
      <c r="E30" s="543">
        <v>5</v>
      </c>
      <c r="F30" s="544" t="s">
        <v>360</v>
      </c>
      <c r="G30" s="588">
        <v>16.391882284382287</v>
      </c>
      <c r="H30" s="550">
        <v>22</v>
      </c>
      <c r="I30" s="550">
        <v>6.91</v>
      </c>
      <c r="J30" s="550">
        <v>2</v>
      </c>
      <c r="K30" s="545">
        <v>-21</v>
      </c>
      <c r="L30" s="550">
        <v>8.5050000000000008</v>
      </c>
      <c r="M30" s="550">
        <v>10</v>
      </c>
      <c r="N30" s="550">
        <v>0</v>
      </c>
      <c r="O30" s="545">
        <v>18.505000000000003</v>
      </c>
      <c r="P30" s="545">
        <v>-2.4949999999999974</v>
      </c>
      <c r="Q30" s="546">
        <f t="shared" si="1"/>
        <v>-22.494999999999997</v>
      </c>
      <c r="R30" s="546"/>
      <c r="S30" s="546"/>
    </row>
    <row r="31" spans="1:19" x14ac:dyDescent="0.25">
      <c r="A31" s="541">
        <f t="shared" si="0"/>
        <v>-31.355</v>
      </c>
      <c r="B31" s="542" t="s">
        <v>273</v>
      </c>
      <c r="C31" s="542" t="s">
        <v>542</v>
      </c>
      <c r="D31" s="542" t="s">
        <v>274</v>
      </c>
      <c r="E31" s="543">
        <v>6</v>
      </c>
      <c r="F31" s="544" t="s">
        <v>338</v>
      </c>
      <c r="G31" s="588">
        <v>15.934872814534691</v>
      </c>
      <c r="H31" s="550">
        <v>37</v>
      </c>
      <c r="I31" s="550">
        <v>-3.6</v>
      </c>
      <c r="J31" s="550">
        <v>1</v>
      </c>
      <c r="K31" s="545">
        <v>-15</v>
      </c>
      <c r="L31" s="550">
        <v>3.645</v>
      </c>
      <c r="M31" s="550">
        <v>0</v>
      </c>
      <c r="N31" s="550">
        <v>0</v>
      </c>
      <c r="O31" s="545">
        <v>3.645</v>
      </c>
      <c r="P31" s="545">
        <v>-11.355</v>
      </c>
      <c r="Q31" s="546">
        <f t="shared" si="1"/>
        <v>-31.355</v>
      </c>
      <c r="R31" s="546"/>
      <c r="S31" s="546"/>
    </row>
    <row r="32" spans="1:19" x14ac:dyDescent="0.25">
      <c r="A32" s="541">
        <f t="shared" si="0"/>
        <v>-10.309999999999999</v>
      </c>
      <c r="B32" s="542" t="s">
        <v>273</v>
      </c>
      <c r="C32" s="542" t="s">
        <v>542</v>
      </c>
      <c r="D32" s="542" t="s">
        <v>274</v>
      </c>
      <c r="E32" s="543">
        <v>7</v>
      </c>
      <c r="F32" s="544" t="s">
        <v>390</v>
      </c>
      <c r="G32" s="588">
        <v>10.815330169830176</v>
      </c>
      <c r="H32" s="550">
        <v>35</v>
      </c>
      <c r="I32" s="550">
        <v>-2.3666666666666663</v>
      </c>
      <c r="J32" s="550">
        <v>2</v>
      </c>
      <c r="K32" s="547">
        <v>-10.309999999999999</v>
      </c>
      <c r="L32" s="550">
        <v>0</v>
      </c>
      <c r="M32" s="550">
        <v>5</v>
      </c>
      <c r="N32" s="550">
        <v>15</v>
      </c>
      <c r="O32" s="547">
        <v>20</v>
      </c>
      <c r="P32" s="547">
        <v>9.6900000000000013</v>
      </c>
      <c r="Q32" s="546">
        <f t="shared" si="1"/>
        <v>-10.309999999999999</v>
      </c>
      <c r="R32" s="541"/>
      <c r="S32" s="541"/>
    </row>
    <row r="33" spans="1:19" x14ac:dyDescent="0.25">
      <c r="A33" s="541">
        <f t="shared" si="0"/>
        <v>-30</v>
      </c>
      <c r="B33" s="542" t="s">
        <v>273</v>
      </c>
      <c r="C33" s="542" t="s">
        <v>542</v>
      </c>
      <c r="D33" s="542" t="s">
        <v>274</v>
      </c>
      <c r="E33" s="543">
        <v>8</v>
      </c>
      <c r="F33" s="544" t="s">
        <v>329</v>
      </c>
      <c r="G33" s="588">
        <v>0.38923076923076749</v>
      </c>
      <c r="H33" s="550">
        <v>23</v>
      </c>
      <c r="I33" s="550">
        <v>-5.6</v>
      </c>
      <c r="J33" s="550">
        <v>1</v>
      </c>
      <c r="K33" s="545">
        <v>-15</v>
      </c>
      <c r="L33" s="550">
        <v>0</v>
      </c>
      <c r="M33" s="550">
        <v>5</v>
      </c>
      <c r="N33" s="550">
        <v>0</v>
      </c>
      <c r="O33" s="545">
        <v>5</v>
      </c>
      <c r="P33" s="545">
        <v>-10</v>
      </c>
      <c r="Q33" s="546">
        <f t="shared" si="1"/>
        <v>-30</v>
      </c>
      <c r="R33" s="546"/>
      <c r="S33" s="546"/>
    </row>
    <row r="34" spans="1:19" x14ac:dyDescent="0.25">
      <c r="A34" s="541">
        <f t="shared" ref="A34:A70" si="2">IF(F34="","",Q34-S34+R34)</f>
        <v>25.174999999999997</v>
      </c>
      <c r="B34" s="542" t="s">
        <v>274</v>
      </c>
      <c r="C34" s="542" t="s">
        <v>542</v>
      </c>
      <c r="D34" s="542" t="s">
        <v>273</v>
      </c>
      <c r="E34" s="543">
        <v>10</v>
      </c>
      <c r="F34" s="544" t="s">
        <v>346</v>
      </c>
      <c r="G34" s="588">
        <v>-37.779999999999994</v>
      </c>
      <c r="H34" s="550">
        <v>23</v>
      </c>
      <c r="I34" s="550">
        <v>-4.5999999999999996</v>
      </c>
      <c r="J34" s="550">
        <v>1</v>
      </c>
      <c r="K34" s="545">
        <v>35.174999999999997</v>
      </c>
      <c r="L34" s="550">
        <v>0</v>
      </c>
      <c r="M34" s="550">
        <v>10</v>
      </c>
      <c r="N34" s="550">
        <v>0</v>
      </c>
      <c r="O34" s="545">
        <v>10</v>
      </c>
      <c r="P34" s="545">
        <v>45.174999999999997</v>
      </c>
      <c r="Q34" s="546">
        <f t="shared" ref="Q34:Q65" si="3">IF(F34="","",P34-20)</f>
        <v>25.174999999999997</v>
      </c>
      <c r="R34" s="546"/>
      <c r="S34" s="546"/>
    </row>
    <row r="35" spans="1:19" x14ac:dyDescent="0.25">
      <c r="A35" s="541">
        <f t="shared" si="2"/>
        <v>-40</v>
      </c>
      <c r="B35" s="542" t="s">
        <v>274</v>
      </c>
      <c r="C35" s="542" t="s">
        <v>542</v>
      </c>
      <c r="D35" s="542" t="s">
        <v>273</v>
      </c>
      <c r="E35" s="543">
        <v>11</v>
      </c>
      <c r="F35" s="544" t="s">
        <v>359</v>
      </c>
      <c r="G35" s="588">
        <v>-46.573863636363626</v>
      </c>
      <c r="H35" s="550">
        <v>23</v>
      </c>
      <c r="I35" s="550">
        <v>-7</v>
      </c>
      <c r="J35" s="550">
        <v>0</v>
      </c>
      <c r="K35" s="545">
        <v>-20</v>
      </c>
      <c r="L35" s="550">
        <v>0</v>
      </c>
      <c r="M35" s="550">
        <v>0</v>
      </c>
      <c r="N35" s="550">
        <v>0</v>
      </c>
      <c r="O35" s="545">
        <v>0</v>
      </c>
      <c r="P35" s="545">
        <v>-20</v>
      </c>
      <c r="Q35" s="546">
        <f t="shared" si="3"/>
        <v>-40</v>
      </c>
      <c r="R35" s="546"/>
      <c r="S35" s="546"/>
    </row>
    <row r="36" spans="1:19" x14ac:dyDescent="0.25">
      <c r="A36" s="541">
        <f t="shared" si="2"/>
        <v>88.13</v>
      </c>
      <c r="B36" s="542" t="s">
        <v>274</v>
      </c>
      <c r="C36" s="542" t="s">
        <v>542</v>
      </c>
      <c r="D36" s="542" t="s">
        <v>273</v>
      </c>
      <c r="E36" s="543">
        <v>12</v>
      </c>
      <c r="F36" s="544" t="s">
        <v>320</v>
      </c>
      <c r="G36" s="588">
        <v>-51.769482750365114</v>
      </c>
      <c r="H36" s="550">
        <v>28</v>
      </c>
      <c r="I36" s="550">
        <v>6.91</v>
      </c>
      <c r="J36" s="550">
        <v>2</v>
      </c>
      <c r="K36" s="545">
        <v>108.13</v>
      </c>
      <c r="L36" s="550">
        <v>0</v>
      </c>
      <c r="M36" s="550">
        <v>0</v>
      </c>
      <c r="N36" s="550">
        <v>0</v>
      </c>
      <c r="O36" s="545">
        <v>0</v>
      </c>
      <c r="P36" s="545">
        <v>108.13</v>
      </c>
      <c r="Q36" s="546">
        <f t="shared" si="3"/>
        <v>88.13</v>
      </c>
      <c r="R36" s="546"/>
      <c r="S36" s="546"/>
    </row>
    <row r="37" spans="1:19" x14ac:dyDescent="0.25">
      <c r="A37" s="541">
        <f t="shared" si="2"/>
        <v>-7.9399999999999977</v>
      </c>
      <c r="B37" s="542" t="s">
        <v>274</v>
      </c>
      <c r="C37" s="542" t="s">
        <v>542</v>
      </c>
      <c r="D37" s="542" t="s">
        <v>273</v>
      </c>
      <c r="E37" s="543">
        <v>13</v>
      </c>
      <c r="F37" s="544" t="s">
        <v>334</v>
      </c>
      <c r="G37" s="588">
        <v>-56.986694971694973</v>
      </c>
      <c r="H37" s="550">
        <v>23</v>
      </c>
      <c r="I37" s="550">
        <v>-7</v>
      </c>
      <c r="J37" s="550">
        <v>0</v>
      </c>
      <c r="K37" s="545">
        <v>12.060000000000002</v>
      </c>
      <c r="L37" s="550">
        <v>0</v>
      </c>
      <c r="M37" s="550">
        <v>0</v>
      </c>
      <c r="N37" s="550">
        <v>0</v>
      </c>
      <c r="O37" s="545">
        <v>0</v>
      </c>
      <c r="P37" s="545">
        <v>12.060000000000002</v>
      </c>
      <c r="Q37" s="546">
        <f t="shared" si="3"/>
        <v>-7.9399999999999977</v>
      </c>
      <c r="R37" s="546"/>
      <c r="S37" s="546"/>
    </row>
    <row r="38" spans="1:19" x14ac:dyDescent="0.25">
      <c r="A38" s="541">
        <f t="shared" si="2"/>
        <v>-20</v>
      </c>
      <c r="B38" s="542" t="s">
        <v>274</v>
      </c>
      <c r="C38" s="542" t="s">
        <v>542</v>
      </c>
      <c r="D38" s="542" t="s">
        <v>273</v>
      </c>
      <c r="E38" s="543">
        <v>14</v>
      </c>
      <c r="F38" s="544" t="s">
        <v>333</v>
      </c>
      <c r="G38" s="588">
        <v>-63.143333333333331</v>
      </c>
      <c r="H38" s="550">
        <v>12</v>
      </c>
      <c r="I38" s="550">
        <v>-3.4</v>
      </c>
      <c r="J38" s="550">
        <v>1</v>
      </c>
      <c r="K38" s="545">
        <v>-10</v>
      </c>
      <c r="L38" s="550">
        <v>0</v>
      </c>
      <c r="M38" s="550">
        <v>10</v>
      </c>
      <c r="N38" s="550">
        <v>0</v>
      </c>
      <c r="O38" s="545">
        <v>10</v>
      </c>
      <c r="P38" s="545">
        <v>0</v>
      </c>
      <c r="Q38" s="546">
        <f t="shared" si="3"/>
        <v>-20</v>
      </c>
      <c r="R38" s="546"/>
      <c r="S38" s="546"/>
    </row>
    <row r="39" spans="1:19" x14ac:dyDescent="0.25">
      <c r="A39" s="541">
        <f t="shared" si="2"/>
        <v>-11.370000000000001</v>
      </c>
      <c r="B39" s="542" t="s">
        <v>274</v>
      </c>
      <c r="C39" s="542" t="s">
        <v>542</v>
      </c>
      <c r="D39" s="542" t="s">
        <v>273</v>
      </c>
      <c r="E39" s="543">
        <v>15</v>
      </c>
      <c r="F39" s="544" t="s">
        <v>331</v>
      </c>
      <c r="G39" s="588">
        <v>-64.975285320739886</v>
      </c>
      <c r="H39" s="550">
        <v>20</v>
      </c>
      <c r="I39" s="550">
        <v>2.2857142857142847</v>
      </c>
      <c r="J39" s="550">
        <v>2</v>
      </c>
      <c r="K39" s="545">
        <v>8.629999999999999</v>
      </c>
      <c r="L39" s="550">
        <v>0</v>
      </c>
      <c r="M39" s="550">
        <v>0</v>
      </c>
      <c r="N39" s="550">
        <v>0</v>
      </c>
      <c r="O39" s="545">
        <v>0</v>
      </c>
      <c r="P39" s="545">
        <v>8.629999999999999</v>
      </c>
      <c r="Q39" s="546">
        <f t="shared" si="3"/>
        <v>-11.370000000000001</v>
      </c>
      <c r="R39" s="546"/>
      <c r="S39" s="546"/>
    </row>
    <row r="40" spans="1:19" x14ac:dyDescent="0.25">
      <c r="A40" s="541">
        <f t="shared" si="2"/>
        <v>10.125</v>
      </c>
      <c r="B40" s="542" t="s">
        <v>274</v>
      </c>
      <c r="C40" s="542" t="s">
        <v>542</v>
      </c>
      <c r="D40" s="542" t="s">
        <v>273</v>
      </c>
      <c r="E40" s="543">
        <v>16</v>
      </c>
      <c r="F40" s="544" t="s">
        <v>339</v>
      </c>
      <c r="G40" s="588">
        <v>-79.659821428571433</v>
      </c>
      <c r="H40" s="550">
        <v>16</v>
      </c>
      <c r="I40" s="550">
        <v>3.7249999999999996</v>
      </c>
      <c r="J40" s="550">
        <v>2</v>
      </c>
      <c r="K40" s="545">
        <v>30.125</v>
      </c>
      <c r="L40" s="550">
        <v>0</v>
      </c>
      <c r="M40" s="550">
        <v>0</v>
      </c>
      <c r="N40" s="550">
        <v>0</v>
      </c>
      <c r="O40" s="545">
        <v>0</v>
      </c>
      <c r="P40" s="545">
        <v>30.125</v>
      </c>
      <c r="Q40" s="546">
        <f t="shared" si="3"/>
        <v>10.125</v>
      </c>
      <c r="R40" s="546"/>
      <c r="S40" s="546"/>
    </row>
    <row r="41" spans="1:19" x14ac:dyDescent="0.25">
      <c r="A41" s="541">
        <f t="shared" si="2"/>
        <v>-55</v>
      </c>
      <c r="B41" s="542" t="s">
        <v>274</v>
      </c>
      <c r="C41" s="542" t="s">
        <v>542</v>
      </c>
      <c r="D41" s="542" t="s">
        <v>274</v>
      </c>
      <c r="E41" s="543">
        <v>9</v>
      </c>
      <c r="F41" s="544" t="s">
        <v>354</v>
      </c>
      <c r="G41" s="588">
        <v>-7.3278968253968175</v>
      </c>
      <c r="H41" s="550">
        <v>37</v>
      </c>
      <c r="I41" s="550">
        <v>-0.28571428571428648</v>
      </c>
      <c r="J41" s="550">
        <v>2</v>
      </c>
      <c r="K41" s="545">
        <v>-35</v>
      </c>
      <c r="L41" s="550">
        <v>0</v>
      </c>
      <c r="M41" s="550">
        <v>0</v>
      </c>
      <c r="N41" s="550">
        <v>0</v>
      </c>
      <c r="O41" s="545">
        <v>0</v>
      </c>
      <c r="P41" s="545">
        <v>-35</v>
      </c>
      <c r="Q41" s="546">
        <f t="shared" si="3"/>
        <v>-55</v>
      </c>
      <c r="R41" s="546"/>
      <c r="S41" s="546"/>
    </row>
    <row r="42" spans="1:19" x14ac:dyDescent="0.25">
      <c r="A42" s="541">
        <f t="shared" si="2"/>
        <v>-26.675000000000001</v>
      </c>
      <c r="B42" s="542" t="s">
        <v>274</v>
      </c>
      <c r="C42" s="542" t="s">
        <v>542</v>
      </c>
      <c r="D42" s="542" t="s">
        <v>274</v>
      </c>
      <c r="E42" s="543">
        <v>10</v>
      </c>
      <c r="F42" s="544" t="s">
        <v>351</v>
      </c>
      <c r="G42" s="588">
        <v>-10.434081679809974</v>
      </c>
      <c r="H42" s="550">
        <v>34</v>
      </c>
      <c r="I42" s="550">
        <v>11.428571428571427</v>
      </c>
      <c r="J42" s="550">
        <v>3</v>
      </c>
      <c r="K42" s="545">
        <v>-11.675000000000001</v>
      </c>
      <c r="L42" s="550">
        <v>0</v>
      </c>
      <c r="M42" s="550">
        <v>5</v>
      </c>
      <c r="N42" s="550">
        <v>0</v>
      </c>
      <c r="O42" s="545">
        <v>5</v>
      </c>
      <c r="P42" s="545">
        <v>-6.6750000000000007</v>
      </c>
      <c r="Q42" s="546">
        <f t="shared" si="3"/>
        <v>-26.675000000000001</v>
      </c>
      <c r="R42" s="546"/>
      <c r="S42" s="546"/>
    </row>
    <row r="43" spans="1:19" x14ac:dyDescent="0.25">
      <c r="A43" s="541">
        <f t="shared" si="2"/>
        <v>5</v>
      </c>
      <c r="B43" s="542" t="s">
        <v>274</v>
      </c>
      <c r="C43" s="542" t="s">
        <v>542</v>
      </c>
      <c r="D43" s="542" t="s">
        <v>274</v>
      </c>
      <c r="E43" s="543">
        <v>11</v>
      </c>
      <c r="F43" s="544" t="s">
        <v>353</v>
      </c>
      <c r="G43" s="588">
        <v>-16.158484848484846</v>
      </c>
      <c r="H43" s="550">
        <v>20</v>
      </c>
      <c r="I43" s="550">
        <v>-5</v>
      </c>
      <c r="J43" s="550">
        <v>1</v>
      </c>
      <c r="K43" s="545">
        <v>0</v>
      </c>
      <c r="L43" s="550">
        <v>0</v>
      </c>
      <c r="M43" s="550">
        <v>20</v>
      </c>
      <c r="N43" s="550">
        <v>5</v>
      </c>
      <c r="O43" s="545">
        <v>25</v>
      </c>
      <c r="P43" s="545">
        <v>25</v>
      </c>
      <c r="Q43" s="546">
        <f t="shared" si="3"/>
        <v>5</v>
      </c>
      <c r="R43" s="546"/>
      <c r="S43" s="546"/>
    </row>
    <row r="44" spans="1:19" x14ac:dyDescent="0.25">
      <c r="A44" s="541">
        <f t="shared" si="2"/>
        <v>3.3500000000000014</v>
      </c>
      <c r="B44" s="542" t="s">
        <v>274</v>
      </c>
      <c r="C44" s="542" t="s">
        <v>542</v>
      </c>
      <c r="D44" s="542" t="s">
        <v>275</v>
      </c>
      <c r="E44" s="543">
        <v>1</v>
      </c>
      <c r="F44" s="544" t="s">
        <v>452</v>
      </c>
      <c r="G44" s="588">
        <v>70.445449250912475</v>
      </c>
      <c r="H44" s="550">
        <v>36</v>
      </c>
      <c r="I44" s="550">
        <v>-0.66666666666666607</v>
      </c>
      <c r="J44" s="550">
        <v>2</v>
      </c>
      <c r="K44" s="547">
        <v>-20</v>
      </c>
      <c r="L44" s="550">
        <v>28.35</v>
      </c>
      <c r="M44" s="550">
        <v>15</v>
      </c>
      <c r="N44" s="550">
        <v>0</v>
      </c>
      <c r="O44" s="547">
        <v>43.35</v>
      </c>
      <c r="P44" s="547">
        <v>23.35</v>
      </c>
      <c r="Q44" s="546">
        <f t="shared" si="3"/>
        <v>3.3500000000000014</v>
      </c>
      <c r="R44" s="541"/>
      <c r="S44" s="541"/>
    </row>
    <row r="45" spans="1:19" x14ac:dyDescent="0.25">
      <c r="A45" s="541">
        <f t="shared" si="2"/>
        <v>55.069999999999993</v>
      </c>
      <c r="B45" s="542" t="s">
        <v>274</v>
      </c>
      <c r="C45" s="542" t="s">
        <v>542</v>
      </c>
      <c r="D45" s="542" t="s">
        <v>275</v>
      </c>
      <c r="E45" s="543">
        <v>2</v>
      </c>
      <c r="F45" s="544" t="s">
        <v>347</v>
      </c>
      <c r="G45" s="588">
        <v>40.206118237318236</v>
      </c>
      <c r="H45" s="550">
        <v>29</v>
      </c>
      <c r="I45" s="550">
        <v>-3.8</v>
      </c>
      <c r="J45" s="550">
        <v>1</v>
      </c>
      <c r="K45" s="545">
        <v>9.82</v>
      </c>
      <c r="L45" s="550">
        <v>20.25</v>
      </c>
      <c r="M45" s="550">
        <v>20</v>
      </c>
      <c r="N45" s="550">
        <v>25</v>
      </c>
      <c r="O45" s="545">
        <v>65.25</v>
      </c>
      <c r="P45" s="545">
        <v>75.069999999999993</v>
      </c>
      <c r="Q45" s="546">
        <f t="shared" si="3"/>
        <v>55.069999999999993</v>
      </c>
      <c r="R45" s="546"/>
      <c r="S45" s="546"/>
    </row>
    <row r="46" spans="1:19" x14ac:dyDescent="0.25">
      <c r="A46" s="541">
        <f t="shared" si="2"/>
        <v>18.329999999999998</v>
      </c>
      <c r="B46" s="542" t="s">
        <v>274</v>
      </c>
      <c r="C46" s="542" t="s">
        <v>542</v>
      </c>
      <c r="D46" s="542" t="s">
        <v>275</v>
      </c>
      <c r="E46" s="543">
        <v>3</v>
      </c>
      <c r="F46" s="544" t="s">
        <v>362</v>
      </c>
      <c r="G46" s="588">
        <v>24.969226190476199</v>
      </c>
      <c r="H46" s="550">
        <v>27</v>
      </c>
      <c r="I46" s="550">
        <v>2.4833333333333343</v>
      </c>
      <c r="J46" s="550">
        <v>2</v>
      </c>
      <c r="K46" s="545">
        <v>-1.25</v>
      </c>
      <c r="L46" s="550">
        <v>14.58</v>
      </c>
      <c r="M46" s="550">
        <v>25</v>
      </c>
      <c r="N46" s="550">
        <v>0</v>
      </c>
      <c r="O46" s="545">
        <v>39.58</v>
      </c>
      <c r="P46" s="545">
        <v>38.33</v>
      </c>
      <c r="Q46" s="546">
        <f t="shared" si="3"/>
        <v>18.329999999999998</v>
      </c>
      <c r="R46" s="546"/>
      <c r="S46" s="546"/>
    </row>
    <row r="47" spans="1:19" x14ac:dyDescent="0.25">
      <c r="A47" s="541">
        <f t="shared" si="2"/>
        <v>-20.28</v>
      </c>
      <c r="B47" s="542" t="s">
        <v>274</v>
      </c>
      <c r="C47" s="542" t="s">
        <v>542</v>
      </c>
      <c r="D47" s="542" t="s">
        <v>275</v>
      </c>
      <c r="E47" s="543">
        <v>4</v>
      </c>
      <c r="F47" s="544" t="s">
        <v>358</v>
      </c>
      <c r="G47" s="588">
        <v>-1.6674999999999969</v>
      </c>
      <c r="H47" s="550">
        <v>22</v>
      </c>
      <c r="I47" s="550">
        <v>-7</v>
      </c>
      <c r="J47" s="550">
        <v>0</v>
      </c>
      <c r="K47" s="545">
        <v>-20</v>
      </c>
      <c r="L47" s="550">
        <v>9.7200000000000006</v>
      </c>
      <c r="M47" s="550">
        <v>10</v>
      </c>
      <c r="N47" s="550">
        <v>0</v>
      </c>
      <c r="O47" s="545">
        <v>19.72</v>
      </c>
      <c r="P47" s="545">
        <v>-0.28000000000000114</v>
      </c>
      <c r="Q47" s="546">
        <f t="shared" si="3"/>
        <v>-20.28</v>
      </c>
      <c r="R47" s="546"/>
      <c r="S47" s="546"/>
    </row>
    <row r="48" spans="1:19" x14ac:dyDescent="0.25">
      <c r="A48" s="541">
        <f t="shared" si="2"/>
        <v>-24.33</v>
      </c>
      <c r="B48" s="542" t="s">
        <v>274</v>
      </c>
      <c r="C48" s="542" t="s">
        <v>542</v>
      </c>
      <c r="D48" s="542" t="s">
        <v>275</v>
      </c>
      <c r="E48" s="543">
        <v>5</v>
      </c>
      <c r="F48" s="544" t="s">
        <v>455</v>
      </c>
      <c r="G48" s="588">
        <v>-8.726694971694986</v>
      </c>
      <c r="H48" s="550">
        <v>27</v>
      </c>
      <c r="I48" s="550">
        <v>-1.1428571428571432</v>
      </c>
      <c r="J48" s="550">
        <v>2</v>
      </c>
      <c r="K48" s="545">
        <v>-20</v>
      </c>
      <c r="L48" s="550">
        <v>5.67</v>
      </c>
      <c r="M48" s="550">
        <v>10</v>
      </c>
      <c r="N48" s="550">
        <v>0</v>
      </c>
      <c r="O48" s="545">
        <v>15.67</v>
      </c>
      <c r="P48" s="545">
        <v>-4.33</v>
      </c>
      <c r="Q48" s="546">
        <f t="shared" si="3"/>
        <v>-24.33</v>
      </c>
      <c r="R48" s="546"/>
      <c r="S48" s="546"/>
    </row>
    <row r="49" spans="1:19" x14ac:dyDescent="0.25">
      <c r="A49" s="541">
        <f t="shared" si="2"/>
        <v>-27.57</v>
      </c>
      <c r="B49" s="542" t="s">
        <v>274</v>
      </c>
      <c r="C49" s="542" t="s">
        <v>542</v>
      </c>
      <c r="D49" s="542" t="s">
        <v>275</v>
      </c>
      <c r="E49" s="543">
        <v>6</v>
      </c>
      <c r="F49" s="544" t="s">
        <v>463</v>
      </c>
      <c r="G49" s="588">
        <v>-13.226037975912986</v>
      </c>
      <c r="H49" s="550">
        <v>22</v>
      </c>
      <c r="I49" s="550">
        <v>-7</v>
      </c>
      <c r="J49" s="550">
        <v>0</v>
      </c>
      <c r="K49" s="545">
        <v>-20</v>
      </c>
      <c r="L49" s="550">
        <v>2.4300000000000002</v>
      </c>
      <c r="M49" s="550">
        <v>10</v>
      </c>
      <c r="N49" s="550">
        <v>0</v>
      </c>
      <c r="O49" s="545">
        <v>12.43</v>
      </c>
      <c r="P49" s="545">
        <v>-7.57</v>
      </c>
      <c r="Q49" s="546">
        <f t="shared" si="3"/>
        <v>-27.57</v>
      </c>
      <c r="R49" s="546"/>
      <c r="S49" s="546"/>
    </row>
    <row r="50" spans="1:19" x14ac:dyDescent="0.25">
      <c r="A50" s="541">
        <f t="shared" si="2"/>
        <v>-12.939999999999998</v>
      </c>
      <c r="B50" s="542" t="s">
        <v>275</v>
      </c>
      <c r="C50" s="542" t="s">
        <v>542</v>
      </c>
      <c r="D50" s="542" t="s">
        <v>274</v>
      </c>
      <c r="E50" s="543">
        <v>12</v>
      </c>
      <c r="F50" s="544" t="s">
        <v>361</v>
      </c>
      <c r="G50" s="588">
        <v>-22.501893939393934</v>
      </c>
      <c r="H50" s="550">
        <v>24</v>
      </c>
      <c r="I50" s="550">
        <v>-3.8</v>
      </c>
      <c r="J50" s="550">
        <v>1</v>
      </c>
      <c r="K50" s="545">
        <v>2.0600000000000023</v>
      </c>
      <c r="L50" s="550">
        <v>0</v>
      </c>
      <c r="M50" s="550">
        <v>0</v>
      </c>
      <c r="N50" s="550">
        <v>5</v>
      </c>
      <c r="O50" s="545">
        <v>5</v>
      </c>
      <c r="P50" s="545">
        <v>7.0600000000000023</v>
      </c>
      <c r="Q50" s="546">
        <f t="shared" si="3"/>
        <v>-12.939999999999998</v>
      </c>
      <c r="R50" s="546"/>
      <c r="S50" s="546"/>
    </row>
    <row r="51" spans="1:19" x14ac:dyDescent="0.25">
      <c r="A51" s="541">
        <f t="shared" si="2"/>
        <v>-3.75</v>
      </c>
      <c r="B51" s="542" t="s">
        <v>275</v>
      </c>
      <c r="C51" s="542" t="s">
        <v>542</v>
      </c>
      <c r="D51" s="542" t="s">
        <v>274</v>
      </c>
      <c r="E51" s="543">
        <v>13</v>
      </c>
      <c r="F51" s="544" t="s">
        <v>366</v>
      </c>
      <c r="G51" s="588">
        <v>-38.619999999999997</v>
      </c>
      <c r="H51" s="550">
        <v>18</v>
      </c>
      <c r="I51" s="550">
        <v>-4</v>
      </c>
      <c r="J51" s="550">
        <v>1</v>
      </c>
      <c r="K51" s="545">
        <v>11.25</v>
      </c>
      <c r="L51" s="550">
        <v>0</v>
      </c>
      <c r="M51" s="550">
        <v>5</v>
      </c>
      <c r="N51" s="550">
        <v>0</v>
      </c>
      <c r="O51" s="545">
        <v>5</v>
      </c>
      <c r="P51" s="545">
        <v>16.25</v>
      </c>
      <c r="Q51" s="546">
        <f t="shared" si="3"/>
        <v>-3.75</v>
      </c>
      <c r="R51" s="546"/>
      <c r="S51" s="546"/>
    </row>
    <row r="52" spans="1:19" x14ac:dyDescent="0.25">
      <c r="A52" s="541">
        <f t="shared" si="2"/>
        <v>-35</v>
      </c>
      <c r="B52" s="542" t="s">
        <v>275</v>
      </c>
      <c r="C52" s="542" t="s">
        <v>542</v>
      </c>
      <c r="D52" s="542" t="s">
        <v>274</v>
      </c>
      <c r="E52" s="543">
        <v>14</v>
      </c>
      <c r="F52" s="544" t="s">
        <v>335</v>
      </c>
      <c r="G52" s="588">
        <v>-40.412960539460535</v>
      </c>
      <c r="H52" s="550">
        <v>29</v>
      </c>
      <c r="I52" s="550">
        <v>0.67857142857142794</v>
      </c>
      <c r="J52" s="550">
        <v>2</v>
      </c>
      <c r="K52" s="545">
        <v>-15</v>
      </c>
      <c r="L52" s="550">
        <v>0</v>
      </c>
      <c r="M52" s="550">
        <v>0</v>
      </c>
      <c r="N52" s="550">
        <v>0</v>
      </c>
      <c r="O52" s="545">
        <v>0</v>
      </c>
      <c r="P52" s="545">
        <v>-15</v>
      </c>
      <c r="Q52" s="546">
        <f t="shared" si="3"/>
        <v>-35</v>
      </c>
      <c r="R52" s="546"/>
      <c r="S52" s="546"/>
    </row>
    <row r="53" spans="1:19" x14ac:dyDescent="0.25">
      <c r="A53" s="541">
        <f t="shared" si="2"/>
        <v>-0.625</v>
      </c>
      <c r="B53" s="542" t="s">
        <v>275</v>
      </c>
      <c r="C53" s="542" t="s">
        <v>542</v>
      </c>
      <c r="D53" s="542" t="s">
        <v>274</v>
      </c>
      <c r="E53" s="543">
        <v>15</v>
      </c>
      <c r="F53" s="544" t="s">
        <v>349</v>
      </c>
      <c r="G53" s="588">
        <v>-45.514368686868693</v>
      </c>
      <c r="H53" s="550">
        <v>25</v>
      </c>
      <c r="I53" s="550">
        <v>0</v>
      </c>
      <c r="J53" s="550">
        <v>2</v>
      </c>
      <c r="K53" s="545">
        <v>19.375</v>
      </c>
      <c r="L53" s="550">
        <v>0</v>
      </c>
      <c r="M53" s="550">
        <v>0</v>
      </c>
      <c r="N53" s="550">
        <v>0</v>
      </c>
      <c r="O53" s="545">
        <v>0</v>
      </c>
      <c r="P53" s="545">
        <v>19.375</v>
      </c>
      <c r="Q53" s="546">
        <f t="shared" si="3"/>
        <v>-0.625</v>
      </c>
      <c r="R53" s="546"/>
      <c r="S53" s="546"/>
    </row>
    <row r="54" spans="1:19" x14ac:dyDescent="0.25">
      <c r="A54" s="541">
        <f t="shared" si="2"/>
        <v>-40</v>
      </c>
      <c r="B54" s="542" t="s">
        <v>275</v>
      </c>
      <c r="C54" s="542" t="s">
        <v>542</v>
      </c>
      <c r="D54" s="542" t="s">
        <v>274</v>
      </c>
      <c r="E54" s="543">
        <v>16</v>
      </c>
      <c r="F54" s="544" t="s">
        <v>365</v>
      </c>
      <c r="G54" s="588">
        <v>-91.574691358024694</v>
      </c>
      <c r="H54" s="550">
        <v>14</v>
      </c>
      <c r="I54" s="550">
        <v>-7</v>
      </c>
      <c r="J54" s="550">
        <v>0</v>
      </c>
      <c r="K54" s="545">
        <v>-20</v>
      </c>
      <c r="L54" s="550">
        <v>0</v>
      </c>
      <c r="M54" s="550">
        <v>0</v>
      </c>
      <c r="N54" s="550">
        <v>0</v>
      </c>
      <c r="O54" s="545">
        <v>0</v>
      </c>
      <c r="P54" s="545">
        <v>-20</v>
      </c>
      <c r="Q54" s="546">
        <f t="shared" si="3"/>
        <v>-40</v>
      </c>
      <c r="R54" s="546"/>
      <c r="S54" s="546"/>
    </row>
    <row r="55" spans="1:19" x14ac:dyDescent="0.25">
      <c r="A55" s="541">
        <f t="shared" si="2"/>
        <v>-40</v>
      </c>
      <c r="B55" s="542" t="s">
        <v>275</v>
      </c>
      <c r="C55" s="542" t="s">
        <v>542</v>
      </c>
      <c r="D55" s="542" t="s">
        <v>275</v>
      </c>
      <c r="E55" s="543">
        <v>8</v>
      </c>
      <c r="F55" s="544" t="s">
        <v>453</v>
      </c>
      <c r="G55" s="588">
        <v>-15.493020117137771</v>
      </c>
      <c r="H55" s="550">
        <v>34</v>
      </c>
      <c r="I55" s="550">
        <v>-1.7142857142857144</v>
      </c>
      <c r="J55" s="550">
        <v>2</v>
      </c>
      <c r="K55" s="545">
        <v>-20</v>
      </c>
      <c r="L55" s="550">
        <v>0</v>
      </c>
      <c r="M55" s="550">
        <v>0</v>
      </c>
      <c r="N55" s="550">
        <v>0</v>
      </c>
      <c r="O55" s="545">
        <v>0</v>
      </c>
      <c r="P55" s="545">
        <v>-20</v>
      </c>
      <c r="Q55" s="546">
        <f t="shared" si="3"/>
        <v>-40</v>
      </c>
      <c r="R55" s="546"/>
      <c r="S55" s="546"/>
    </row>
    <row r="56" spans="1:19" x14ac:dyDescent="0.25">
      <c r="A56" s="541">
        <f t="shared" si="2"/>
        <v>-40</v>
      </c>
      <c r="B56" s="542" t="s">
        <v>275</v>
      </c>
      <c r="C56" s="542" t="s">
        <v>542</v>
      </c>
      <c r="D56" s="542" t="s">
        <v>275</v>
      </c>
      <c r="E56" s="543">
        <v>9</v>
      </c>
      <c r="F56" s="544" t="s">
        <v>464</v>
      </c>
      <c r="G56" s="588">
        <v>-16.463535353535349</v>
      </c>
      <c r="H56" s="550">
        <v>30</v>
      </c>
      <c r="I56" s="550">
        <v>4.071428571428573</v>
      </c>
      <c r="J56" s="550">
        <v>3</v>
      </c>
      <c r="K56" s="547">
        <v>-20</v>
      </c>
      <c r="L56" s="550">
        <v>0</v>
      </c>
      <c r="M56" s="550">
        <v>0</v>
      </c>
      <c r="N56" s="550">
        <v>0</v>
      </c>
      <c r="O56" s="547">
        <v>0</v>
      </c>
      <c r="P56" s="547">
        <v>-20</v>
      </c>
      <c r="Q56" s="546">
        <f t="shared" si="3"/>
        <v>-40</v>
      </c>
      <c r="R56" s="541"/>
      <c r="S56" s="541"/>
    </row>
    <row r="57" spans="1:19" x14ac:dyDescent="0.25">
      <c r="A57" s="541">
        <f t="shared" si="2"/>
        <v>-40</v>
      </c>
      <c r="B57" s="542" t="s">
        <v>275</v>
      </c>
      <c r="C57" s="542" t="s">
        <v>542</v>
      </c>
      <c r="D57" s="542" t="s">
        <v>275</v>
      </c>
      <c r="E57" s="543">
        <v>11</v>
      </c>
      <c r="F57" s="544" t="s">
        <v>458</v>
      </c>
      <c r="G57" s="588">
        <v>-21.329826680672273</v>
      </c>
      <c r="H57" s="550">
        <v>25</v>
      </c>
      <c r="I57" s="550">
        <v>4.4875000000000007</v>
      </c>
      <c r="J57" s="550">
        <v>2</v>
      </c>
      <c r="K57" s="545">
        <v>-20</v>
      </c>
      <c r="L57" s="550">
        <v>0</v>
      </c>
      <c r="M57" s="550">
        <v>0</v>
      </c>
      <c r="N57" s="550">
        <v>0</v>
      </c>
      <c r="O57" s="545">
        <v>0</v>
      </c>
      <c r="P57" s="545">
        <v>-20</v>
      </c>
      <c r="Q57" s="546">
        <f t="shared" si="3"/>
        <v>-40</v>
      </c>
      <c r="R57" s="546"/>
      <c r="S57" s="546"/>
    </row>
    <row r="58" spans="1:19" x14ac:dyDescent="0.25">
      <c r="A58" s="541">
        <f t="shared" si="2"/>
        <v>-35</v>
      </c>
      <c r="B58" s="542" t="s">
        <v>275</v>
      </c>
      <c r="C58" s="542" t="s">
        <v>542</v>
      </c>
      <c r="D58" s="542" t="s">
        <v>275</v>
      </c>
      <c r="E58" s="543">
        <v>12</v>
      </c>
      <c r="F58" s="544" t="s">
        <v>451</v>
      </c>
      <c r="G58" s="588">
        <v>-25.094594017094014</v>
      </c>
      <c r="H58" s="550">
        <v>21</v>
      </c>
      <c r="I58" s="550">
        <v>-4.45</v>
      </c>
      <c r="J58" s="550">
        <v>1</v>
      </c>
      <c r="K58" s="545">
        <v>-20</v>
      </c>
      <c r="L58" s="550">
        <v>0</v>
      </c>
      <c r="M58" s="550">
        <v>5</v>
      </c>
      <c r="N58" s="550">
        <v>0</v>
      </c>
      <c r="O58" s="545">
        <v>5</v>
      </c>
      <c r="P58" s="545">
        <v>-15</v>
      </c>
      <c r="Q58" s="546">
        <f t="shared" si="3"/>
        <v>-35</v>
      </c>
      <c r="R58" s="546"/>
      <c r="S58" s="546"/>
    </row>
    <row r="59" spans="1:19" x14ac:dyDescent="0.25">
      <c r="A59" s="541">
        <f t="shared" si="2"/>
        <v>-35</v>
      </c>
      <c r="B59" s="542" t="s">
        <v>275</v>
      </c>
      <c r="C59" s="542" t="s">
        <v>542</v>
      </c>
      <c r="D59" s="542" t="s">
        <v>275</v>
      </c>
      <c r="E59" s="543">
        <v>13</v>
      </c>
      <c r="F59" s="544" t="s">
        <v>459</v>
      </c>
      <c r="G59" s="588">
        <v>-30.674790209790203</v>
      </c>
      <c r="H59" s="550">
        <v>22</v>
      </c>
      <c r="I59" s="550">
        <v>-7</v>
      </c>
      <c r="J59" s="550">
        <v>0</v>
      </c>
      <c r="K59" s="547">
        <v>-20</v>
      </c>
      <c r="L59" s="550">
        <v>0</v>
      </c>
      <c r="M59" s="550">
        <v>5</v>
      </c>
      <c r="N59" s="550">
        <v>0</v>
      </c>
      <c r="O59" s="547">
        <v>5</v>
      </c>
      <c r="P59" s="547">
        <v>-15</v>
      </c>
      <c r="Q59" s="546">
        <f t="shared" si="3"/>
        <v>-35</v>
      </c>
      <c r="R59" s="541"/>
      <c r="S59" s="541"/>
    </row>
    <row r="60" spans="1:19" x14ac:dyDescent="0.25">
      <c r="A60" s="541">
        <f t="shared" si="2"/>
        <v>-35</v>
      </c>
      <c r="B60" s="542" t="s">
        <v>275</v>
      </c>
      <c r="C60" s="542" t="s">
        <v>542</v>
      </c>
      <c r="D60" s="542" t="s">
        <v>275</v>
      </c>
      <c r="E60" s="543">
        <v>14</v>
      </c>
      <c r="F60" s="544" t="s">
        <v>460</v>
      </c>
      <c r="G60" s="588">
        <v>-41.869027777777781</v>
      </c>
      <c r="H60" s="550">
        <v>23</v>
      </c>
      <c r="I60" s="550">
        <v>7.8437500000000018</v>
      </c>
      <c r="J60" s="550">
        <v>3</v>
      </c>
      <c r="K60" s="545">
        <v>-20</v>
      </c>
      <c r="L60" s="550">
        <v>0</v>
      </c>
      <c r="M60" s="550">
        <v>5</v>
      </c>
      <c r="N60" s="550">
        <v>0</v>
      </c>
      <c r="O60" s="545">
        <v>5</v>
      </c>
      <c r="P60" s="545">
        <v>-15</v>
      </c>
      <c r="Q60" s="546">
        <f t="shared" si="3"/>
        <v>-35</v>
      </c>
      <c r="R60" s="546"/>
      <c r="S60" s="546"/>
    </row>
    <row r="61" spans="1:19" x14ac:dyDescent="0.25">
      <c r="A61" s="541">
        <f t="shared" si="2"/>
        <v>-30</v>
      </c>
      <c r="B61" s="542" t="s">
        <v>275</v>
      </c>
      <c r="C61" s="542" t="s">
        <v>542</v>
      </c>
      <c r="D61" s="542" t="s">
        <v>275</v>
      </c>
      <c r="E61" s="543">
        <v>16</v>
      </c>
      <c r="F61" s="544" t="s">
        <v>392</v>
      </c>
      <c r="G61" s="588">
        <v>-47.766168831168834</v>
      </c>
      <c r="H61" s="550">
        <v>20</v>
      </c>
      <c r="I61" s="550">
        <v>-4.6500000000000004</v>
      </c>
      <c r="J61" s="550">
        <v>1</v>
      </c>
      <c r="K61" s="545">
        <v>-20</v>
      </c>
      <c r="L61" s="550">
        <v>0</v>
      </c>
      <c r="M61" s="550">
        <v>10</v>
      </c>
      <c r="N61" s="550">
        <v>0</v>
      </c>
      <c r="O61" s="545">
        <v>10</v>
      </c>
      <c r="P61" s="545">
        <v>-10</v>
      </c>
      <c r="Q61" s="546">
        <f t="shared" si="3"/>
        <v>-30</v>
      </c>
      <c r="R61" s="546"/>
      <c r="S61" s="546"/>
    </row>
    <row r="62" spans="1:19" x14ac:dyDescent="0.25">
      <c r="A62" s="541">
        <f t="shared" si="2"/>
        <v>-40</v>
      </c>
      <c r="B62" s="542" t="s">
        <v>275</v>
      </c>
      <c r="C62" s="542" t="s">
        <v>542</v>
      </c>
      <c r="D62" s="542" t="s">
        <v>275</v>
      </c>
      <c r="E62" s="543">
        <v>17</v>
      </c>
      <c r="F62" s="544" t="s">
        <v>457</v>
      </c>
      <c r="G62" s="588">
        <v>-58.080492424242422</v>
      </c>
      <c r="H62" s="550">
        <v>23</v>
      </c>
      <c r="I62" s="550">
        <v>-7</v>
      </c>
      <c r="J62" s="550">
        <v>0</v>
      </c>
      <c r="K62" s="545">
        <v>-20</v>
      </c>
      <c r="L62" s="550">
        <v>0</v>
      </c>
      <c r="M62" s="550">
        <v>0</v>
      </c>
      <c r="N62" s="550">
        <v>0</v>
      </c>
      <c r="O62" s="545">
        <v>0</v>
      </c>
      <c r="P62" s="545">
        <v>-20</v>
      </c>
      <c r="Q62" s="546">
        <f t="shared" si="3"/>
        <v>-40</v>
      </c>
      <c r="R62" s="546"/>
      <c r="S62" s="546"/>
    </row>
    <row r="63" spans="1:19" x14ac:dyDescent="0.25">
      <c r="A63" s="541">
        <f t="shared" si="2"/>
        <v>-40</v>
      </c>
      <c r="B63" s="542" t="s">
        <v>275</v>
      </c>
      <c r="C63" s="542" t="s">
        <v>542</v>
      </c>
      <c r="D63" s="542" t="s">
        <v>275</v>
      </c>
      <c r="E63" s="543">
        <v>18</v>
      </c>
      <c r="F63" s="544" t="s">
        <v>461</v>
      </c>
      <c r="G63" s="588">
        <v>-70.759396019013664</v>
      </c>
      <c r="H63" s="550">
        <v>18</v>
      </c>
      <c r="I63" s="550">
        <v>-7</v>
      </c>
      <c r="J63" s="550">
        <v>0</v>
      </c>
      <c r="K63" s="545">
        <v>-20</v>
      </c>
      <c r="L63" s="550">
        <v>0</v>
      </c>
      <c r="M63" s="550">
        <v>0</v>
      </c>
      <c r="N63" s="550">
        <v>0</v>
      </c>
      <c r="O63" s="545">
        <v>0</v>
      </c>
      <c r="P63" s="545">
        <v>-20</v>
      </c>
      <c r="Q63" s="546">
        <f t="shared" si="3"/>
        <v>-40</v>
      </c>
      <c r="R63" s="546"/>
      <c r="S63" s="546"/>
    </row>
    <row r="64" spans="1:19" x14ac:dyDescent="0.25">
      <c r="A64" s="541">
        <f t="shared" si="2"/>
        <v>-35</v>
      </c>
      <c r="B64" s="542" t="s">
        <v>275</v>
      </c>
      <c r="C64" s="542" t="s">
        <v>542</v>
      </c>
      <c r="D64" s="542" t="s">
        <v>275</v>
      </c>
      <c r="E64" s="543">
        <v>19</v>
      </c>
      <c r="F64" s="544" t="s">
        <v>450</v>
      </c>
      <c r="G64" s="588">
        <v>-70.821666666666658</v>
      </c>
      <c r="H64" s="550">
        <v>17</v>
      </c>
      <c r="I64" s="550">
        <v>-4</v>
      </c>
      <c r="J64" s="550">
        <v>1</v>
      </c>
      <c r="K64" s="545">
        <v>-20</v>
      </c>
      <c r="L64" s="550">
        <v>0</v>
      </c>
      <c r="M64" s="550">
        <v>5</v>
      </c>
      <c r="N64" s="550">
        <v>0</v>
      </c>
      <c r="O64" s="545">
        <v>5</v>
      </c>
      <c r="P64" s="545">
        <v>-15</v>
      </c>
      <c r="Q64" s="546">
        <f t="shared" si="3"/>
        <v>-35</v>
      </c>
      <c r="R64" s="546"/>
      <c r="S64" s="546"/>
    </row>
    <row r="65" spans="1:19" x14ac:dyDescent="0.25">
      <c r="A65" s="541">
        <f t="shared" si="2"/>
        <v>-35</v>
      </c>
      <c r="B65" s="542" t="s">
        <v>275</v>
      </c>
      <c r="C65" s="542" t="s">
        <v>542</v>
      </c>
      <c r="D65" s="542" t="s">
        <v>275</v>
      </c>
      <c r="E65" s="543">
        <v>20</v>
      </c>
      <c r="F65" s="544" t="s">
        <v>465</v>
      </c>
      <c r="G65" s="588">
        <v>-91.5</v>
      </c>
      <c r="H65" s="550">
        <v>3</v>
      </c>
      <c r="I65" s="550">
        <v>-7</v>
      </c>
      <c r="J65" s="550">
        <v>0</v>
      </c>
      <c r="K65" s="545">
        <v>-20</v>
      </c>
      <c r="L65" s="550">
        <v>0</v>
      </c>
      <c r="M65" s="550">
        <v>5</v>
      </c>
      <c r="N65" s="550">
        <v>0</v>
      </c>
      <c r="O65" s="545">
        <v>5</v>
      </c>
      <c r="P65" s="545">
        <v>-15</v>
      </c>
      <c r="Q65" s="546">
        <f t="shared" si="3"/>
        <v>-35</v>
      </c>
      <c r="R65" s="546"/>
      <c r="S65" s="546"/>
    </row>
    <row r="66" spans="1:19" x14ac:dyDescent="0.25">
      <c r="A66" s="541">
        <f t="shared" si="2"/>
        <v>0</v>
      </c>
      <c r="B66" s="542" t="s">
        <v>275</v>
      </c>
      <c r="C66" s="542" t="s">
        <v>542</v>
      </c>
      <c r="D66" s="542" t="s">
        <v>541</v>
      </c>
      <c r="E66" s="543">
        <v>21</v>
      </c>
      <c r="F66" s="544" t="s">
        <v>540</v>
      </c>
      <c r="G66" s="588"/>
      <c r="H66" s="550"/>
      <c r="I66" s="550"/>
      <c r="J66" s="550"/>
      <c r="K66" s="545"/>
      <c r="L66" s="550"/>
      <c r="M66" s="550"/>
      <c r="N66" s="550"/>
      <c r="O66" s="545"/>
      <c r="P66" s="545"/>
      <c r="Q66" s="546"/>
      <c r="R66" s="546"/>
      <c r="S66" s="546"/>
    </row>
    <row r="67" spans="1:19" x14ac:dyDescent="0.25">
      <c r="A67" s="541">
        <f t="shared" si="2"/>
        <v>0.5</v>
      </c>
      <c r="B67" s="542"/>
      <c r="C67" s="542" t="s">
        <v>469</v>
      </c>
      <c r="D67" s="542" t="s">
        <v>272</v>
      </c>
      <c r="E67" s="543">
        <v>16</v>
      </c>
      <c r="F67" s="544" t="s">
        <v>326</v>
      </c>
      <c r="G67" s="588">
        <v>-77.992355699855693</v>
      </c>
      <c r="H67" s="550">
        <v>20</v>
      </c>
      <c r="I67" s="550">
        <v>-4.625</v>
      </c>
      <c r="J67" s="550">
        <v>1</v>
      </c>
      <c r="K67" s="545">
        <v>20.5</v>
      </c>
      <c r="L67" s="550">
        <v>0</v>
      </c>
      <c r="M67" s="550">
        <v>0</v>
      </c>
      <c r="N67" s="550">
        <v>0</v>
      </c>
      <c r="O67" s="545">
        <v>0</v>
      </c>
      <c r="P67" s="545">
        <v>20.5</v>
      </c>
      <c r="Q67" s="546">
        <f>IF(F67="","",P67-20)</f>
        <v>0.5</v>
      </c>
      <c r="R67" s="546"/>
      <c r="S67" s="546"/>
    </row>
    <row r="68" spans="1:19" x14ac:dyDescent="0.25">
      <c r="A68" s="541">
        <f t="shared" si="2"/>
        <v>-35</v>
      </c>
      <c r="B68" s="542"/>
      <c r="C68" s="542" t="s">
        <v>469</v>
      </c>
      <c r="D68" s="542" t="s">
        <v>275</v>
      </c>
      <c r="E68" s="543">
        <v>7</v>
      </c>
      <c r="F68" s="544" t="s">
        <v>456</v>
      </c>
      <c r="G68" s="588">
        <v>-14.346494599676411</v>
      </c>
      <c r="H68" s="550">
        <v>34</v>
      </c>
      <c r="I68" s="550">
        <v>0.26666666666666661</v>
      </c>
      <c r="J68" s="550">
        <v>2</v>
      </c>
      <c r="K68" s="545">
        <v>-20</v>
      </c>
      <c r="L68" s="550">
        <v>0</v>
      </c>
      <c r="M68" s="550">
        <v>5</v>
      </c>
      <c r="N68" s="550">
        <v>0</v>
      </c>
      <c r="O68" s="545">
        <v>5</v>
      </c>
      <c r="P68" s="545">
        <v>-15</v>
      </c>
      <c r="Q68" s="546">
        <f>IF(F68="","",P68-20)</f>
        <v>-35</v>
      </c>
      <c r="R68" s="546"/>
      <c r="S68" s="546"/>
    </row>
    <row r="69" spans="1:19" x14ac:dyDescent="0.25">
      <c r="A69" s="541">
        <f t="shared" si="2"/>
        <v>-30</v>
      </c>
      <c r="B69" s="542"/>
      <c r="C69" s="542" t="s">
        <v>469</v>
      </c>
      <c r="D69" s="542" t="s">
        <v>275</v>
      </c>
      <c r="E69" s="543">
        <v>10</v>
      </c>
      <c r="F69" s="544" t="s">
        <v>462</v>
      </c>
      <c r="G69" s="588">
        <v>-16.724721548292976</v>
      </c>
      <c r="H69" s="550">
        <v>28</v>
      </c>
      <c r="I69" s="550">
        <v>-5.4</v>
      </c>
      <c r="J69" s="550">
        <v>1</v>
      </c>
      <c r="K69" s="545">
        <v>-20</v>
      </c>
      <c r="L69" s="550">
        <v>0</v>
      </c>
      <c r="M69" s="550">
        <v>10</v>
      </c>
      <c r="N69" s="550">
        <v>0</v>
      </c>
      <c r="O69" s="545">
        <v>10</v>
      </c>
      <c r="P69" s="545">
        <v>-10</v>
      </c>
      <c r="Q69" s="546">
        <f>IF(F69="","",P69-20)</f>
        <v>-30</v>
      </c>
      <c r="R69" s="546"/>
      <c r="S69" s="546"/>
    </row>
    <row r="70" spans="1:19" x14ac:dyDescent="0.25">
      <c r="A70" s="541">
        <f t="shared" si="2"/>
        <v>-40</v>
      </c>
      <c r="B70" s="542"/>
      <c r="C70" s="542" t="s">
        <v>469</v>
      </c>
      <c r="D70" s="542" t="s">
        <v>275</v>
      </c>
      <c r="E70" s="543">
        <v>15</v>
      </c>
      <c r="F70" s="544" t="s">
        <v>454</v>
      </c>
      <c r="G70" s="588">
        <v>-44.482821284108041</v>
      </c>
      <c r="H70" s="550">
        <v>22</v>
      </c>
      <c r="I70" s="550">
        <v>-7</v>
      </c>
      <c r="J70" s="550">
        <v>0</v>
      </c>
      <c r="K70" s="545">
        <v>-20</v>
      </c>
      <c r="L70" s="550">
        <v>0</v>
      </c>
      <c r="M70" s="550">
        <v>0</v>
      </c>
      <c r="N70" s="550">
        <v>0</v>
      </c>
      <c r="O70" s="545">
        <v>0</v>
      </c>
      <c r="P70" s="545">
        <v>-20</v>
      </c>
      <c r="Q70" s="546">
        <f>IF(F70="","",P70-20)</f>
        <v>-40</v>
      </c>
      <c r="R70" s="546"/>
      <c r="S70" s="546"/>
    </row>
    <row r="71" spans="1:19" x14ac:dyDescent="0.25">
      <c r="A71" s="541" t="str">
        <f t="shared" ref="A71:A101" si="4">IF(F71="","",Q71-S71+R71)</f>
        <v/>
      </c>
      <c r="B71" s="542"/>
      <c r="C71" s="542"/>
      <c r="D71" s="542"/>
      <c r="E71" s="543"/>
      <c r="F71" s="544"/>
      <c r="G71" s="588"/>
      <c r="H71" s="550"/>
      <c r="I71" s="550"/>
      <c r="J71" s="550"/>
      <c r="K71" s="545"/>
      <c r="L71" s="550"/>
      <c r="M71" s="550"/>
      <c r="N71" s="550"/>
      <c r="O71" s="545"/>
      <c r="P71" s="545"/>
      <c r="Q71" s="546"/>
      <c r="R71" s="546"/>
      <c r="S71" s="546"/>
    </row>
    <row r="72" spans="1:19" x14ac:dyDescent="0.25">
      <c r="A72" s="541" t="str">
        <f t="shared" si="4"/>
        <v/>
      </c>
      <c r="B72" s="542"/>
      <c r="C72" s="542"/>
      <c r="D72" s="542"/>
      <c r="E72" s="543"/>
      <c r="F72" s="544"/>
      <c r="G72" s="588"/>
      <c r="H72" s="550"/>
      <c r="I72" s="550"/>
      <c r="J72" s="550"/>
      <c r="K72" s="547"/>
      <c r="L72" s="550"/>
      <c r="M72" s="550"/>
      <c r="N72" s="550"/>
      <c r="O72" s="547"/>
      <c r="P72" s="547"/>
      <c r="Q72" s="546"/>
      <c r="R72" s="541"/>
      <c r="S72" s="541"/>
    </row>
    <row r="73" spans="1:19" x14ac:dyDescent="0.25">
      <c r="A73" s="541" t="str">
        <f t="shared" si="4"/>
        <v/>
      </c>
      <c r="B73" s="542"/>
      <c r="C73" s="542"/>
      <c r="D73" s="542"/>
      <c r="E73" s="543"/>
      <c r="F73" s="544"/>
      <c r="G73" s="588"/>
      <c r="H73" s="550"/>
      <c r="I73" s="550"/>
      <c r="J73" s="550"/>
      <c r="K73" s="547"/>
      <c r="L73" s="550"/>
      <c r="M73" s="550"/>
      <c r="N73" s="550"/>
      <c r="O73" s="547"/>
      <c r="P73" s="547"/>
      <c r="Q73" s="546"/>
      <c r="R73" s="541"/>
      <c r="S73" s="541"/>
    </row>
    <row r="74" spans="1:19" x14ac:dyDescent="0.25">
      <c r="A74" s="541" t="str">
        <f t="shared" si="4"/>
        <v/>
      </c>
      <c r="B74" s="542"/>
      <c r="C74" s="542"/>
      <c r="D74" s="542"/>
      <c r="E74" s="543"/>
      <c r="F74" s="544"/>
      <c r="G74" s="588"/>
      <c r="H74" s="550"/>
      <c r="I74" s="550"/>
      <c r="J74" s="550"/>
      <c r="K74" s="547"/>
      <c r="L74" s="550"/>
      <c r="M74" s="550"/>
      <c r="N74" s="550"/>
      <c r="O74" s="547"/>
      <c r="P74" s="547"/>
      <c r="Q74" s="546"/>
      <c r="R74" s="541"/>
      <c r="S74" s="541"/>
    </row>
    <row r="75" spans="1:19" x14ac:dyDescent="0.25">
      <c r="A75" s="541" t="str">
        <f t="shared" si="4"/>
        <v/>
      </c>
      <c r="B75" s="542"/>
      <c r="C75" s="542"/>
      <c r="D75" s="542"/>
      <c r="E75" s="543"/>
      <c r="F75" s="544"/>
      <c r="G75" s="588"/>
      <c r="H75" s="550"/>
      <c r="I75" s="550"/>
      <c r="J75" s="550"/>
      <c r="K75" s="545"/>
      <c r="L75" s="550"/>
      <c r="M75" s="550"/>
      <c r="N75" s="550"/>
      <c r="O75" s="545"/>
      <c r="P75" s="545"/>
      <c r="Q75" s="546"/>
      <c r="R75" s="546"/>
      <c r="S75" s="546"/>
    </row>
    <row r="76" spans="1:19" x14ac:dyDescent="0.25">
      <c r="A76" s="541" t="str">
        <f t="shared" si="4"/>
        <v/>
      </c>
      <c r="B76" s="542"/>
      <c r="C76" s="542"/>
      <c r="D76" s="542"/>
      <c r="E76" s="543"/>
      <c r="F76" s="544"/>
      <c r="G76" s="588"/>
      <c r="H76" s="550"/>
      <c r="I76" s="550"/>
      <c r="J76" s="550"/>
      <c r="K76" s="545"/>
      <c r="L76" s="550"/>
      <c r="M76" s="550"/>
      <c r="N76" s="550"/>
      <c r="O76" s="545"/>
      <c r="P76" s="545"/>
      <c r="Q76" s="546"/>
      <c r="R76" s="546"/>
      <c r="S76" s="546"/>
    </row>
    <row r="77" spans="1:19" x14ac:dyDescent="0.25">
      <c r="A77" s="541" t="str">
        <f t="shared" si="4"/>
        <v/>
      </c>
      <c r="B77" s="542"/>
      <c r="C77" s="542"/>
      <c r="D77" s="542"/>
      <c r="E77" s="543"/>
      <c r="F77" s="544"/>
      <c r="G77" s="588"/>
      <c r="H77" s="550"/>
      <c r="I77" s="550"/>
      <c r="J77" s="550"/>
      <c r="K77" s="545"/>
      <c r="L77" s="550"/>
      <c r="M77" s="550"/>
      <c r="N77" s="550"/>
      <c r="O77" s="545"/>
      <c r="P77" s="545"/>
      <c r="Q77" s="546"/>
      <c r="R77" s="546"/>
      <c r="S77" s="546"/>
    </row>
    <row r="78" spans="1:19" x14ac:dyDescent="0.25">
      <c r="A78" s="541" t="str">
        <f t="shared" si="4"/>
        <v/>
      </c>
      <c r="B78" s="542"/>
      <c r="C78" s="542"/>
      <c r="D78" s="542"/>
      <c r="E78" s="543"/>
      <c r="F78" s="544"/>
      <c r="G78" s="588"/>
      <c r="H78" s="550"/>
      <c r="I78" s="550"/>
      <c r="J78" s="550"/>
      <c r="K78" s="545"/>
      <c r="L78" s="550"/>
      <c r="M78" s="550"/>
      <c r="N78" s="550"/>
      <c r="O78" s="545"/>
      <c r="P78" s="545"/>
      <c r="Q78" s="546"/>
      <c r="R78" s="546"/>
      <c r="S78" s="546"/>
    </row>
    <row r="79" spans="1:19" x14ac:dyDescent="0.25">
      <c r="A79" s="541" t="str">
        <f t="shared" si="4"/>
        <v/>
      </c>
      <c r="B79" s="542"/>
      <c r="C79" s="542"/>
      <c r="D79" s="542"/>
      <c r="E79" s="543"/>
      <c r="F79" s="544"/>
      <c r="G79" s="588"/>
      <c r="H79" s="550"/>
      <c r="I79" s="550"/>
      <c r="J79" s="550"/>
      <c r="K79" s="545"/>
      <c r="L79" s="550"/>
      <c r="M79" s="550"/>
      <c r="N79" s="550"/>
      <c r="O79" s="545"/>
      <c r="P79" s="545"/>
      <c r="Q79" s="546" t="str">
        <f t="shared" ref="Q79:Q97" si="5">IF(F79="","",P79-20)</f>
        <v/>
      </c>
      <c r="R79" s="546"/>
      <c r="S79" s="546"/>
    </row>
    <row r="80" spans="1:19" x14ac:dyDescent="0.25">
      <c r="A80" s="541" t="str">
        <f t="shared" si="4"/>
        <v/>
      </c>
      <c r="B80" s="542"/>
      <c r="C80" s="542"/>
      <c r="D80" s="542"/>
      <c r="E80" s="543"/>
      <c r="F80" s="544"/>
      <c r="G80" s="588"/>
      <c r="H80" s="550"/>
      <c r="I80" s="550"/>
      <c r="J80" s="550"/>
      <c r="K80" s="545"/>
      <c r="L80" s="550"/>
      <c r="M80" s="550"/>
      <c r="N80" s="550"/>
      <c r="O80" s="545"/>
      <c r="P80" s="545"/>
      <c r="Q80" s="546" t="str">
        <f t="shared" si="5"/>
        <v/>
      </c>
      <c r="R80" s="546"/>
      <c r="S80" s="546"/>
    </row>
    <row r="81" spans="1:19" x14ac:dyDescent="0.25">
      <c r="A81" s="541" t="str">
        <f t="shared" si="4"/>
        <v/>
      </c>
      <c r="B81" s="542"/>
      <c r="C81" s="542"/>
      <c r="D81" s="542"/>
      <c r="E81" s="543"/>
      <c r="F81" s="544"/>
      <c r="G81" s="588"/>
      <c r="H81" s="550"/>
      <c r="I81" s="550"/>
      <c r="J81" s="550"/>
      <c r="K81" s="545"/>
      <c r="L81" s="550"/>
      <c r="M81" s="550"/>
      <c r="N81" s="550"/>
      <c r="O81" s="545"/>
      <c r="P81" s="545"/>
      <c r="Q81" s="546" t="str">
        <f t="shared" si="5"/>
        <v/>
      </c>
      <c r="R81" s="546"/>
      <c r="S81" s="546"/>
    </row>
    <row r="82" spans="1:19" x14ac:dyDescent="0.25">
      <c r="A82" s="541" t="str">
        <f t="shared" si="4"/>
        <v/>
      </c>
      <c r="B82" s="542"/>
      <c r="C82" s="542"/>
      <c r="D82" s="542"/>
      <c r="E82" s="543"/>
      <c r="F82" s="544"/>
      <c r="G82" s="588"/>
      <c r="H82" s="550"/>
      <c r="I82" s="550"/>
      <c r="J82" s="550"/>
      <c r="K82" s="545"/>
      <c r="L82" s="550"/>
      <c r="M82" s="550"/>
      <c r="N82" s="550"/>
      <c r="O82" s="545"/>
      <c r="P82" s="545"/>
      <c r="Q82" s="546" t="str">
        <f t="shared" si="5"/>
        <v/>
      </c>
      <c r="R82" s="546"/>
      <c r="S82" s="546"/>
    </row>
    <row r="83" spans="1:19" x14ac:dyDescent="0.25">
      <c r="A83" s="541" t="str">
        <f t="shared" si="4"/>
        <v/>
      </c>
      <c r="B83" s="542"/>
      <c r="C83" s="542"/>
      <c r="D83" s="542"/>
      <c r="E83" s="543"/>
      <c r="F83" s="544"/>
      <c r="G83" s="588"/>
      <c r="H83" s="550"/>
      <c r="I83" s="550"/>
      <c r="J83" s="550"/>
      <c r="K83" s="545"/>
      <c r="L83" s="550"/>
      <c r="M83" s="550"/>
      <c r="N83" s="550"/>
      <c r="O83" s="545"/>
      <c r="P83" s="545"/>
      <c r="Q83" s="546" t="str">
        <f t="shared" si="5"/>
        <v/>
      </c>
      <c r="R83" s="546"/>
      <c r="S83" s="546"/>
    </row>
    <row r="84" spans="1:19" x14ac:dyDescent="0.25">
      <c r="A84" s="541" t="str">
        <f t="shared" si="4"/>
        <v/>
      </c>
      <c r="B84" s="542"/>
      <c r="C84" s="542"/>
      <c r="D84" s="542"/>
      <c r="E84" s="543"/>
      <c r="F84" s="544"/>
      <c r="G84" s="588"/>
      <c r="H84" s="550"/>
      <c r="I84" s="550"/>
      <c r="J84" s="550"/>
      <c r="K84" s="545"/>
      <c r="L84" s="550"/>
      <c r="M84" s="550"/>
      <c r="N84" s="550"/>
      <c r="O84" s="545"/>
      <c r="P84" s="545"/>
      <c r="Q84" s="546" t="str">
        <f t="shared" si="5"/>
        <v/>
      </c>
      <c r="R84" s="546"/>
      <c r="S84" s="546"/>
    </row>
    <row r="85" spans="1:19" x14ac:dyDescent="0.25">
      <c r="A85" s="541" t="str">
        <f t="shared" si="4"/>
        <v/>
      </c>
      <c r="B85" s="542"/>
      <c r="C85" s="542"/>
      <c r="D85" s="542"/>
      <c r="E85" s="543"/>
      <c r="F85" s="544"/>
      <c r="G85" s="588"/>
      <c r="H85" s="550"/>
      <c r="I85" s="550"/>
      <c r="J85" s="550"/>
      <c r="K85" s="545"/>
      <c r="L85" s="550"/>
      <c r="M85" s="550"/>
      <c r="N85" s="550"/>
      <c r="O85" s="545"/>
      <c r="P85" s="545"/>
      <c r="Q85" s="546" t="str">
        <f t="shared" si="5"/>
        <v/>
      </c>
      <c r="R85" s="546"/>
      <c r="S85" s="546"/>
    </row>
    <row r="86" spans="1:19" x14ac:dyDescent="0.25">
      <c r="A86" s="541" t="str">
        <f t="shared" si="4"/>
        <v/>
      </c>
      <c r="B86" s="542"/>
      <c r="C86" s="542"/>
      <c r="D86" s="542"/>
      <c r="E86" s="543"/>
      <c r="F86" s="544"/>
      <c r="G86" s="588"/>
      <c r="H86" s="550"/>
      <c r="I86" s="550"/>
      <c r="J86" s="550"/>
      <c r="K86" s="545"/>
      <c r="L86" s="550"/>
      <c r="M86" s="550"/>
      <c r="N86" s="550"/>
      <c r="O86" s="545"/>
      <c r="P86" s="545"/>
      <c r="Q86" s="546" t="str">
        <f t="shared" si="5"/>
        <v/>
      </c>
      <c r="R86" s="546"/>
      <c r="S86" s="546"/>
    </row>
    <row r="87" spans="1:19" x14ac:dyDescent="0.25">
      <c r="A87" s="541" t="str">
        <f t="shared" si="4"/>
        <v/>
      </c>
      <c r="B87" s="542"/>
      <c r="C87" s="542"/>
      <c r="D87" s="542"/>
      <c r="E87" s="543"/>
      <c r="F87" s="544"/>
      <c r="G87" s="588"/>
      <c r="H87" s="550"/>
      <c r="I87" s="550"/>
      <c r="J87" s="550"/>
      <c r="K87" s="545"/>
      <c r="L87" s="550"/>
      <c r="M87" s="550"/>
      <c r="N87" s="550"/>
      <c r="O87" s="545"/>
      <c r="P87" s="545"/>
      <c r="Q87" s="546" t="str">
        <f t="shared" si="5"/>
        <v/>
      </c>
      <c r="R87" s="546"/>
      <c r="S87" s="546"/>
    </row>
    <row r="88" spans="1:19" x14ac:dyDescent="0.25">
      <c r="A88" s="541" t="str">
        <f t="shared" si="4"/>
        <v/>
      </c>
      <c r="B88" s="542"/>
      <c r="C88" s="542"/>
      <c r="D88" s="542"/>
      <c r="E88" s="543"/>
      <c r="F88" s="544"/>
      <c r="G88" s="588"/>
      <c r="H88" s="550"/>
      <c r="I88" s="550"/>
      <c r="J88" s="550"/>
      <c r="K88" s="545"/>
      <c r="L88" s="550"/>
      <c r="M88" s="550"/>
      <c r="N88" s="550"/>
      <c r="O88" s="545"/>
      <c r="P88" s="545"/>
      <c r="Q88" s="546" t="str">
        <f t="shared" si="5"/>
        <v/>
      </c>
      <c r="R88" s="546"/>
      <c r="S88" s="546"/>
    </row>
    <row r="89" spans="1:19" x14ac:dyDescent="0.25">
      <c r="A89" s="541" t="str">
        <f t="shared" si="4"/>
        <v/>
      </c>
      <c r="B89" s="542"/>
      <c r="C89" s="542"/>
      <c r="D89" s="542"/>
      <c r="E89" s="543"/>
      <c r="F89" s="544"/>
      <c r="G89" s="588"/>
      <c r="H89" s="550"/>
      <c r="I89" s="550"/>
      <c r="J89" s="550"/>
      <c r="K89" s="545"/>
      <c r="L89" s="550"/>
      <c r="M89" s="550"/>
      <c r="N89" s="550"/>
      <c r="O89" s="545"/>
      <c r="P89" s="545"/>
      <c r="Q89" s="546" t="str">
        <f t="shared" si="5"/>
        <v/>
      </c>
      <c r="R89" s="546"/>
      <c r="S89" s="546"/>
    </row>
    <row r="90" spans="1:19" x14ac:dyDescent="0.25">
      <c r="A90" s="541" t="str">
        <f t="shared" si="4"/>
        <v/>
      </c>
      <c r="B90" s="542"/>
      <c r="C90" s="542"/>
      <c r="D90" s="542"/>
      <c r="E90" s="543"/>
      <c r="F90" s="544"/>
      <c r="G90" s="588"/>
      <c r="H90" s="550"/>
      <c r="I90" s="550"/>
      <c r="J90" s="550"/>
      <c r="K90" s="545"/>
      <c r="L90" s="550"/>
      <c r="M90" s="550"/>
      <c r="N90" s="550"/>
      <c r="O90" s="545"/>
      <c r="P90" s="545"/>
      <c r="Q90" s="546" t="str">
        <f t="shared" si="5"/>
        <v/>
      </c>
      <c r="R90" s="546"/>
      <c r="S90" s="546"/>
    </row>
    <row r="91" spans="1:19" x14ac:dyDescent="0.25">
      <c r="A91" s="541" t="str">
        <f t="shared" si="4"/>
        <v/>
      </c>
      <c r="B91" s="542"/>
      <c r="C91" s="542"/>
      <c r="D91" s="542"/>
      <c r="E91" s="543"/>
      <c r="F91" s="544"/>
      <c r="G91" s="588"/>
      <c r="H91" s="550"/>
      <c r="I91" s="550"/>
      <c r="J91" s="550"/>
      <c r="K91" s="547"/>
      <c r="L91" s="550"/>
      <c r="M91" s="550"/>
      <c r="N91" s="550"/>
      <c r="O91" s="547"/>
      <c r="P91" s="547"/>
      <c r="Q91" s="546" t="str">
        <f t="shared" si="5"/>
        <v/>
      </c>
      <c r="R91" s="541"/>
      <c r="S91" s="541"/>
    </row>
    <row r="92" spans="1:19" x14ac:dyDescent="0.25">
      <c r="A92" s="541" t="str">
        <f t="shared" si="4"/>
        <v/>
      </c>
      <c r="B92" s="542"/>
      <c r="C92" s="542"/>
      <c r="D92" s="542"/>
      <c r="E92" s="543"/>
      <c r="F92" s="544"/>
      <c r="G92" s="588"/>
      <c r="H92" s="550"/>
      <c r="I92" s="550"/>
      <c r="J92" s="550"/>
      <c r="K92" s="545"/>
      <c r="L92" s="550"/>
      <c r="M92" s="550"/>
      <c r="N92" s="550"/>
      <c r="O92" s="545"/>
      <c r="P92" s="545"/>
      <c r="Q92" s="546" t="str">
        <f t="shared" si="5"/>
        <v/>
      </c>
      <c r="R92" s="546"/>
      <c r="S92" s="546"/>
    </row>
    <row r="93" spans="1:19" x14ac:dyDescent="0.25">
      <c r="A93" s="541" t="str">
        <f t="shared" si="4"/>
        <v/>
      </c>
      <c r="B93" s="542"/>
      <c r="C93" s="542"/>
      <c r="D93" s="542"/>
      <c r="E93" s="543"/>
      <c r="F93" s="544"/>
      <c r="G93" s="588"/>
      <c r="H93" s="550"/>
      <c r="I93" s="550"/>
      <c r="J93" s="550"/>
      <c r="K93" s="547"/>
      <c r="L93" s="550"/>
      <c r="M93" s="550"/>
      <c r="N93" s="550"/>
      <c r="O93" s="547"/>
      <c r="P93" s="547"/>
      <c r="Q93" s="546" t="str">
        <f t="shared" si="5"/>
        <v/>
      </c>
      <c r="R93" s="541"/>
      <c r="S93" s="541"/>
    </row>
    <row r="94" spans="1:19" x14ac:dyDescent="0.25">
      <c r="A94" s="541" t="str">
        <f t="shared" si="4"/>
        <v/>
      </c>
      <c r="B94" s="542"/>
      <c r="C94" s="542"/>
      <c r="D94" s="542"/>
      <c r="E94" s="543"/>
      <c r="F94" s="544"/>
      <c r="G94" s="588"/>
      <c r="H94" s="550"/>
      <c r="I94" s="550"/>
      <c r="J94" s="550"/>
      <c r="K94" s="545"/>
      <c r="L94" s="550"/>
      <c r="M94" s="550"/>
      <c r="N94" s="550"/>
      <c r="O94" s="545"/>
      <c r="P94" s="545"/>
      <c r="Q94" s="546" t="str">
        <f t="shared" si="5"/>
        <v/>
      </c>
      <c r="R94" s="546"/>
      <c r="S94" s="546"/>
    </row>
    <row r="95" spans="1:19" x14ac:dyDescent="0.25">
      <c r="A95" s="541" t="str">
        <f t="shared" si="4"/>
        <v/>
      </c>
      <c r="B95" s="542"/>
      <c r="C95" s="542"/>
      <c r="D95" s="542"/>
      <c r="E95" s="543"/>
      <c r="F95" s="544"/>
      <c r="G95" s="588"/>
      <c r="H95" s="550"/>
      <c r="I95" s="550"/>
      <c r="J95" s="550"/>
      <c r="K95" s="547"/>
      <c r="L95" s="550"/>
      <c r="M95" s="550"/>
      <c r="N95" s="550"/>
      <c r="O95" s="547"/>
      <c r="P95" s="547"/>
      <c r="Q95" s="546" t="str">
        <f t="shared" si="5"/>
        <v/>
      </c>
      <c r="R95" s="541"/>
      <c r="S95" s="541"/>
    </row>
    <row r="96" spans="1:19" x14ac:dyDescent="0.25">
      <c r="A96" s="541" t="str">
        <f t="shared" si="4"/>
        <v/>
      </c>
      <c r="B96" s="542"/>
      <c r="C96" s="542"/>
      <c r="D96" s="542"/>
      <c r="E96" s="543"/>
      <c r="F96" s="544"/>
      <c r="G96" s="588"/>
      <c r="H96" s="553"/>
      <c r="I96" s="553"/>
      <c r="J96" s="553"/>
      <c r="K96" s="548"/>
      <c r="L96" s="553"/>
      <c r="M96" s="553"/>
      <c r="N96" s="553"/>
      <c r="O96" s="548"/>
      <c r="P96" s="548"/>
      <c r="Q96" s="546" t="str">
        <f t="shared" si="5"/>
        <v/>
      </c>
      <c r="R96" s="549"/>
      <c r="S96" s="549"/>
    </row>
    <row r="97" spans="1:19" x14ac:dyDescent="0.25">
      <c r="A97" s="541" t="str">
        <f t="shared" si="4"/>
        <v/>
      </c>
      <c r="B97" s="542"/>
      <c r="C97" s="542"/>
      <c r="D97" s="542"/>
      <c r="E97" s="543"/>
      <c r="F97" s="544"/>
      <c r="G97" s="588"/>
      <c r="H97" s="553"/>
      <c r="I97" s="553"/>
      <c r="J97" s="553"/>
      <c r="K97" s="548"/>
      <c r="L97" s="553"/>
      <c r="M97" s="553"/>
      <c r="N97" s="553"/>
      <c r="O97" s="548"/>
      <c r="P97" s="548"/>
      <c r="Q97" s="546" t="str">
        <f t="shared" si="5"/>
        <v/>
      </c>
      <c r="R97" s="549"/>
      <c r="S97" s="549"/>
    </row>
    <row r="98" spans="1:19" x14ac:dyDescent="0.25">
      <c r="A98" s="541" t="str">
        <f t="shared" si="4"/>
        <v/>
      </c>
      <c r="B98" s="542"/>
      <c r="C98" s="542"/>
      <c r="D98" s="542"/>
      <c r="E98" s="543"/>
      <c r="F98" s="544"/>
      <c r="G98" s="588"/>
      <c r="H98" s="553"/>
      <c r="I98" s="553"/>
      <c r="J98" s="553"/>
      <c r="K98" s="548"/>
      <c r="L98" s="553"/>
      <c r="M98" s="553"/>
      <c r="N98" s="553"/>
      <c r="O98" s="548"/>
      <c r="P98" s="548"/>
      <c r="Q98" s="546" t="str">
        <f>IF(F98="","",P98-20)</f>
        <v/>
      </c>
      <c r="R98" s="549"/>
      <c r="S98" s="549"/>
    </row>
    <row r="99" spans="1:19" x14ac:dyDescent="0.25">
      <c r="A99" s="541" t="str">
        <f t="shared" si="4"/>
        <v/>
      </c>
      <c r="B99" s="542"/>
      <c r="C99" s="542"/>
      <c r="D99" s="542"/>
      <c r="E99" s="543"/>
      <c r="F99" s="544"/>
      <c r="G99" s="588"/>
      <c r="H99" s="553"/>
      <c r="I99" s="553"/>
      <c r="J99" s="553"/>
      <c r="K99" s="548"/>
      <c r="L99" s="553"/>
      <c r="M99" s="553"/>
      <c r="N99" s="553"/>
      <c r="O99" s="548"/>
      <c r="P99" s="548"/>
      <c r="Q99" s="546" t="str">
        <f>IF(F99="","",P99-20)</f>
        <v/>
      </c>
      <c r="R99" s="549"/>
      <c r="S99" s="549"/>
    </row>
    <row r="100" spans="1:19" x14ac:dyDescent="0.25">
      <c r="A100" s="541" t="str">
        <f t="shared" si="4"/>
        <v/>
      </c>
      <c r="B100" s="542"/>
      <c r="C100" s="542"/>
      <c r="D100" s="542"/>
      <c r="E100" s="543"/>
      <c r="F100" s="544"/>
      <c r="G100" s="588"/>
      <c r="H100" s="553"/>
      <c r="I100" s="553"/>
      <c r="J100" s="553"/>
      <c r="K100" s="548"/>
      <c r="L100" s="553"/>
      <c r="M100" s="553"/>
      <c r="N100" s="553"/>
      <c r="O100" s="548"/>
      <c r="P100" s="548"/>
      <c r="Q100" s="546" t="str">
        <f>IF(F100="","",P100-20)</f>
        <v/>
      </c>
      <c r="R100" s="549"/>
      <c r="S100" s="549"/>
    </row>
    <row r="101" spans="1:19" x14ac:dyDescent="0.25">
      <c r="A101" s="541" t="str">
        <f t="shared" si="4"/>
        <v/>
      </c>
      <c r="B101" s="542"/>
      <c r="C101" s="542"/>
      <c r="D101" s="542"/>
      <c r="E101" s="543"/>
      <c r="F101" s="544"/>
      <c r="G101" s="588"/>
      <c r="H101" s="553"/>
      <c r="I101" s="553"/>
      <c r="J101" s="553"/>
      <c r="K101" s="548"/>
      <c r="L101" s="553"/>
      <c r="M101" s="553"/>
      <c r="N101" s="553"/>
      <c r="O101" s="548"/>
      <c r="P101" s="548"/>
      <c r="Q101" s="546" t="str">
        <f>IF(F101="","",P101-20)</f>
        <v/>
      </c>
      <c r="R101" s="549"/>
      <c r="S101" s="549"/>
    </row>
    <row r="102" spans="1:19" x14ac:dyDescent="0.25">
      <c r="A102" s="308"/>
      <c r="B102" s="334"/>
      <c r="C102" s="334"/>
      <c r="D102" s="334"/>
      <c r="E102" s="87"/>
      <c r="F102" s="486"/>
      <c r="G102" s="551"/>
      <c r="H102" s="551"/>
      <c r="I102" s="551"/>
      <c r="J102" s="551"/>
      <c r="K102" s="535"/>
      <c r="O102" s="535"/>
      <c r="P102" s="535"/>
      <c r="Q102" s="308"/>
      <c r="R102" s="308"/>
      <c r="S102" s="308"/>
    </row>
    <row r="103" spans="1:19" x14ac:dyDescent="0.25">
      <c r="A103" s="308"/>
      <c r="B103" s="334"/>
      <c r="C103" s="334"/>
      <c r="D103" s="334"/>
      <c r="E103" s="87"/>
      <c r="F103" s="486"/>
      <c r="G103" s="551"/>
      <c r="H103" s="551"/>
      <c r="I103" s="551"/>
      <c r="J103" s="551"/>
      <c r="K103" s="535"/>
      <c r="O103" s="535"/>
      <c r="P103" s="535"/>
      <c r="Q103" s="308"/>
      <c r="R103" s="308"/>
      <c r="S103" s="308"/>
    </row>
    <row r="104" spans="1:19" x14ac:dyDescent="0.25">
      <c r="A104" s="308"/>
      <c r="B104" s="334"/>
      <c r="C104" s="334"/>
      <c r="D104" s="334"/>
      <c r="E104" s="87"/>
      <c r="F104" s="486"/>
      <c r="G104" s="551"/>
      <c r="H104" s="551"/>
      <c r="I104" s="551"/>
      <c r="J104" s="551"/>
      <c r="K104" s="535"/>
      <c r="O104" s="535"/>
      <c r="P104" s="535"/>
      <c r="Q104" s="308"/>
      <c r="R104" s="308"/>
      <c r="S104" s="308"/>
    </row>
    <row r="105" spans="1:19" x14ac:dyDescent="0.25">
      <c r="A105" s="308"/>
      <c r="B105" s="334"/>
      <c r="C105" s="334"/>
      <c r="D105" s="334"/>
      <c r="E105" s="87"/>
      <c r="F105" s="486"/>
      <c r="G105" s="551"/>
      <c r="H105" s="551"/>
      <c r="I105" s="551"/>
      <c r="J105" s="551"/>
      <c r="K105" s="535"/>
      <c r="O105" s="535"/>
      <c r="P105" s="535"/>
      <c r="Q105" s="308"/>
      <c r="R105" s="308"/>
      <c r="S105" s="308"/>
    </row>
    <row r="106" spans="1:19" x14ac:dyDescent="0.25">
      <c r="A106" s="308"/>
      <c r="B106" s="334"/>
      <c r="C106" s="334"/>
      <c r="D106" s="334"/>
      <c r="E106" s="87"/>
      <c r="F106" s="486"/>
      <c r="G106" s="551"/>
      <c r="H106" s="551"/>
      <c r="I106" s="551"/>
      <c r="J106" s="551"/>
      <c r="K106" s="535"/>
      <c r="O106" s="535"/>
      <c r="P106" s="535"/>
      <c r="Q106" s="308"/>
      <c r="R106" s="308"/>
      <c r="S106" s="308"/>
    </row>
    <row r="107" spans="1:19" x14ac:dyDescent="0.25">
      <c r="A107" s="308"/>
      <c r="B107" s="334"/>
      <c r="C107" s="334"/>
      <c r="D107" s="334"/>
      <c r="E107" s="87"/>
      <c r="F107" s="486"/>
      <c r="G107" s="551"/>
      <c r="H107" s="551"/>
      <c r="I107" s="551"/>
      <c r="J107" s="551"/>
      <c r="K107" s="535"/>
      <c r="O107" s="535"/>
      <c r="P107" s="535"/>
      <c r="Q107" s="308"/>
      <c r="R107" s="308"/>
      <c r="S107" s="308"/>
    </row>
    <row r="108" spans="1:19" x14ac:dyDescent="0.25">
      <c r="A108" s="308"/>
      <c r="B108" s="334"/>
      <c r="C108" s="334"/>
      <c r="D108" s="334"/>
      <c r="E108" s="87"/>
      <c r="F108" s="486"/>
      <c r="G108" s="551"/>
      <c r="H108" s="551"/>
      <c r="I108" s="551"/>
      <c r="J108" s="551"/>
      <c r="K108" s="535"/>
      <c r="O108" s="535"/>
      <c r="P108" s="535"/>
      <c r="Q108" s="308"/>
      <c r="R108" s="308"/>
      <c r="S108" s="308"/>
    </row>
    <row r="109" spans="1:19" x14ac:dyDescent="0.25">
      <c r="A109" s="308"/>
      <c r="B109" s="334"/>
      <c r="C109" s="334"/>
      <c r="D109" s="334"/>
      <c r="E109" s="87"/>
      <c r="F109" s="486"/>
      <c r="G109" s="551"/>
      <c r="H109" s="551"/>
      <c r="I109" s="551"/>
      <c r="J109" s="551"/>
      <c r="K109" s="535"/>
      <c r="O109" s="535"/>
      <c r="P109" s="535"/>
      <c r="Q109" s="308"/>
      <c r="R109" s="308"/>
      <c r="S109" s="308"/>
    </row>
    <row r="110" spans="1:19" x14ac:dyDescent="0.25">
      <c r="A110" s="308"/>
      <c r="B110" s="334"/>
      <c r="C110" s="334"/>
      <c r="D110" s="334"/>
      <c r="E110" s="87"/>
      <c r="F110" s="486"/>
      <c r="G110" s="551"/>
      <c r="H110" s="551"/>
      <c r="I110" s="551"/>
      <c r="J110" s="551"/>
      <c r="K110" s="535"/>
      <c r="O110" s="535"/>
      <c r="P110" s="535"/>
      <c r="Q110" s="308"/>
      <c r="R110" s="308"/>
      <c r="S110" s="308"/>
    </row>
    <row r="111" spans="1:19" x14ac:dyDescent="0.25">
      <c r="A111" s="308"/>
      <c r="B111" s="334"/>
      <c r="C111" s="334"/>
      <c r="D111" s="334"/>
      <c r="E111" s="87"/>
      <c r="F111" s="486"/>
      <c r="G111" s="551"/>
      <c r="H111" s="551"/>
      <c r="I111" s="551"/>
      <c r="J111" s="551"/>
      <c r="K111" s="535"/>
      <c r="O111" s="535"/>
      <c r="P111" s="535"/>
      <c r="Q111" s="308"/>
      <c r="R111" s="308"/>
      <c r="S111" s="308"/>
    </row>
    <row r="112" spans="1:19" x14ac:dyDescent="0.25">
      <c r="A112" s="308"/>
      <c r="B112" s="334"/>
      <c r="C112" s="334"/>
      <c r="D112" s="334"/>
      <c r="E112" s="87"/>
      <c r="F112" s="486"/>
      <c r="G112" s="551"/>
      <c r="H112" s="551"/>
      <c r="I112" s="551"/>
      <c r="J112" s="551"/>
      <c r="K112" s="535"/>
      <c r="O112" s="535"/>
      <c r="P112" s="535"/>
      <c r="Q112" s="308"/>
      <c r="R112" s="308"/>
      <c r="S112" s="308"/>
    </row>
  </sheetData>
  <sheetCalcPr fullCalcOnLoad="1"/>
  <autoFilter ref="A1:H101"/>
  <hyperlinks>
    <hyperlink ref="A1" location="Menu!A1" display="Brought-Forward"/>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K59"/>
  <sheetViews>
    <sheetView topLeftCell="A13" zoomScaleNormal="100" workbookViewId="0">
      <selection activeCell="B33" sqref="B33"/>
    </sheetView>
  </sheetViews>
  <sheetFormatPr defaultRowHeight="13.2" x14ac:dyDescent="0.25"/>
  <cols>
    <col min="1" max="1" width="14" style="16" customWidth="1"/>
    <col min="2" max="2" width="14" style="206" customWidth="1"/>
    <col min="3" max="3" width="11" style="10" customWidth="1"/>
    <col min="4" max="4" width="18" style="4" customWidth="1"/>
    <col min="5" max="5" width="19" customWidth="1"/>
    <col min="6" max="6" width="7.33203125" style="206" customWidth="1"/>
    <col min="7" max="7" width="9.88671875" style="206" customWidth="1"/>
    <col min="8" max="8" width="6.5546875" style="206" customWidth="1"/>
    <col min="9" max="9" width="6.109375" style="206" customWidth="1"/>
    <col min="10" max="10" width="6" style="206" customWidth="1"/>
    <col min="11" max="11" width="5.5546875" style="206" customWidth="1"/>
    <col min="12" max="12" width="5.6640625" style="206" customWidth="1"/>
    <col min="13" max="13" width="5.109375" style="206" customWidth="1"/>
    <col min="14" max="14" width="6.6640625" style="1" customWidth="1"/>
    <col min="15" max="15" width="20" customWidth="1"/>
    <col min="16" max="16" width="14.88671875" customWidth="1"/>
    <col min="17" max="17" width="8.33203125" customWidth="1"/>
    <col min="18" max="18" width="7.6640625" customWidth="1"/>
    <col min="19" max="19" width="42.109375" customWidth="1"/>
    <col min="20" max="20" width="30" style="4" customWidth="1"/>
    <col min="21" max="21" width="22.6640625" customWidth="1"/>
    <col min="22" max="22" width="10.6640625" customWidth="1"/>
    <col min="23" max="24" width="10.6640625" style="1" customWidth="1"/>
    <col min="25" max="25" width="10.6640625" style="216" customWidth="1"/>
    <col min="26" max="26" width="10.6640625" style="217" customWidth="1"/>
    <col min="27" max="27" width="10.6640625" style="216" customWidth="1"/>
    <col min="28" max="29" width="10.6640625" style="1" customWidth="1"/>
    <col min="30" max="30" width="10.6640625" customWidth="1"/>
    <col min="31" max="33" width="10.6640625" style="1" customWidth="1"/>
    <col min="34" max="34" width="10.6640625" customWidth="1"/>
    <col min="35" max="35" width="10.6640625" style="14" customWidth="1"/>
    <col min="36" max="36" width="10.6640625" customWidth="1"/>
    <col min="37" max="37" width="8.44140625" bestFit="1" customWidth="1"/>
  </cols>
  <sheetData>
    <row r="1" spans="1:37" ht="26.4" x14ac:dyDescent="0.25">
      <c r="A1" s="205" t="s">
        <v>32</v>
      </c>
      <c r="B1" s="205" t="s">
        <v>259</v>
      </c>
      <c r="C1" s="24" t="s">
        <v>192</v>
      </c>
      <c r="D1" s="25" t="s">
        <v>35</v>
      </c>
      <c r="E1" s="26" t="s">
        <v>36</v>
      </c>
      <c r="F1" s="204" t="s">
        <v>60</v>
      </c>
      <c r="G1" s="204" t="s">
        <v>61</v>
      </c>
      <c r="H1" s="205" t="s">
        <v>37</v>
      </c>
      <c r="I1" s="205" t="s">
        <v>38</v>
      </c>
      <c r="J1" s="205" t="s">
        <v>39</v>
      </c>
      <c r="K1" s="205" t="s">
        <v>40</v>
      </c>
      <c r="L1" s="205" t="s">
        <v>41</v>
      </c>
      <c r="M1" s="205" t="s">
        <v>42</v>
      </c>
      <c r="N1" s="120" t="s">
        <v>178</v>
      </c>
      <c r="O1" s="33" t="s">
        <v>49</v>
      </c>
      <c r="P1" s="33" t="s">
        <v>50</v>
      </c>
      <c r="Q1" s="33" t="s">
        <v>52</v>
      </c>
      <c r="R1" s="33" t="s">
        <v>53</v>
      </c>
      <c r="S1" s="28" t="s">
        <v>43</v>
      </c>
      <c r="T1" s="31" t="s">
        <v>19</v>
      </c>
      <c r="U1" t="s">
        <v>33</v>
      </c>
      <c r="V1" t="s">
        <v>44</v>
      </c>
      <c r="W1" s="11" t="s">
        <v>46</v>
      </c>
      <c r="X1" s="11" t="s">
        <v>45</v>
      </c>
      <c r="Y1" s="215" t="s">
        <v>215</v>
      </c>
      <c r="Z1" s="215" t="s">
        <v>216</v>
      </c>
      <c r="AA1" s="215" t="s">
        <v>217</v>
      </c>
      <c r="AB1" s="11"/>
      <c r="AC1" s="11"/>
      <c r="AD1" s="11"/>
      <c r="AE1" s="11"/>
      <c r="AF1" s="11"/>
      <c r="AG1" s="11"/>
      <c r="AH1" s="11"/>
      <c r="AI1" s="13"/>
      <c r="AJ1" s="9"/>
      <c r="AK1" s="9"/>
    </row>
    <row r="2" spans="1:37" x14ac:dyDescent="0.25">
      <c r="A2" s="27">
        <v>43588</v>
      </c>
      <c r="B2" s="199">
        <v>10</v>
      </c>
      <c r="C2" s="27" t="s">
        <v>587</v>
      </c>
      <c r="D2" s="27" t="s">
        <v>594</v>
      </c>
      <c r="E2" s="27" t="s">
        <v>624</v>
      </c>
      <c r="F2" s="199">
        <v>2</v>
      </c>
      <c r="G2" s="199">
        <v>0</v>
      </c>
      <c r="H2" s="199">
        <v>6</v>
      </c>
      <c r="I2" s="199">
        <v>10</v>
      </c>
      <c r="J2" s="199">
        <v>3</v>
      </c>
      <c r="K2" s="199">
        <v>1</v>
      </c>
      <c r="L2" s="199">
        <v>24</v>
      </c>
      <c r="M2" s="199">
        <v>5</v>
      </c>
      <c r="N2" s="199"/>
      <c r="O2" s="34" t="str">
        <f t="shared" ref="O2:O32" si="0">TRIM(D2)</f>
        <v>Everton</v>
      </c>
      <c r="P2" s="34" t="str">
        <f t="shared" ref="P2:P32" si="1">TRIM(E2)</f>
        <v>Burnley</v>
      </c>
      <c r="Q2" s="33" t="str">
        <f t="shared" ref="Q2:Q32" si="2">TRIM(F2)</f>
        <v>2</v>
      </c>
      <c r="R2" s="34" t="str">
        <f t="shared" ref="R2:R32" si="3">TRIM(G2)</f>
        <v>0</v>
      </c>
      <c r="S2" s="29" t="str">
        <f t="shared" ref="S2:S47" si="4">IF(A2="","",O2&amp;"  v  "&amp;P2&amp;"   "&amp;U2)</f>
        <v>Everton  v  Burnley   6/10  3/1  24/5</v>
      </c>
      <c r="T2" s="32" t="str">
        <f t="shared" ref="T2:T46" si="5">O2&amp;" "&amp;Q2&amp;"-"&amp;R2&amp;" "&amp;P2&amp;" "&amp;N2</f>
        <v xml:space="preserve">Everton 2-0 Burnley </v>
      </c>
      <c r="U2" t="str">
        <f>V2&amp;"  "&amp;W2&amp;"  "&amp;X2</f>
        <v>6/10  3/1  24/5</v>
      </c>
      <c r="V2" s="18" t="str">
        <f t="shared" ref="V2:V32" si="6">CONCATENATE(H2,"/",I2)</f>
        <v>6/10</v>
      </c>
      <c r="W2" s="18" t="str">
        <f t="shared" ref="W2:W32" si="7">CONCATENATE(J2,"/",K2)</f>
        <v>3/1</v>
      </c>
      <c r="X2" s="18" t="str">
        <f t="shared" ref="X2:X32" si="8">CONCATENATE(L2,"/",M2)</f>
        <v>24/5</v>
      </c>
      <c r="Y2" s="216">
        <f>IF(A2="","",1+(H2/I2))</f>
        <v>1.6</v>
      </c>
      <c r="Z2" s="216">
        <f>IF(C2="","",1+(J2/K2))</f>
        <v>4</v>
      </c>
      <c r="AA2" s="216">
        <f>IF(D2="","",1+(L2/M2))</f>
        <v>5.8</v>
      </c>
      <c r="AB2" s="12"/>
      <c r="AF2" s="12"/>
    </row>
    <row r="3" spans="1:37" x14ac:dyDescent="0.25">
      <c r="A3" s="27">
        <v>43589</v>
      </c>
      <c r="B3" s="199">
        <v>10</v>
      </c>
      <c r="C3" s="23" t="s">
        <v>587</v>
      </c>
      <c r="D3" s="27" t="s">
        <v>591</v>
      </c>
      <c r="E3" s="27" t="s">
        <v>623</v>
      </c>
      <c r="F3" s="199">
        <v>1</v>
      </c>
      <c r="G3" s="199">
        <v>0</v>
      </c>
      <c r="H3" s="199">
        <v>17</v>
      </c>
      <c r="I3" s="199">
        <v>5</v>
      </c>
      <c r="J3" s="199">
        <v>3</v>
      </c>
      <c r="K3" s="199">
        <v>1</v>
      </c>
      <c r="L3" s="199">
        <v>3</v>
      </c>
      <c r="M3" s="199">
        <v>4</v>
      </c>
      <c r="N3" s="121"/>
      <c r="O3" s="34" t="str">
        <f t="shared" si="0"/>
        <v>Bournemouth</v>
      </c>
      <c r="P3" s="34" t="str">
        <f t="shared" si="1"/>
        <v>Spurs</v>
      </c>
      <c r="Q3" s="33" t="str">
        <f t="shared" si="2"/>
        <v>1</v>
      </c>
      <c r="R3" s="34" t="str">
        <f t="shared" si="3"/>
        <v>0</v>
      </c>
      <c r="S3" s="29" t="str">
        <f t="shared" si="4"/>
        <v>Bournemouth  v  Spurs   17/5  3/1  3/4</v>
      </c>
      <c r="T3" s="32" t="str">
        <f t="shared" si="5"/>
        <v xml:space="preserve">Bournemouth 1-0 Spurs </v>
      </c>
      <c r="U3" t="str">
        <f t="shared" ref="U3:U44" si="9">V3&amp;"  "&amp;W3&amp;"  "&amp;X3</f>
        <v>17/5  3/1  3/4</v>
      </c>
      <c r="V3" s="18" t="str">
        <f t="shared" si="6"/>
        <v>17/5</v>
      </c>
      <c r="W3" s="18" t="str">
        <f t="shared" si="7"/>
        <v>3/1</v>
      </c>
      <c r="X3" s="18" t="str">
        <f t="shared" si="8"/>
        <v>3/4</v>
      </c>
      <c r="Y3" s="216">
        <f t="shared" ref="Y3:Y47" si="10">IF(A3="","",1+(H3/I3))</f>
        <v>4.4000000000000004</v>
      </c>
      <c r="Z3" s="216">
        <f t="shared" ref="Z3:Z47" si="11">IF(C3="","",1+(J3/K3))</f>
        <v>4</v>
      </c>
      <c r="AA3" s="216">
        <f t="shared" ref="AA3:AA47" si="12">IF(D3="","",1+(L3/M3))</f>
        <v>1.75</v>
      </c>
      <c r="AB3" s="12"/>
      <c r="AF3" s="12"/>
    </row>
    <row r="4" spans="1:37" x14ac:dyDescent="0.25">
      <c r="A4" s="27">
        <v>43589</v>
      </c>
      <c r="B4" s="199">
        <v>10</v>
      </c>
      <c r="C4" s="27" t="s">
        <v>587</v>
      </c>
      <c r="D4" s="27" t="s">
        <v>619</v>
      </c>
      <c r="E4" s="27" t="s">
        <v>592</v>
      </c>
      <c r="F4" s="199">
        <v>2</v>
      </c>
      <c r="G4" s="199">
        <v>3</v>
      </c>
      <c r="H4" s="199">
        <v>9</v>
      </c>
      <c r="I4" s="199">
        <v>5</v>
      </c>
      <c r="J4" s="199">
        <v>9</v>
      </c>
      <c r="K4" s="199">
        <v>4</v>
      </c>
      <c r="L4" s="199">
        <v>8</v>
      </c>
      <c r="M4" s="199">
        <v>5</v>
      </c>
      <c r="N4" s="121"/>
      <c r="O4" s="34" t="str">
        <f t="shared" si="0"/>
        <v>Cardiff</v>
      </c>
      <c r="P4" s="34" t="str">
        <f t="shared" si="1"/>
        <v>Palace</v>
      </c>
      <c r="Q4" s="33" t="str">
        <f t="shared" si="2"/>
        <v>2</v>
      </c>
      <c r="R4" s="34" t="str">
        <f t="shared" si="3"/>
        <v>3</v>
      </c>
      <c r="S4" s="29" t="str">
        <f t="shared" si="4"/>
        <v>Cardiff  v  Palace   9/5  9/4  8/5</v>
      </c>
      <c r="T4" s="32" t="str">
        <f t="shared" si="5"/>
        <v xml:space="preserve">Cardiff 2-3 Palace </v>
      </c>
      <c r="U4" t="str">
        <f t="shared" si="9"/>
        <v>9/5  9/4  8/5</v>
      </c>
      <c r="V4" s="18" t="str">
        <f t="shared" si="6"/>
        <v>9/5</v>
      </c>
      <c r="W4" s="18" t="str">
        <f t="shared" si="7"/>
        <v>9/4</v>
      </c>
      <c r="X4" s="18" t="str">
        <f t="shared" si="8"/>
        <v>8/5</v>
      </c>
      <c r="Y4" s="216">
        <f t="shared" si="10"/>
        <v>2.8</v>
      </c>
      <c r="Z4" s="216">
        <f t="shared" si="11"/>
        <v>3.25</v>
      </c>
      <c r="AA4" s="216">
        <f t="shared" si="12"/>
        <v>2.6</v>
      </c>
      <c r="AB4" s="12"/>
      <c r="AF4" s="12"/>
    </row>
    <row r="5" spans="1:37" x14ac:dyDescent="0.25">
      <c r="A5" s="27">
        <v>43589</v>
      </c>
      <c r="B5" s="199">
        <v>10</v>
      </c>
      <c r="C5" s="27" t="s">
        <v>587</v>
      </c>
      <c r="D5" s="27" t="s">
        <v>444</v>
      </c>
      <c r="E5" s="27" t="s">
        <v>443</v>
      </c>
      <c r="F5" s="199">
        <v>2</v>
      </c>
      <c r="G5" s="199">
        <v>3</v>
      </c>
      <c r="H5" s="199">
        <v>9</v>
      </c>
      <c r="I5" s="199">
        <v>1</v>
      </c>
      <c r="J5" s="199">
        <v>4</v>
      </c>
      <c r="K5" s="199">
        <v>1</v>
      </c>
      <c r="L5" s="199">
        <v>1</v>
      </c>
      <c r="M5" s="199">
        <v>3</v>
      </c>
      <c r="N5" s="121"/>
      <c r="O5" s="34" t="str">
        <f t="shared" si="0"/>
        <v>Newcastle</v>
      </c>
      <c r="P5" s="34" t="str">
        <f t="shared" si="1"/>
        <v>Liverpool</v>
      </c>
      <c r="Q5" s="33" t="str">
        <f t="shared" si="2"/>
        <v>2</v>
      </c>
      <c r="R5" s="34" t="str">
        <f t="shared" si="3"/>
        <v>3</v>
      </c>
      <c r="S5" s="29" t="str">
        <f t="shared" si="4"/>
        <v>Newcastle  v  Liverpool   9/1  4/1  1/3</v>
      </c>
      <c r="T5" s="32" t="str">
        <f t="shared" si="5"/>
        <v xml:space="preserve">Newcastle 2-3 Liverpool </v>
      </c>
      <c r="U5" t="str">
        <f t="shared" si="9"/>
        <v>9/1  4/1  1/3</v>
      </c>
      <c r="V5" s="18" t="str">
        <f t="shared" si="6"/>
        <v>9/1</v>
      </c>
      <c r="W5" s="18" t="str">
        <f t="shared" si="7"/>
        <v>4/1</v>
      </c>
      <c r="X5" s="18" t="str">
        <f t="shared" si="8"/>
        <v>1/3</v>
      </c>
      <c r="Y5" s="216">
        <f t="shared" si="10"/>
        <v>10</v>
      </c>
      <c r="Z5" s="216">
        <f t="shared" si="11"/>
        <v>5</v>
      </c>
      <c r="AA5" s="216">
        <f t="shared" si="12"/>
        <v>1.3333333333333333</v>
      </c>
      <c r="AB5" s="12"/>
      <c r="AF5" s="12"/>
    </row>
    <row r="6" spans="1:37" x14ac:dyDescent="0.25">
      <c r="A6" s="27">
        <v>43589</v>
      </c>
      <c r="B6" s="199">
        <v>10</v>
      </c>
      <c r="C6" s="27" t="s">
        <v>587</v>
      </c>
      <c r="D6" s="27" t="s">
        <v>622</v>
      </c>
      <c r="E6" s="27" t="s">
        <v>589</v>
      </c>
      <c r="F6" s="199">
        <v>3</v>
      </c>
      <c r="G6" s="199">
        <v>0</v>
      </c>
      <c r="H6" s="199">
        <v>11</v>
      </c>
      <c r="I6" s="199">
        <v>8</v>
      </c>
      <c r="J6" s="199">
        <v>5</v>
      </c>
      <c r="K6" s="199">
        <v>2</v>
      </c>
      <c r="L6" s="199">
        <v>15</v>
      </c>
      <c r="M6" s="199">
        <v>8</v>
      </c>
      <c r="N6" s="121"/>
      <c r="O6" s="34" t="str">
        <f t="shared" si="0"/>
        <v>West Ham</v>
      </c>
      <c r="P6" s="34" t="str">
        <f t="shared" si="1"/>
        <v>Southampton</v>
      </c>
      <c r="Q6" s="33" t="str">
        <f t="shared" si="2"/>
        <v>3</v>
      </c>
      <c r="R6" s="34" t="str">
        <f t="shared" si="3"/>
        <v>0</v>
      </c>
      <c r="S6" s="29" t="str">
        <f t="shared" si="4"/>
        <v>West Ham  v  Southampton   11/8  5/2  15/8</v>
      </c>
      <c r="T6" s="32" t="str">
        <f t="shared" si="5"/>
        <v xml:space="preserve">West Ham 3-0 Southampton </v>
      </c>
      <c r="U6" t="str">
        <f t="shared" si="9"/>
        <v>11/8  5/2  15/8</v>
      </c>
      <c r="V6" s="18" t="str">
        <f t="shared" si="6"/>
        <v>11/8</v>
      </c>
      <c r="W6" s="18" t="str">
        <f t="shared" si="7"/>
        <v>5/2</v>
      </c>
      <c r="X6" s="18" t="str">
        <f t="shared" si="8"/>
        <v>15/8</v>
      </c>
      <c r="Y6" s="216">
        <f t="shared" si="10"/>
        <v>2.375</v>
      </c>
      <c r="Z6" s="216">
        <f t="shared" si="11"/>
        <v>3.5</v>
      </c>
      <c r="AA6" s="216">
        <f t="shared" si="12"/>
        <v>2.875</v>
      </c>
      <c r="AB6" s="12"/>
      <c r="AF6" s="12"/>
    </row>
    <row r="7" spans="1:37" x14ac:dyDescent="0.25">
      <c r="A7" s="27">
        <v>43589</v>
      </c>
      <c r="B7" s="199">
        <v>10</v>
      </c>
      <c r="C7" s="27" t="s">
        <v>587</v>
      </c>
      <c r="D7" s="27" t="s">
        <v>590</v>
      </c>
      <c r="E7" s="27" t="s">
        <v>620</v>
      </c>
      <c r="F7" s="199">
        <v>1</v>
      </c>
      <c r="G7" s="199">
        <v>0</v>
      </c>
      <c r="H7" s="199">
        <v>1</v>
      </c>
      <c r="I7" s="199">
        <v>2</v>
      </c>
      <c r="J7" s="199">
        <v>16</v>
      </c>
      <c r="K7" s="199">
        <v>5</v>
      </c>
      <c r="L7" s="199">
        <v>11</v>
      </c>
      <c r="M7" s="199">
        <v>2</v>
      </c>
      <c r="N7" s="121"/>
      <c r="O7" s="34" t="str">
        <f>TRIM(D7)</f>
        <v>Wolves</v>
      </c>
      <c r="P7" s="34" t="str">
        <f t="shared" si="1"/>
        <v>Fulham</v>
      </c>
      <c r="Q7" s="33" t="str">
        <f t="shared" si="2"/>
        <v>1</v>
      </c>
      <c r="R7" s="34" t="str">
        <f t="shared" si="3"/>
        <v>0</v>
      </c>
      <c r="S7" s="29" t="str">
        <f t="shared" si="4"/>
        <v>Wolves  v  Fulham   1/2  16/5  11/2</v>
      </c>
      <c r="T7" s="32" t="str">
        <f t="shared" si="5"/>
        <v xml:space="preserve">Wolves 1-0 Fulham </v>
      </c>
      <c r="U7" t="str">
        <f t="shared" si="9"/>
        <v>1/2  16/5  11/2</v>
      </c>
      <c r="V7" s="18" t="str">
        <f t="shared" si="6"/>
        <v>1/2</v>
      </c>
      <c r="W7" s="18" t="str">
        <f t="shared" si="7"/>
        <v>16/5</v>
      </c>
      <c r="X7" s="18" t="str">
        <f t="shared" si="8"/>
        <v>11/2</v>
      </c>
      <c r="Y7" s="216">
        <f t="shared" si="10"/>
        <v>1.5</v>
      </c>
      <c r="Z7" s="216">
        <f t="shared" si="11"/>
        <v>4.2</v>
      </c>
      <c r="AA7" s="216">
        <f t="shared" si="12"/>
        <v>6.5</v>
      </c>
      <c r="AB7" s="12"/>
      <c r="AF7" s="12"/>
    </row>
    <row r="8" spans="1:37" x14ac:dyDescent="0.25">
      <c r="A8" s="27">
        <v>43589</v>
      </c>
      <c r="B8" s="199">
        <v>12</v>
      </c>
      <c r="C8" s="27" t="s">
        <v>525</v>
      </c>
      <c r="D8" s="27" t="s">
        <v>520</v>
      </c>
      <c r="E8" s="27" t="s">
        <v>526</v>
      </c>
      <c r="F8" s="199">
        <v>0</v>
      </c>
      <c r="G8" s="199">
        <v>3</v>
      </c>
      <c r="H8" s="199">
        <v>5</v>
      </c>
      <c r="I8" s="199">
        <v>4</v>
      </c>
      <c r="J8" s="199">
        <v>23</v>
      </c>
      <c r="K8" s="199">
        <v>10</v>
      </c>
      <c r="L8" s="199">
        <v>9</v>
      </c>
      <c r="M8" s="199">
        <v>4</v>
      </c>
      <c r="N8" s="121"/>
      <c r="O8" s="34" t="str">
        <f t="shared" si="0"/>
        <v>Blackpool</v>
      </c>
      <c r="P8" s="34" t="str">
        <f t="shared" si="1"/>
        <v>Gillingham</v>
      </c>
      <c r="Q8" s="33" t="str">
        <f t="shared" si="2"/>
        <v>0</v>
      </c>
      <c r="R8" s="34" t="str">
        <f t="shared" si="3"/>
        <v>3</v>
      </c>
      <c r="S8" s="29" t="str">
        <f t="shared" si="4"/>
        <v>Blackpool  v  Gillingham   5/4  23/10  9/4</v>
      </c>
      <c r="T8" s="32" t="str">
        <f t="shared" si="5"/>
        <v xml:space="preserve">Blackpool 0-3 Gillingham </v>
      </c>
      <c r="U8" t="str">
        <f t="shared" si="9"/>
        <v>5/4  23/10  9/4</v>
      </c>
      <c r="V8" s="18" t="str">
        <f t="shared" si="6"/>
        <v>5/4</v>
      </c>
      <c r="W8" s="18" t="str">
        <f t="shared" si="7"/>
        <v>23/10</v>
      </c>
      <c r="X8" s="18" t="str">
        <f t="shared" si="8"/>
        <v>9/4</v>
      </c>
      <c r="Y8" s="216">
        <f t="shared" si="10"/>
        <v>2.25</v>
      </c>
      <c r="Z8" s="216">
        <f t="shared" si="11"/>
        <v>3.3</v>
      </c>
      <c r="AA8" s="216">
        <f t="shared" si="12"/>
        <v>3.25</v>
      </c>
      <c r="AB8" s="12"/>
      <c r="AF8" s="12"/>
    </row>
    <row r="9" spans="1:37" x14ac:dyDescent="0.25">
      <c r="A9" s="27">
        <v>43589</v>
      </c>
      <c r="B9" s="199">
        <v>12</v>
      </c>
      <c r="C9" s="27" t="s">
        <v>525</v>
      </c>
      <c r="D9" s="27" t="s">
        <v>556</v>
      </c>
      <c r="E9" s="27" t="s">
        <v>518</v>
      </c>
      <c r="F9" s="199">
        <v>0</v>
      </c>
      <c r="G9" s="199">
        <v>0</v>
      </c>
      <c r="H9" s="199">
        <v>11</v>
      </c>
      <c r="I9" s="199">
        <v>4</v>
      </c>
      <c r="J9" s="199">
        <v>12</v>
      </c>
      <c r="K9" s="199">
        <v>5</v>
      </c>
      <c r="L9" s="199">
        <v>1</v>
      </c>
      <c r="M9" s="199">
        <v>1</v>
      </c>
      <c r="N9" s="121"/>
      <c r="O9" s="34" t="str">
        <f t="shared" si="0"/>
        <v>Bradford</v>
      </c>
      <c r="P9" s="34" t="str">
        <f t="shared" si="1"/>
        <v>Wimbledon</v>
      </c>
      <c r="Q9" s="33" t="str">
        <f t="shared" si="2"/>
        <v>0</v>
      </c>
      <c r="R9" s="34" t="str">
        <f t="shared" si="3"/>
        <v>0</v>
      </c>
      <c r="S9" s="29" t="str">
        <f t="shared" si="4"/>
        <v>Bradford  v  Wimbledon   11/4  12/5  1/1</v>
      </c>
      <c r="T9" s="32" t="str">
        <f t="shared" si="5"/>
        <v xml:space="preserve">Bradford 0-0 Wimbledon </v>
      </c>
      <c r="U9" t="str">
        <f t="shared" si="9"/>
        <v>11/4  12/5  1/1</v>
      </c>
      <c r="V9" s="18" t="str">
        <f t="shared" si="6"/>
        <v>11/4</v>
      </c>
      <c r="W9" s="18" t="str">
        <f t="shared" si="7"/>
        <v>12/5</v>
      </c>
      <c r="X9" s="18" t="str">
        <f t="shared" si="8"/>
        <v>1/1</v>
      </c>
      <c r="Y9" s="216">
        <f t="shared" si="10"/>
        <v>3.75</v>
      </c>
      <c r="Z9" s="216">
        <f t="shared" si="11"/>
        <v>3.4</v>
      </c>
      <c r="AA9" s="216">
        <f t="shared" si="12"/>
        <v>2</v>
      </c>
      <c r="AB9" s="12"/>
      <c r="AF9" s="12"/>
    </row>
    <row r="10" spans="1:37" x14ac:dyDescent="0.25">
      <c r="A10" s="27">
        <v>43589</v>
      </c>
      <c r="B10" s="199">
        <v>12</v>
      </c>
      <c r="C10" s="27" t="s">
        <v>525</v>
      </c>
      <c r="D10" s="27" t="s">
        <v>572</v>
      </c>
      <c r="E10" s="27" t="s">
        <v>439</v>
      </c>
      <c r="F10" s="199">
        <v>2</v>
      </c>
      <c r="G10" s="199">
        <v>1</v>
      </c>
      <c r="H10" s="199">
        <v>5</v>
      </c>
      <c r="I10" s="199">
        <v>1</v>
      </c>
      <c r="J10" s="199">
        <v>29</v>
      </c>
      <c r="K10" s="199">
        <v>10</v>
      </c>
      <c r="L10" s="199">
        <v>4</v>
      </c>
      <c r="M10" s="199">
        <v>7</v>
      </c>
      <c r="N10" s="121"/>
      <c r="O10" s="34" t="str">
        <f t="shared" si="0"/>
        <v>Bristol R</v>
      </c>
      <c r="P10" s="34" t="str">
        <f t="shared" si="1"/>
        <v>Barnsley</v>
      </c>
      <c r="Q10" s="33" t="str">
        <f t="shared" si="2"/>
        <v>2</v>
      </c>
      <c r="R10" s="34" t="str">
        <f t="shared" si="3"/>
        <v>1</v>
      </c>
      <c r="S10" s="29" t="str">
        <f t="shared" si="4"/>
        <v>Bristol R  v  Barnsley   5/1  29/10  4/7</v>
      </c>
      <c r="T10" s="32" t="str">
        <f t="shared" si="5"/>
        <v xml:space="preserve">Bristol R 2-1 Barnsley </v>
      </c>
      <c r="U10" t="str">
        <f t="shared" si="9"/>
        <v>5/1  29/10  4/7</v>
      </c>
      <c r="V10" s="18" t="str">
        <f t="shared" si="6"/>
        <v>5/1</v>
      </c>
      <c r="W10" s="18" t="str">
        <f t="shared" si="7"/>
        <v>29/10</v>
      </c>
      <c r="X10" s="18" t="str">
        <f t="shared" si="8"/>
        <v>4/7</v>
      </c>
      <c r="Y10" s="216">
        <f t="shared" si="10"/>
        <v>6</v>
      </c>
      <c r="Z10" s="216">
        <f t="shared" si="11"/>
        <v>3.9</v>
      </c>
      <c r="AA10" s="216">
        <f t="shared" si="12"/>
        <v>1.5714285714285714</v>
      </c>
      <c r="AB10" s="12"/>
      <c r="AF10" s="12"/>
    </row>
    <row r="11" spans="1:37" x14ac:dyDescent="0.25">
      <c r="A11" s="27">
        <v>43589</v>
      </c>
      <c r="B11" s="199">
        <v>12</v>
      </c>
      <c r="C11" s="27" t="s">
        <v>525</v>
      </c>
      <c r="D11" s="27" t="s">
        <v>613</v>
      </c>
      <c r="E11" s="27" t="s">
        <v>573</v>
      </c>
      <c r="F11" s="199">
        <v>4</v>
      </c>
      <c r="G11" s="199">
        <v>0</v>
      </c>
      <c r="H11" s="199">
        <v>3</v>
      </c>
      <c r="I11" s="199">
        <v>4</v>
      </c>
      <c r="J11" s="199">
        <v>27</v>
      </c>
      <c r="K11" s="199">
        <v>10</v>
      </c>
      <c r="L11" s="199">
        <v>7</v>
      </c>
      <c r="M11" s="199">
        <v>2</v>
      </c>
      <c r="N11" s="121"/>
      <c r="O11" s="34" t="str">
        <f t="shared" si="0"/>
        <v>Charlton</v>
      </c>
      <c r="P11" s="34" t="str">
        <f t="shared" si="1"/>
        <v>Rochdale</v>
      </c>
      <c r="Q11" s="33" t="str">
        <f t="shared" si="2"/>
        <v>4</v>
      </c>
      <c r="R11" s="34" t="str">
        <f t="shared" si="3"/>
        <v>0</v>
      </c>
      <c r="S11" s="29" t="str">
        <f t="shared" si="4"/>
        <v>Charlton  v  Rochdale   3/4  27/10  7/2</v>
      </c>
      <c r="T11" s="32" t="str">
        <f t="shared" si="5"/>
        <v xml:space="preserve">Charlton 4-0 Rochdale </v>
      </c>
      <c r="U11" t="str">
        <f t="shared" si="9"/>
        <v>3/4  27/10  7/2</v>
      </c>
      <c r="V11" s="18" t="str">
        <f t="shared" si="6"/>
        <v>3/4</v>
      </c>
      <c r="W11" s="18" t="str">
        <f t="shared" si="7"/>
        <v>27/10</v>
      </c>
      <c r="X11" s="18" t="str">
        <f t="shared" si="8"/>
        <v>7/2</v>
      </c>
      <c r="Y11" s="216">
        <f t="shared" si="10"/>
        <v>1.75</v>
      </c>
      <c r="Z11" s="216">
        <f t="shared" si="11"/>
        <v>3.7</v>
      </c>
      <c r="AA11" s="216">
        <f t="shared" si="12"/>
        <v>4.5</v>
      </c>
      <c r="AB11" s="12"/>
      <c r="AF11" s="12"/>
    </row>
    <row r="12" spans="1:37" x14ac:dyDescent="0.25">
      <c r="A12" s="27">
        <v>43589</v>
      </c>
      <c r="B12" s="199">
        <v>12</v>
      </c>
      <c r="C12" s="27" t="s">
        <v>525</v>
      </c>
      <c r="D12" s="27" t="s">
        <v>521</v>
      </c>
      <c r="E12" s="27" t="s">
        <v>527</v>
      </c>
      <c r="F12" s="199">
        <v>2</v>
      </c>
      <c r="G12" s="199">
        <v>0</v>
      </c>
      <c r="H12" s="199">
        <v>11</v>
      </c>
      <c r="I12" s="199">
        <v>10</v>
      </c>
      <c r="J12" s="199">
        <v>12</v>
      </c>
      <c r="K12" s="199">
        <v>5</v>
      </c>
      <c r="L12" s="199">
        <v>12</v>
      </c>
      <c r="M12" s="199">
        <v>5</v>
      </c>
      <c r="N12" s="121"/>
      <c r="O12" s="34" t="str">
        <f t="shared" si="0"/>
        <v>Doncaster</v>
      </c>
      <c r="P12" s="34" t="str">
        <f t="shared" si="1"/>
        <v>Coventry</v>
      </c>
      <c r="Q12" s="33" t="str">
        <f t="shared" si="2"/>
        <v>2</v>
      </c>
      <c r="R12" s="34" t="str">
        <f t="shared" si="3"/>
        <v>0</v>
      </c>
      <c r="S12" s="29" t="str">
        <f t="shared" si="4"/>
        <v>Doncaster  v  Coventry   11/10  12/5  12/5</v>
      </c>
      <c r="T12" s="32" t="str">
        <f t="shared" si="5"/>
        <v xml:space="preserve">Doncaster 2-0 Coventry </v>
      </c>
      <c r="U12" t="str">
        <f t="shared" si="9"/>
        <v>11/10  12/5  12/5</v>
      </c>
      <c r="V12" s="18" t="str">
        <f t="shared" si="6"/>
        <v>11/10</v>
      </c>
      <c r="W12" s="18" t="str">
        <f t="shared" si="7"/>
        <v>12/5</v>
      </c>
      <c r="X12" s="18" t="str">
        <f t="shared" si="8"/>
        <v>12/5</v>
      </c>
      <c r="Y12" s="216">
        <f t="shared" si="10"/>
        <v>2.1</v>
      </c>
      <c r="Z12" s="216">
        <f t="shared" si="11"/>
        <v>3.4</v>
      </c>
      <c r="AA12" s="216">
        <f t="shared" si="12"/>
        <v>3.4</v>
      </c>
      <c r="AB12" s="12"/>
      <c r="AF12" s="12"/>
    </row>
    <row r="13" spans="1:37" x14ac:dyDescent="0.25">
      <c r="A13" s="27">
        <v>43589</v>
      </c>
      <c r="B13" s="199">
        <v>12</v>
      </c>
      <c r="C13" s="27" t="s">
        <v>525</v>
      </c>
      <c r="D13" s="27" t="s">
        <v>516</v>
      </c>
      <c r="E13" s="27" t="s">
        <v>568</v>
      </c>
      <c r="F13" s="199">
        <v>3</v>
      </c>
      <c r="G13" s="199">
        <v>1</v>
      </c>
      <c r="H13" s="199">
        <v>3</v>
      </c>
      <c r="I13" s="199">
        <v>10</v>
      </c>
      <c r="J13" s="199">
        <v>4</v>
      </c>
      <c r="K13" s="199">
        <v>1</v>
      </c>
      <c r="L13" s="199">
        <v>17</v>
      </c>
      <c r="M13" s="199">
        <v>2</v>
      </c>
      <c r="N13" s="121"/>
      <c r="O13" s="34" t="str">
        <f t="shared" si="0"/>
        <v>Luton</v>
      </c>
      <c r="P13" s="34" t="str">
        <f t="shared" si="1"/>
        <v>Oxford</v>
      </c>
      <c r="Q13" s="33" t="str">
        <f t="shared" si="2"/>
        <v>3</v>
      </c>
      <c r="R13" s="34" t="str">
        <f t="shared" si="3"/>
        <v>1</v>
      </c>
      <c r="S13" s="29" t="str">
        <f t="shared" si="4"/>
        <v>Luton  v  Oxford   3/10  4/1  17/2</v>
      </c>
      <c r="T13" s="32" t="str">
        <f t="shared" si="5"/>
        <v xml:space="preserve">Luton 3-1 Oxford </v>
      </c>
      <c r="U13" t="str">
        <f t="shared" si="9"/>
        <v>3/10  4/1  17/2</v>
      </c>
      <c r="V13" s="18" t="str">
        <f t="shared" si="6"/>
        <v>3/10</v>
      </c>
      <c r="W13" s="18" t="str">
        <f t="shared" si="7"/>
        <v>4/1</v>
      </c>
      <c r="X13" s="18" t="str">
        <f t="shared" si="8"/>
        <v>17/2</v>
      </c>
      <c r="Y13" s="216">
        <f t="shared" si="10"/>
        <v>1.3</v>
      </c>
      <c r="Z13" s="216">
        <f t="shared" si="11"/>
        <v>5</v>
      </c>
      <c r="AA13" s="216">
        <f t="shared" si="12"/>
        <v>9.5</v>
      </c>
      <c r="AB13" s="12"/>
      <c r="AF13" s="12"/>
    </row>
    <row r="14" spans="1:37" x14ac:dyDescent="0.25">
      <c r="A14" s="27">
        <v>43589</v>
      </c>
      <c r="B14" s="199">
        <v>12</v>
      </c>
      <c r="C14" s="27" t="s">
        <v>525</v>
      </c>
      <c r="D14" s="23" t="s">
        <v>617</v>
      </c>
      <c r="E14" s="23" t="s">
        <v>440</v>
      </c>
      <c r="F14" s="199">
        <v>3</v>
      </c>
      <c r="G14" s="199">
        <v>1</v>
      </c>
      <c r="H14" s="199">
        <v>23</v>
      </c>
      <c r="I14" s="199">
        <v>20</v>
      </c>
      <c r="J14" s="199">
        <v>5</v>
      </c>
      <c r="K14" s="199">
        <v>2</v>
      </c>
      <c r="L14" s="199">
        <v>23</v>
      </c>
      <c r="M14" s="199">
        <v>10</v>
      </c>
      <c r="N14" s="120"/>
      <c r="O14" s="34" t="str">
        <f t="shared" si="0"/>
        <v>Peterborough</v>
      </c>
      <c r="P14" s="34" t="str">
        <f t="shared" si="1"/>
        <v>Burton</v>
      </c>
      <c r="Q14" s="33" t="str">
        <f t="shared" si="2"/>
        <v>3</v>
      </c>
      <c r="R14" s="34" t="str">
        <f t="shared" si="3"/>
        <v>1</v>
      </c>
      <c r="S14" s="29" t="str">
        <f t="shared" si="4"/>
        <v>Peterborough  v  Burton   23/20  5/2  23/10</v>
      </c>
      <c r="T14" s="32" t="str">
        <f t="shared" si="5"/>
        <v xml:space="preserve">Peterborough 3-1 Burton </v>
      </c>
      <c r="U14" t="str">
        <f t="shared" si="9"/>
        <v>23/20  5/2  23/10</v>
      </c>
      <c r="V14" s="18" t="str">
        <f t="shared" si="6"/>
        <v>23/20</v>
      </c>
      <c r="W14" s="18" t="str">
        <f t="shared" si="7"/>
        <v>5/2</v>
      </c>
      <c r="X14" s="18" t="str">
        <f t="shared" si="8"/>
        <v>23/10</v>
      </c>
      <c r="Y14" s="216">
        <f t="shared" si="10"/>
        <v>2.15</v>
      </c>
      <c r="Z14" s="216">
        <f t="shared" si="11"/>
        <v>3.5</v>
      </c>
      <c r="AA14" s="216">
        <f t="shared" si="12"/>
        <v>3.3</v>
      </c>
      <c r="AB14" s="12"/>
      <c r="AF14" s="12"/>
    </row>
    <row r="15" spans="1:37" x14ac:dyDescent="0.25">
      <c r="A15" s="27">
        <v>43589</v>
      </c>
      <c r="B15" s="199">
        <v>12</v>
      </c>
      <c r="C15" s="27" t="s">
        <v>525</v>
      </c>
      <c r="D15" s="27" t="s">
        <v>558</v>
      </c>
      <c r="E15" s="23" t="s">
        <v>517</v>
      </c>
      <c r="F15" s="199">
        <v>3</v>
      </c>
      <c r="G15" s="199">
        <v>2</v>
      </c>
      <c r="H15" s="199">
        <v>5</v>
      </c>
      <c r="I15" s="199">
        <v>4</v>
      </c>
      <c r="J15" s="199">
        <v>12</v>
      </c>
      <c r="K15" s="199">
        <v>5</v>
      </c>
      <c r="L15" s="199">
        <v>21</v>
      </c>
      <c r="M15" s="199">
        <v>10</v>
      </c>
      <c r="N15" s="120"/>
      <c r="O15" s="34" t="str">
        <f t="shared" si="0"/>
        <v>Plymouth</v>
      </c>
      <c r="P15" s="34" t="str">
        <f t="shared" si="1"/>
        <v>Scunthorpe</v>
      </c>
      <c r="Q15" s="33" t="str">
        <f t="shared" si="2"/>
        <v>3</v>
      </c>
      <c r="R15" s="34" t="str">
        <f t="shared" si="3"/>
        <v>2</v>
      </c>
      <c r="S15" s="29" t="str">
        <f t="shared" si="4"/>
        <v>Plymouth  v  Scunthorpe   5/4  12/5  21/10</v>
      </c>
      <c r="T15" s="32" t="str">
        <f t="shared" si="5"/>
        <v xml:space="preserve">Plymouth 3-2 Scunthorpe </v>
      </c>
      <c r="U15" t="str">
        <f t="shared" si="9"/>
        <v>5/4  12/5  21/10</v>
      </c>
      <c r="V15" s="18" t="str">
        <f t="shared" si="6"/>
        <v>5/4</v>
      </c>
      <c r="W15" s="18" t="str">
        <f t="shared" si="7"/>
        <v>12/5</v>
      </c>
      <c r="X15" s="18" t="str">
        <f t="shared" si="8"/>
        <v>21/10</v>
      </c>
      <c r="Y15" s="216">
        <f t="shared" si="10"/>
        <v>2.25</v>
      </c>
      <c r="Z15" s="216">
        <f t="shared" si="11"/>
        <v>3.4</v>
      </c>
      <c r="AA15" s="216">
        <f t="shared" si="12"/>
        <v>3.1</v>
      </c>
      <c r="AB15" s="12"/>
      <c r="AF15" s="12"/>
    </row>
    <row r="16" spans="1:37" x14ac:dyDescent="0.25">
      <c r="A16" s="27">
        <v>43589</v>
      </c>
      <c r="B16" s="199">
        <v>12</v>
      </c>
      <c r="C16" s="27" t="s">
        <v>525</v>
      </c>
      <c r="D16" s="27" t="s">
        <v>524</v>
      </c>
      <c r="E16" s="27" t="s">
        <v>442</v>
      </c>
      <c r="F16" s="199">
        <v>1</v>
      </c>
      <c r="G16" s="199">
        <v>1</v>
      </c>
      <c r="H16" s="199">
        <v>7</v>
      </c>
      <c r="I16" s="199">
        <v>20</v>
      </c>
      <c r="J16" s="199">
        <v>4</v>
      </c>
      <c r="K16" s="199">
        <v>1</v>
      </c>
      <c r="L16" s="199">
        <v>15</v>
      </c>
      <c r="M16" s="199">
        <v>2</v>
      </c>
      <c r="N16" s="120"/>
      <c r="O16" s="34" t="str">
        <f t="shared" si="0"/>
        <v>Portsmouth</v>
      </c>
      <c r="P16" s="34" t="str">
        <f t="shared" si="1"/>
        <v>Accrington</v>
      </c>
      <c r="Q16" s="33" t="str">
        <f t="shared" si="2"/>
        <v>1</v>
      </c>
      <c r="R16" s="34" t="str">
        <f t="shared" si="3"/>
        <v>1</v>
      </c>
      <c r="S16" s="29" t="str">
        <f t="shared" si="4"/>
        <v>Portsmouth  v  Accrington   7/20  4/1  15/2</v>
      </c>
      <c r="T16" s="32" t="str">
        <f t="shared" si="5"/>
        <v xml:space="preserve">Portsmouth 1-1 Accrington </v>
      </c>
      <c r="U16" t="str">
        <f t="shared" si="9"/>
        <v>7/20  4/1  15/2</v>
      </c>
      <c r="V16" s="18" t="str">
        <f t="shared" si="6"/>
        <v>7/20</v>
      </c>
      <c r="W16" s="18" t="str">
        <f t="shared" si="7"/>
        <v>4/1</v>
      </c>
      <c r="X16" s="18" t="str">
        <f t="shared" si="8"/>
        <v>15/2</v>
      </c>
      <c r="Y16" s="216">
        <f t="shared" si="10"/>
        <v>1.35</v>
      </c>
      <c r="Z16" s="216">
        <f t="shared" si="11"/>
        <v>5</v>
      </c>
      <c r="AA16" s="216">
        <f t="shared" si="12"/>
        <v>8.5</v>
      </c>
      <c r="AB16" s="12"/>
      <c r="AF16" s="12"/>
    </row>
    <row r="17" spans="1:32" x14ac:dyDescent="0.25">
      <c r="A17" s="27">
        <v>43589</v>
      </c>
      <c r="B17" s="199">
        <v>12</v>
      </c>
      <c r="C17" s="27" t="s">
        <v>525</v>
      </c>
      <c r="D17" s="27" t="s">
        <v>522</v>
      </c>
      <c r="E17" s="27" t="s">
        <v>569</v>
      </c>
      <c r="F17" s="199">
        <v>0</v>
      </c>
      <c r="G17" s="199">
        <v>0</v>
      </c>
      <c r="H17" s="199">
        <v>19</v>
      </c>
      <c r="I17" s="199">
        <v>10</v>
      </c>
      <c r="J17" s="199">
        <v>23</v>
      </c>
      <c r="K17" s="199">
        <v>10</v>
      </c>
      <c r="L17" s="199">
        <v>7</v>
      </c>
      <c r="M17" s="199">
        <v>5</v>
      </c>
      <c r="N17" s="121"/>
      <c r="O17" s="34" t="str">
        <f t="shared" si="0"/>
        <v>Shrewsbury</v>
      </c>
      <c r="P17" s="34" t="str">
        <f t="shared" si="1"/>
        <v>Walsall</v>
      </c>
      <c r="Q17" s="33" t="str">
        <f t="shared" si="2"/>
        <v>0</v>
      </c>
      <c r="R17" s="34" t="str">
        <f t="shared" si="3"/>
        <v>0</v>
      </c>
      <c r="S17" s="29" t="str">
        <f t="shared" si="4"/>
        <v>Shrewsbury  v  Walsall   19/10  23/10  7/5</v>
      </c>
      <c r="T17" s="32" t="str">
        <f t="shared" si="5"/>
        <v xml:space="preserve">Shrewsbury 0-0 Walsall </v>
      </c>
      <c r="U17" t="str">
        <f t="shared" si="9"/>
        <v>19/10  23/10  7/5</v>
      </c>
      <c r="V17" s="18" t="str">
        <f t="shared" si="6"/>
        <v>19/10</v>
      </c>
      <c r="W17" s="18" t="str">
        <f t="shared" si="7"/>
        <v>23/10</v>
      </c>
      <c r="X17" s="18" t="str">
        <f t="shared" si="8"/>
        <v>7/5</v>
      </c>
      <c r="Y17" s="216">
        <f t="shared" si="10"/>
        <v>2.9</v>
      </c>
      <c r="Z17" s="216">
        <f t="shared" si="11"/>
        <v>3.3</v>
      </c>
      <c r="AA17" s="216">
        <f t="shared" si="12"/>
        <v>2.4</v>
      </c>
      <c r="AB17" s="12"/>
      <c r="AF17" s="12"/>
    </row>
    <row r="18" spans="1:32" x14ac:dyDescent="0.25">
      <c r="A18" s="27">
        <v>43589</v>
      </c>
      <c r="B18" s="199">
        <v>12</v>
      </c>
      <c r="C18" s="27" t="s">
        <v>525</v>
      </c>
      <c r="D18" s="27" t="s">
        <v>557</v>
      </c>
      <c r="E18" s="27" t="s">
        <v>194</v>
      </c>
      <c r="F18" s="199">
        <v>2</v>
      </c>
      <c r="G18" s="199">
        <v>1</v>
      </c>
      <c r="H18" s="199">
        <v>11</v>
      </c>
      <c r="I18" s="199">
        <v>5</v>
      </c>
      <c r="J18" s="199">
        <v>12</v>
      </c>
      <c r="K18" s="199">
        <v>5</v>
      </c>
      <c r="L18" s="199">
        <v>6</v>
      </c>
      <c r="M18" s="199">
        <v>5</v>
      </c>
      <c r="N18" s="120"/>
      <c r="O18" s="34" t="str">
        <f t="shared" si="0"/>
        <v>Southend</v>
      </c>
      <c r="P18" s="34" t="str">
        <f t="shared" si="1"/>
        <v>Sunderland</v>
      </c>
      <c r="Q18" s="33" t="str">
        <f t="shared" si="2"/>
        <v>2</v>
      </c>
      <c r="R18" s="34" t="str">
        <f t="shared" si="3"/>
        <v>1</v>
      </c>
      <c r="S18" s="29" t="str">
        <f t="shared" si="4"/>
        <v>Southend  v  Sunderland   11/5  12/5  6/5</v>
      </c>
      <c r="T18" s="32" t="str">
        <f t="shared" si="5"/>
        <v xml:space="preserve">Southend 2-1 Sunderland </v>
      </c>
      <c r="U18" t="str">
        <f t="shared" si="9"/>
        <v>11/5  12/5  6/5</v>
      </c>
      <c r="V18" s="18" t="str">
        <f t="shared" si="6"/>
        <v>11/5</v>
      </c>
      <c r="W18" s="18" t="str">
        <f t="shared" si="7"/>
        <v>12/5</v>
      </c>
      <c r="X18" s="18" t="str">
        <f t="shared" si="8"/>
        <v>6/5</v>
      </c>
      <c r="Y18" s="216">
        <f t="shared" si="10"/>
        <v>3.2</v>
      </c>
      <c r="Z18" s="216">
        <f t="shared" si="11"/>
        <v>3.4</v>
      </c>
      <c r="AA18" s="216">
        <f t="shared" si="12"/>
        <v>2.2000000000000002</v>
      </c>
      <c r="AB18" s="12"/>
      <c r="AF18" s="12"/>
    </row>
    <row r="19" spans="1:32" x14ac:dyDescent="0.25">
      <c r="A19" s="27">
        <v>43589</v>
      </c>
      <c r="B19" s="199">
        <v>12</v>
      </c>
      <c r="C19" s="27" t="s">
        <v>525</v>
      </c>
      <c r="D19" s="27" t="s">
        <v>614</v>
      </c>
      <c r="E19" s="27" t="s">
        <v>612</v>
      </c>
      <c r="F19" s="199">
        <v>1</v>
      </c>
      <c r="G19" s="199">
        <v>0</v>
      </c>
      <c r="H19" s="199">
        <v>21</v>
      </c>
      <c r="I19" s="199">
        <v>20</v>
      </c>
      <c r="J19" s="199">
        <v>23</v>
      </c>
      <c r="K19" s="199">
        <v>10</v>
      </c>
      <c r="L19" s="199">
        <v>27</v>
      </c>
      <c r="M19" s="199">
        <v>10</v>
      </c>
      <c r="N19" s="121"/>
      <c r="O19" s="34" t="str">
        <f t="shared" si="0"/>
        <v>Wycombe</v>
      </c>
      <c r="P19" s="34" t="str">
        <f t="shared" si="1"/>
        <v>Fleetwood</v>
      </c>
      <c r="Q19" s="33" t="str">
        <f t="shared" si="2"/>
        <v>1</v>
      </c>
      <c r="R19" s="34" t="str">
        <f t="shared" si="3"/>
        <v>0</v>
      </c>
      <c r="S19" s="29" t="str">
        <f t="shared" si="4"/>
        <v>Wycombe  v  Fleetwood   21/20  23/10  27/10</v>
      </c>
      <c r="T19" s="32" t="str">
        <f t="shared" si="5"/>
        <v xml:space="preserve">Wycombe 1-0 Fleetwood </v>
      </c>
      <c r="U19" t="str">
        <f t="shared" si="9"/>
        <v>21/20  23/10  27/10</v>
      </c>
      <c r="V19" s="18" t="str">
        <f t="shared" si="6"/>
        <v>21/20</v>
      </c>
      <c r="W19" s="18" t="str">
        <f t="shared" si="7"/>
        <v>23/10</v>
      </c>
      <c r="X19" s="18" t="str">
        <f t="shared" si="8"/>
        <v>27/10</v>
      </c>
      <c r="Y19" s="216">
        <f t="shared" si="10"/>
        <v>2.0499999999999998</v>
      </c>
      <c r="Z19" s="216">
        <f t="shared" si="11"/>
        <v>3.3</v>
      </c>
      <c r="AA19" s="216">
        <f t="shared" si="12"/>
        <v>3.7</v>
      </c>
      <c r="AB19" s="12"/>
      <c r="AF19" s="12"/>
    </row>
    <row r="20" spans="1:32" x14ac:dyDescent="0.25">
      <c r="A20" s="27">
        <v>43589</v>
      </c>
      <c r="B20" s="199">
        <v>13</v>
      </c>
      <c r="C20" s="27" t="s">
        <v>528</v>
      </c>
      <c r="D20" s="27" t="s">
        <v>449</v>
      </c>
      <c r="E20" s="27" t="s">
        <v>563</v>
      </c>
      <c r="F20" s="199">
        <v>1</v>
      </c>
      <c r="G20" s="199">
        <v>1</v>
      </c>
      <c r="H20" s="199">
        <v>1</v>
      </c>
      <c r="I20" s="199">
        <v>2</v>
      </c>
      <c r="J20" s="199">
        <v>10</v>
      </c>
      <c r="K20" s="199">
        <v>3</v>
      </c>
      <c r="L20" s="199">
        <v>6</v>
      </c>
      <c r="M20" s="199">
        <v>1</v>
      </c>
      <c r="N20" s="121"/>
      <c r="O20" s="34" t="str">
        <f t="shared" si="0"/>
        <v>Bury</v>
      </c>
      <c r="P20" s="34" t="str">
        <f t="shared" si="1"/>
        <v>Port Vale</v>
      </c>
      <c r="Q20" s="33" t="str">
        <f t="shared" si="2"/>
        <v>1</v>
      </c>
      <c r="R20" s="34" t="str">
        <f t="shared" si="3"/>
        <v>1</v>
      </c>
      <c r="S20" s="29" t="str">
        <f t="shared" si="4"/>
        <v>Bury  v  Port Vale   1/2  10/3  6/1</v>
      </c>
      <c r="T20" s="32" t="str">
        <f t="shared" si="5"/>
        <v xml:space="preserve">Bury 1-1 Port Vale </v>
      </c>
      <c r="U20" t="str">
        <f t="shared" si="9"/>
        <v>1/2  10/3  6/1</v>
      </c>
      <c r="V20" s="18" t="str">
        <f t="shared" si="6"/>
        <v>1/2</v>
      </c>
      <c r="W20" s="18" t="str">
        <f t="shared" si="7"/>
        <v>10/3</v>
      </c>
      <c r="X20" s="18" t="str">
        <f t="shared" si="8"/>
        <v>6/1</v>
      </c>
      <c r="Y20" s="216">
        <f t="shared" si="10"/>
        <v>1.5</v>
      </c>
      <c r="Z20" s="216">
        <f t="shared" si="11"/>
        <v>4.3333333333333339</v>
      </c>
      <c r="AA20" s="216">
        <f t="shared" si="12"/>
        <v>7</v>
      </c>
      <c r="AB20" s="12"/>
      <c r="AF20" s="12"/>
    </row>
    <row r="21" spans="1:32" x14ac:dyDescent="0.25">
      <c r="A21" s="27">
        <v>43589</v>
      </c>
      <c r="B21" s="199">
        <v>13</v>
      </c>
      <c r="C21" s="27" t="s">
        <v>528</v>
      </c>
      <c r="D21" s="27" t="s">
        <v>532</v>
      </c>
      <c r="E21" s="27" t="s">
        <v>519</v>
      </c>
      <c r="F21" s="199">
        <v>3</v>
      </c>
      <c r="G21" s="199">
        <v>1</v>
      </c>
      <c r="H21" s="199">
        <v>3</v>
      </c>
      <c r="I21" s="199">
        <v>1</v>
      </c>
      <c r="J21" s="199">
        <v>13</v>
      </c>
      <c r="K21" s="199">
        <v>5</v>
      </c>
      <c r="L21" s="199">
        <v>1</v>
      </c>
      <c r="M21" s="199">
        <v>1</v>
      </c>
      <c r="N21" s="120"/>
      <c r="O21" s="34" t="str">
        <f t="shared" si="0"/>
        <v>Crawley</v>
      </c>
      <c r="P21" s="34" t="str">
        <f t="shared" si="1"/>
        <v>Tranmere</v>
      </c>
      <c r="Q21" s="33" t="str">
        <f t="shared" si="2"/>
        <v>3</v>
      </c>
      <c r="R21" s="34" t="str">
        <f t="shared" si="3"/>
        <v>1</v>
      </c>
      <c r="S21" s="29" t="str">
        <f t="shared" si="4"/>
        <v>Crawley  v  Tranmere   3/1  13/5  1/1</v>
      </c>
      <c r="T21" s="32" t="str">
        <f t="shared" si="5"/>
        <v xml:space="preserve">Crawley 3-1 Tranmere </v>
      </c>
      <c r="U21" t="str">
        <f t="shared" si="9"/>
        <v>3/1  13/5  1/1</v>
      </c>
      <c r="V21" s="18" t="str">
        <f t="shared" si="6"/>
        <v>3/1</v>
      </c>
      <c r="W21" s="18" t="str">
        <f t="shared" si="7"/>
        <v>13/5</v>
      </c>
      <c r="X21" s="18" t="str">
        <f t="shared" si="8"/>
        <v>1/1</v>
      </c>
      <c r="Y21" s="216">
        <f t="shared" si="10"/>
        <v>4</v>
      </c>
      <c r="Z21" s="216">
        <f t="shared" si="11"/>
        <v>3.6</v>
      </c>
      <c r="AA21" s="216">
        <f t="shared" si="12"/>
        <v>2</v>
      </c>
      <c r="AB21" s="12"/>
      <c r="AF21" s="12"/>
    </row>
    <row r="22" spans="1:32" x14ac:dyDescent="0.25">
      <c r="A22" s="27">
        <v>43589</v>
      </c>
      <c r="B22" s="199">
        <v>13</v>
      </c>
      <c r="C22" s="27" t="s">
        <v>528</v>
      </c>
      <c r="D22" s="27" t="s">
        <v>562</v>
      </c>
      <c r="E22" s="27" t="s">
        <v>560</v>
      </c>
      <c r="F22" s="199">
        <v>0</v>
      </c>
      <c r="G22" s="199">
        <v>0</v>
      </c>
      <c r="H22" s="199">
        <v>6</v>
      </c>
      <c r="I22" s="199">
        <v>4</v>
      </c>
      <c r="J22" s="199">
        <v>12</v>
      </c>
      <c r="K22" s="199">
        <v>5</v>
      </c>
      <c r="L22" s="199">
        <v>2</v>
      </c>
      <c r="M22" s="199">
        <v>1</v>
      </c>
      <c r="N22" s="121"/>
      <c r="O22" s="34" t="str">
        <f t="shared" si="0"/>
        <v>Forest Green</v>
      </c>
      <c r="P22" s="34" t="str">
        <f t="shared" si="1"/>
        <v>Exeter</v>
      </c>
      <c r="Q22" s="33" t="str">
        <f t="shared" si="2"/>
        <v>0</v>
      </c>
      <c r="R22" s="34" t="str">
        <f t="shared" si="3"/>
        <v>0</v>
      </c>
      <c r="S22" s="29" t="str">
        <f t="shared" si="4"/>
        <v>Forest Green  v  Exeter   6/4  12/5  2/1</v>
      </c>
      <c r="T22" s="32" t="str">
        <f t="shared" si="5"/>
        <v xml:space="preserve">Forest Green 0-0 Exeter </v>
      </c>
      <c r="U22" t="str">
        <f t="shared" si="9"/>
        <v>6/4  12/5  2/1</v>
      </c>
      <c r="V22" s="18" t="str">
        <f t="shared" si="6"/>
        <v>6/4</v>
      </c>
      <c r="W22" s="18" t="str">
        <f t="shared" si="7"/>
        <v>12/5</v>
      </c>
      <c r="X22" s="18" t="str">
        <f t="shared" si="8"/>
        <v>2/1</v>
      </c>
      <c r="Y22" s="216">
        <f t="shared" si="10"/>
        <v>2.5</v>
      </c>
      <c r="Z22" s="216">
        <f t="shared" si="11"/>
        <v>3.4</v>
      </c>
      <c r="AA22" s="216">
        <f t="shared" si="12"/>
        <v>3</v>
      </c>
      <c r="AB22" s="12"/>
      <c r="AF22" s="12"/>
    </row>
    <row r="23" spans="1:32" x14ac:dyDescent="0.25">
      <c r="A23" s="27">
        <v>43589</v>
      </c>
      <c r="B23" s="199">
        <v>13</v>
      </c>
      <c r="C23" s="27" t="s">
        <v>528</v>
      </c>
      <c r="D23" s="27" t="s">
        <v>529</v>
      </c>
      <c r="E23" s="27" t="s">
        <v>564</v>
      </c>
      <c r="F23" s="199">
        <v>2</v>
      </c>
      <c r="G23" s="199">
        <v>0</v>
      </c>
      <c r="H23" s="199">
        <v>6</v>
      </c>
      <c r="I23" s="199">
        <v>4</v>
      </c>
      <c r="J23" s="199">
        <v>13</v>
      </c>
      <c r="K23" s="199">
        <v>5</v>
      </c>
      <c r="L23" s="199">
        <v>2</v>
      </c>
      <c r="M23" s="199">
        <v>1</v>
      </c>
      <c r="N23" s="120"/>
      <c r="O23" s="34" t="str">
        <f t="shared" si="0"/>
        <v>Grimsby</v>
      </c>
      <c r="P23" s="34" t="str">
        <f t="shared" si="1"/>
        <v>Crewe</v>
      </c>
      <c r="Q23" s="33" t="str">
        <f t="shared" si="2"/>
        <v>2</v>
      </c>
      <c r="R23" s="34" t="str">
        <f t="shared" si="3"/>
        <v>0</v>
      </c>
      <c r="S23" s="29" t="str">
        <f t="shared" si="4"/>
        <v>Grimsby  v  Crewe   6/4  13/5  2/1</v>
      </c>
      <c r="T23" s="32" t="str">
        <f t="shared" si="5"/>
        <v xml:space="preserve">Grimsby 2-0 Crewe </v>
      </c>
      <c r="U23" t="str">
        <f t="shared" si="9"/>
        <v>6/4  13/5  2/1</v>
      </c>
      <c r="V23" s="18" t="str">
        <f t="shared" si="6"/>
        <v>6/4</v>
      </c>
      <c r="W23" s="18" t="str">
        <f t="shared" si="7"/>
        <v>13/5</v>
      </c>
      <c r="X23" s="18" t="str">
        <f t="shared" si="8"/>
        <v>2/1</v>
      </c>
      <c r="Y23" s="216">
        <f t="shared" si="10"/>
        <v>2.5</v>
      </c>
      <c r="Z23" s="216">
        <f t="shared" si="11"/>
        <v>3.6</v>
      </c>
      <c r="AA23" s="216">
        <f t="shared" si="12"/>
        <v>3</v>
      </c>
      <c r="AB23" s="12"/>
      <c r="AF23" s="12"/>
    </row>
    <row r="24" spans="1:32" x14ac:dyDescent="0.25">
      <c r="A24" s="27">
        <v>43589</v>
      </c>
      <c r="B24" s="199">
        <v>13</v>
      </c>
      <c r="C24" s="27" t="s">
        <v>528</v>
      </c>
      <c r="D24" s="27" t="s">
        <v>582</v>
      </c>
      <c r="E24" s="27" t="s">
        <v>530</v>
      </c>
      <c r="F24" s="199">
        <v>0</v>
      </c>
      <c r="G24" s="199">
        <v>3</v>
      </c>
      <c r="H24" s="199">
        <v>5</v>
      </c>
      <c r="I24" s="199">
        <v>4</v>
      </c>
      <c r="J24" s="199">
        <v>12</v>
      </c>
      <c r="K24" s="199">
        <v>5</v>
      </c>
      <c r="L24" s="199">
        <v>23</v>
      </c>
      <c r="M24" s="199">
        <v>10</v>
      </c>
      <c r="N24" s="120"/>
      <c r="O24" s="34" t="str">
        <f t="shared" si="0"/>
        <v>Lincoln</v>
      </c>
      <c r="P24" s="34" t="str">
        <f t="shared" si="1"/>
        <v>Colchester</v>
      </c>
      <c r="Q24" s="33" t="str">
        <f t="shared" si="2"/>
        <v>0</v>
      </c>
      <c r="R24" s="34" t="str">
        <f t="shared" si="3"/>
        <v>3</v>
      </c>
      <c r="S24" s="29" t="str">
        <f t="shared" si="4"/>
        <v>Lincoln  v  Colchester   5/4  12/5  23/10</v>
      </c>
      <c r="T24" s="32" t="str">
        <f t="shared" si="5"/>
        <v xml:space="preserve">Lincoln 0-3 Colchester </v>
      </c>
      <c r="U24" t="str">
        <f t="shared" si="9"/>
        <v>5/4  12/5  23/10</v>
      </c>
      <c r="V24" s="18" t="str">
        <f t="shared" si="6"/>
        <v>5/4</v>
      </c>
      <c r="W24" s="18" t="str">
        <f t="shared" si="7"/>
        <v>12/5</v>
      </c>
      <c r="X24" s="18" t="str">
        <f t="shared" si="8"/>
        <v>23/10</v>
      </c>
      <c r="Y24" s="216">
        <f t="shared" si="10"/>
        <v>2.25</v>
      </c>
      <c r="Z24" s="216">
        <f t="shared" si="11"/>
        <v>3.4</v>
      </c>
      <c r="AA24" s="216">
        <f t="shared" si="12"/>
        <v>3.3</v>
      </c>
      <c r="AB24" s="12"/>
      <c r="AF24" s="12"/>
    </row>
    <row r="25" spans="1:32" x14ac:dyDescent="0.25">
      <c r="A25" s="27">
        <v>43589</v>
      </c>
      <c r="B25" s="199">
        <v>13</v>
      </c>
      <c r="C25" s="27" t="s">
        <v>528</v>
      </c>
      <c r="D25" s="27" t="s">
        <v>531</v>
      </c>
      <c r="E25" s="27" t="s">
        <v>533</v>
      </c>
      <c r="F25" s="199">
        <v>1</v>
      </c>
      <c r="G25" s="199">
        <v>1</v>
      </c>
      <c r="H25" s="199">
        <v>16</v>
      </c>
      <c r="I25" s="199">
        <v>11</v>
      </c>
      <c r="J25" s="199">
        <v>9</v>
      </c>
      <c r="K25" s="199">
        <v>4</v>
      </c>
      <c r="L25" s="199">
        <v>21</v>
      </c>
      <c r="M25" s="199">
        <v>10</v>
      </c>
      <c r="N25" s="120"/>
      <c r="O25" s="34" t="str">
        <f t="shared" si="0"/>
        <v>Macclesfield</v>
      </c>
      <c r="P25" s="34" t="str">
        <f t="shared" si="1"/>
        <v>Cambridge</v>
      </c>
      <c r="Q25" s="33" t="str">
        <f t="shared" si="2"/>
        <v>1</v>
      </c>
      <c r="R25" s="34" t="str">
        <f t="shared" si="3"/>
        <v>1</v>
      </c>
      <c r="S25" s="29" t="str">
        <f t="shared" si="4"/>
        <v>Macclesfield  v  Cambridge   16/11  9/4  21/10</v>
      </c>
      <c r="T25" s="32" t="str">
        <f t="shared" si="5"/>
        <v xml:space="preserve">Macclesfield 1-1 Cambridge </v>
      </c>
      <c r="U25" t="str">
        <f t="shared" si="9"/>
        <v>16/11  9/4  21/10</v>
      </c>
      <c r="V25" s="18" t="str">
        <f t="shared" si="6"/>
        <v>16/11</v>
      </c>
      <c r="W25" s="18" t="str">
        <f t="shared" si="7"/>
        <v>9/4</v>
      </c>
      <c r="X25" s="18" t="str">
        <f t="shared" si="8"/>
        <v>21/10</v>
      </c>
      <c r="Y25" s="216">
        <f t="shared" si="10"/>
        <v>2.4545454545454546</v>
      </c>
      <c r="Z25" s="216">
        <f t="shared" si="11"/>
        <v>3.25</v>
      </c>
      <c r="AA25" s="216">
        <f t="shared" si="12"/>
        <v>3.1</v>
      </c>
      <c r="AB25" s="12"/>
      <c r="AF25" s="12"/>
    </row>
    <row r="26" spans="1:32" x14ac:dyDescent="0.25">
      <c r="A26" s="27">
        <v>43589</v>
      </c>
      <c r="B26" s="199">
        <v>13</v>
      </c>
      <c r="C26" s="27" t="s">
        <v>528</v>
      </c>
      <c r="D26" s="27" t="s">
        <v>559</v>
      </c>
      <c r="E26" s="27" t="s">
        <v>583</v>
      </c>
      <c r="F26" s="199">
        <v>1</v>
      </c>
      <c r="G26" s="199">
        <v>0</v>
      </c>
      <c r="H26" s="199">
        <v>6</v>
      </c>
      <c r="I26" s="199">
        <v>5</v>
      </c>
      <c r="J26" s="199">
        <v>23</v>
      </c>
      <c r="K26" s="199">
        <v>10</v>
      </c>
      <c r="L26" s="199">
        <v>5</v>
      </c>
      <c r="M26" s="199">
        <v>2</v>
      </c>
      <c r="N26" s="121"/>
      <c r="O26" s="34" t="str">
        <f t="shared" si="0"/>
        <v>MK Dons</v>
      </c>
      <c r="P26" s="34" t="str">
        <f t="shared" si="1"/>
        <v>Mansfield</v>
      </c>
      <c r="Q26" s="33" t="str">
        <f t="shared" si="2"/>
        <v>1</v>
      </c>
      <c r="R26" s="34" t="str">
        <f t="shared" si="3"/>
        <v>0</v>
      </c>
      <c r="S26" s="29" t="str">
        <f t="shared" si="4"/>
        <v>MK Dons  v  Mansfield   6/5  23/10  5/2</v>
      </c>
      <c r="T26" s="32" t="str">
        <f t="shared" si="5"/>
        <v xml:space="preserve">MK Dons 1-0 Mansfield </v>
      </c>
      <c r="U26" t="str">
        <f t="shared" si="9"/>
        <v>6/5  23/10  5/2</v>
      </c>
      <c r="V26" s="18" t="str">
        <f t="shared" si="6"/>
        <v>6/5</v>
      </c>
      <c r="W26" s="18" t="str">
        <f t="shared" si="7"/>
        <v>23/10</v>
      </c>
      <c r="X26" s="18" t="str">
        <f t="shared" si="8"/>
        <v>5/2</v>
      </c>
      <c r="Y26" s="216">
        <f t="shared" si="10"/>
        <v>2.2000000000000002</v>
      </c>
      <c r="Z26" s="216">
        <f t="shared" si="11"/>
        <v>3.3</v>
      </c>
      <c r="AA26" s="216">
        <f t="shared" si="12"/>
        <v>3.5</v>
      </c>
      <c r="AB26" s="12"/>
      <c r="AF26" s="12"/>
    </row>
    <row r="27" spans="1:32" x14ac:dyDescent="0.25">
      <c r="A27" s="27">
        <v>43589</v>
      </c>
      <c r="B27" s="199">
        <v>13</v>
      </c>
      <c r="C27" s="27" t="s">
        <v>528</v>
      </c>
      <c r="D27" s="27" t="s">
        <v>565</v>
      </c>
      <c r="E27" s="27" t="s">
        <v>616</v>
      </c>
      <c r="F27" s="199">
        <v>1</v>
      </c>
      <c r="G27" s="199">
        <v>1</v>
      </c>
      <c r="H27" s="199">
        <v>12</v>
      </c>
      <c r="I27" s="199">
        <v>5</v>
      </c>
      <c r="J27" s="199">
        <v>13</v>
      </c>
      <c r="K27" s="199">
        <v>5</v>
      </c>
      <c r="L27" s="199">
        <v>15</v>
      </c>
      <c r="M27" s="199">
        <v>13</v>
      </c>
      <c r="N27" s="120"/>
      <c r="O27" s="34" t="str">
        <f t="shared" si="0"/>
        <v>Morecambe</v>
      </c>
      <c r="P27" s="34" t="str">
        <f t="shared" si="1"/>
        <v>Newport</v>
      </c>
      <c r="Q27" s="33" t="str">
        <f t="shared" si="2"/>
        <v>1</v>
      </c>
      <c r="R27" s="34" t="str">
        <f t="shared" si="3"/>
        <v>1</v>
      </c>
      <c r="S27" s="29" t="str">
        <f t="shared" si="4"/>
        <v>Morecambe  v  Newport   12/5  13/5  15/13</v>
      </c>
      <c r="T27" s="32" t="str">
        <f t="shared" si="5"/>
        <v xml:space="preserve">Morecambe 1-1 Newport </v>
      </c>
      <c r="U27" t="str">
        <f t="shared" si="9"/>
        <v>12/5  13/5  15/13</v>
      </c>
      <c r="V27" s="18" t="str">
        <f t="shared" si="6"/>
        <v>12/5</v>
      </c>
      <c r="W27" s="18" t="str">
        <f t="shared" si="7"/>
        <v>13/5</v>
      </c>
      <c r="X27" s="18" t="str">
        <f t="shared" si="8"/>
        <v>15/13</v>
      </c>
      <c r="Y27" s="216">
        <f t="shared" si="10"/>
        <v>3.4</v>
      </c>
      <c r="Z27" s="216">
        <f t="shared" si="11"/>
        <v>3.6</v>
      </c>
      <c r="AA27" s="216">
        <f t="shared" si="12"/>
        <v>2.1538461538461537</v>
      </c>
      <c r="AB27" s="12"/>
      <c r="AF27" s="12"/>
    </row>
    <row r="28" spans="1:32" x14ac:dyDescent="0.25">
      <c r="A28" s="27">
        <v>43589</v>
      </c>
      <c r="B28" s="199">
        <v>13</v>
      </c>
      <c r="C28" s="27" t="s">
        <v>528</v>
      </c>
      <c r="D28" s="27" t="s">
        <v>615</v>
      </c>
      <c r="E28" s="27" t="s">
        <v>561</v>
      </c>
      <c r="F28" s="199">
        <v>2</v>
      </c>
      <c r="G28" s="199">
        <v>5</v>
      </c>
      <c r="H28" s="199">
        <v>11</v>
      </c>
      <c r="I28" s="199">
        <v>10</v>
      </c>
      <c r="J28" s="199">
        <v>13</v>
      </c>
      <c r="K28" s="199">
        <v>5</v>
      </c>
      <c r="L28" s="199">
        <v>11</v>
      </c>
      <c r="M28" s="199">
        <v>4</v>
      </c>
      <c r="N28" s="121"/>
      <c r="O28" s="34" t="str">
        <f t="shared" si="0"/>
        <v>Oldham</v>
      </c>
      <c r="P28" s="34" t="str">
        <f t="shared" si="1"/>
        <v>Northampton</v>
      </c>
      <c r="Q28" s="33" t="str">
        <f t="shared" si="2"/>
        <v>2</v>
      </c>
      <c r="R28" s="34" t="str">
        <f t="shared" si="3"/>
        <v>5</v>
      </c>
      <c r="S28" s="29" t="str">
        <f t="shared" si="4"/>
        <v>Oldham  v  Northampton   11/10  13/5  11/4</v>
      </c>
      <c r="T28" s="32" t="str">
        <f t="shared" si="5"/>
        <v xml:space="preserve">Oldham 2-5 Northampton </v>
      </c>
      <c r="U28" t="str">
        <f t="shared" si="9"/>
        <v>11/10  13/5  11/4</v>
      </c>
      <c r="V28" s="18" t="str">
        <f t="shared" si="6"/>
        <v>11/10</v>
      </c>
      <c r="W28" s="18" t="str">
        <f t="shared" si="7"/>
        <v>13/5</v>
      </c>
      <c r="X28" s="18" t="str">
        <f t="shared" si="8"/>
        <v>11/4</v>
      </c>
      <c r="Y28" s="216">
        <f t="shared" si="10"/>
        <v>2.1</v>
      </c>
      <c r="Z28" s="216">
        <f t="shared" si="11"/>
        <v>3.6</v>
      </c>
      <c r="AA28" s="216">
        <f t="shared" si="12"/>
        <v>3.75</v>
      </c>
      <c r="AB28" s="12"/>
      <c r="AF28" s="12"/>
    </row>
    <row r="29" spans="1:32" x14ac:dyDescent="0.25">
      <c r="A29" s="27">
        <v>43589</v>
      </c>
      <c r="B29" s="199">
        <v>13</v>
      </c>
      <c r="C29" s="27" t="s">
        <v>528</v>
      </c>
      <c r="D29" s="27" t="s">
        <v>566</v>
      </c>
      <c r="E29" s="27" t="s">
        <v>581</v>
      </c>
      <c r="F29" s="199">
        <v>2</v>
      </c>
      <c r="G29" s="199">
        <v>0</v>
      </c>
      <c r="H29" s="199">
        <v>8</v>
      </c>
      <c r="I29" s="199">
        <v>13</v>
      </c>
      <c r="J29" s="199">
        <v>16</v>
      </c>
      <c r="K29" s="199">
        <v>5</v>
      </c>
      <c r="L29" s="199">
        <v>9</v>
      </c>
      <c r="M29" s="199">
        <v>2</v>
      </c>
      <c r="N29" s="121"/>
      <c r="O29" s="34" t="str">
        <f t="shared" si="0"/>
        <v>Stevenage</v>
      </c>
      <c r="P29" s="34" t="str">
        <f t="shared" si="1"/>
        <v>Cheltenham</v>
      </c>
      <c r="Q29" s="33" t="str">
        <f t="shared" si="2"/>
        <v>2</v>
      </c>
      <c r="R29" s="34" t="str">
        <f t="shared" si="3"/>
        <v>0</v>
      </c>
      <c r="S29" s="29" t="str">
        <f t="shared" si="4"/>
        <v>Stevenage  v  Cheltenham   8/13  16/5  9/2</v>
      </c>
      <c r="T29" s="32" t="str">
        <f t="shared" si="5"/>
        <v xml:space="preserve">Stevenage 2-0 Cheltenham </v>
      </c>
      <c r="U29" t="str">
        <f t="shared" si="9"/>
        <v>8/13  16/5  9/2</v>
      </c>
      <c r="V29" s="18" t="str">
        <f t="shared" si="6"/>
        <v>8/13</v>
      </c>
      <c r="W29" s="18" t="str">
        <f t="shared" si="7"/>
        <v>16/5</v>
      </c>
      <c r="X29" s="18" t="str">
        <f t="shared" si="8"/>
        <v>9/2</v>
      </c>
      <c r="Y29" s="216">
        <f t="shared" si="10"/>
        <v>1.6153846153846154</v>
      </c>
      <c r="Z29" s="216">
        <f t="shared" si="11"/>
        <v>4.2</v>
      </c>
      <c r="AA29" s="216">
        <f t="shared" si="12"/>
        <v>5.5</v>
      </c>
      <c r="AB29" s="12"/>
      <c r="AF29" s="12"/>
    </row>
    <row r="30" spans="1:32" x14ac:dyDescent="0.25">
      <c r="A30" s="27">
        <v>43589</v>
      </c>
      <c r="B30" s="199">
        <v>13</v>
      </c>
      <c r="C30" s="27" t="s">
        <v>528</v>
      </c>
      <c r="D30" s="27" t="s">
        <v>574</v>
      </c>
      <c r="E30" s="27" t="s">
        <v>570</v>
      </c>
      <c r="F30" s="199">
        <v>3</v>
      </c>
      <c r="G30" s="199">
        <v>1</v>
      </c>
      <c r="H30" s="199">
        <v>8</v>
      </c>
      <c r="I30" s="199">
        <v>5</v>
      </c>
      <c r="J30" s="199">
        <v>12</v>
      </c>
      <c r="K30" s="199">
        <v>5</v>
      </c>
      <c r="L30" s="199">
        <v>9</v>
      </c>
      <c r="M30" s="199">
        <v>5</v>
      </c>
      <c r="N30" s="120"/>
      <c r="O30" s="34" t="str">
        <f t="shared" si="0"/>
        <v>Swindon</v>
      </c>
      <c r="P30" s="34" t="str">
        <f t="shared" si="1"/>
        <v>Notts Co</v>
      </c>
      <c r="Q30" s="33" t="str">
        <f t="shared" si="2"/>
        <v>3</v>
      </c>
      <c r="R30" s="34" t="str">
        <f t="shared" si="3"/>
        <v>1</v>
      </c>
      <c r="S30" s="29" t="str">
        <f t="shared" si="4"/>
        <v>Swindon  v  Notts Co   8/5  12/5  9/5</v>
      </c>
      <c r="T30" s="32" t="str">
        <f t="shared" si="5"/>
        <v xml:space="preserve">Swindon 3-1 Notts Co </v>
      </c>
      <c r="U30" t="str">
        <f t="shared" si="9"/>
        <v>8/5  12/5  9/5</v>
      </c>
      <c r="V30" s="18" t="str">
        <f t="shared" si="6"/>
        <v>8/5</v>
      </c>
      <c r="W30" s="18" t="str">
        <f t="shared" si="7"/>
        <v>12/5</v>
      </c>
      <c r="X30" s="18" t="str">
        <f t="shared" si="8"/>
        <v>9/5</v>
      </c>
      <c r="Y30" s="216">
        <f t="shared" si="10"/>
        <v>2.6</v>
      </c>
      <c r="Z30" s="216">
        <f t="shared" si="11"/>
        <v>3.4</v>
      </c>
      <c r="AA30" s="216">
        <f t="shared" si="12"/>
        <v>2.8</v>
      </c>
      <c r="AB30" s="12"/>
      <c r="AF30" s="12"/>
    </row>
    <row r="31" spans="1:32" x14ac:dyDescent="0.25">
      <c r="A31" s="27">
        <v>43589</v>
      </c>
      <c r="B31" s="199">
        <v>13</v>
      </c>
      <c r="C31" s="27" t="s">
        <v>528</v>
      </c>
      <c r="D31" s="27" t="s">
        <v>571</v>
      </c>
      <c r="E31" s="27" t="s">
        <v>523</v>
      </c>
      <c r="F31" s="199">
        <v>0</v>
      </c>
      <c r="G31" s="199">
        <v>0</v>
      </c>
      <c r="H31" s="199">
        <v>3</v>
      </c>
      <c r="I31" s="199">
        <v>1</v>
      </c>
      <c r="J31" s="199">
        <v>13</v>
      </c>
      <c r="K31" s="199">
        <v>5</v>
      </c>
      <c r="L31" s="199">
        <v>19</v>
      </c>
      <c r="M31" s="199">
        <v>20</v>
      </c>
      <c r="N31" s="120"/>
      <c r="O31" s="34" t="str">
        <f t="shared" si="0"/>
        <v>Yeovil</v>
      </c>
      <c r="P31" s="34" t="str">
        <f t="shared" si="1"/>
        <v>Carlisle</v>
      </c>
      <c r="Q31" s="33" t="str">
        <f t="shared" si="2"/>
        <v>0</v>
      </c>
      <c r="R31" s="34" t="str">
        <f t="shared" si="3"/>
        <v>0</v>
      </c>
      <c r="S31" s="29" t="str">
        <f t="shared" si="4"/>
        <v>Yeovil  v  Carlisle   3/1  13/5  19/20</v>
      </c>
      <c r="T31" s="32" t="str">
        <f t="shared" si="5"/>
        <v xml:space="preserve">Yeovil 0-0 Carlisle </v>
      </c>
      <c r="U31" t="str">
        <f t="shared" si="9"/>
        <v>3/1  13/5  19/20</v>
      </c>
      <c r="V31" s="18" t="str">
        <f t="shared" si="6"/>
        <v>3/1</v>
      </c>
      <c r="W31" s="18" t="str">
        <f t="shared" si="7"/>
        <v>13/5</v>
      </c>
      <c r="X31" s="18" t="str">
        <f t="shared" si="8"/>
        <v>19/20</v>
      </c>
      <c r="Y31" s="216">
        <f t="shared" si="10"/>
        <v>4</v>
      </c>
      <c r="Z31" s="216">
        <f t="shared" si="11"/>
        <v>3.6</v>
      </c>
      <c r="AA31" s="216">
        <f t="shared" si="12"/>
        <v>1.95</v>
      </c>
      <c r="AB31" s="12"/>
      <c r="AF31" s="12"/>
    </row>
    <row r="32" spans="1:32" x14ac:dyDescent="0.25">
      <c r="A32" s="27">
        <v>43590</v>
      </c>
      <c r="B32" s="199">
        <v>10</v>
      </c>
      <c r="C32" s="27" t="s">
        <v>587</v>
      </c>
      <c r="D32" s="27" t="s">
        <v>618</v>
      </c>
      <c r="E32" s="27" t="s">
        <v>588</v>
      </c>
      <c r="F32" s="199">
        <v>1</v>
      </c>
      <c r="G32" s="199">
        <v>1</v>
      </c>
      <c r="H32" s="199">
        <v>7</v>
      </c>
      <c r="I32" s="199">
        <v>20</v>
      </c>
      <c r="J32" s="199">
        <v>19</v>
      </c>
      <c r="K32" s="199">
        <v>5</v>
      </c>
      <c r="L32" s="199">
        <v>17</v>
      </c>
      <c r="M32" s="199">
        <v>2</v>
      </c>
      <c r="N32" s="120"/>
      <c r="O32" s="34" t="str">
        <f t="shared" si="0"/>
        <v>Arsenal</v>
      </c>
      <c r="P32" s="34" t="str">
        <f t="shared" si="1"/>
        <v>Brighton</v>
      </c>
      <c r="Q32" s="33" t="str">
        <f t="shared" si="2"/>
        <v>1</v>
      </c>
      <c r="R32" s="34" t="str">
        <f t="shared" si="3"/>
        <v>1</v>
      </c>
      <c r="S32" s="29" t="str">
        <f t="shared" si="4"/>
        <v>Arsenal  v  Brighton   7/20  19/5  17/2</v>
      </c>
      <c r="T32" s="32" t="str">
        <f t="shared" si="5"/>
        <v xml:space="preserve">Arsenal 1-1 Brighton </v>
      </c>
      <c r="U32" t="str">
        <f t="shared" si="9"/>
        <v>7/20  19/5  17/2</v>
      </c>
      <c r="V32" s="18" t="str">
        <f t="shared" si="6"/>
        <v>7/20</v>
      </c>
      <c r="W32" s="18" t="str">
        <f t="shared" si="7"/>
        <v>19/5</v>
      </c>
      <c r="X32" s="18" t="str">
        <f t="shared" si="8"/>
        <v>17/2</v>
      </c>
      <c r="Y32" s="216">
        <f t="shared" si="10"/>
        <v>1.35</v>
      </c>
      <c r="Z32" s="216">
        <f t="shared" si="11"/>
        <v>4.8</v>
      </c>
      <c r="AA32" s="216">
        <f t="shared" si="12"/>
        <v>9.5</v>
      </c>
      <c r="AB32" s="12"/>
      <c r="AF32" s="12"/>
    </row>
    <row r="33" spans="1:32" x14ac:dyDescent="0.25">
      <c r="A33" s="27">
        <v>43590</v>
      </c>
      <c r="B33" s="199">
        <v>10</v>
      </c>
      <c r="C33" s="27" t="s">
        <v>587</v>
      </c>
      <c r="D33" s="27" t="s">
        <v>625</v>
      </c>
      <c r="E33" s="27" t="s">
        <v>21</v>
      </c>
      <c r="F33" s="199">
        <v>3</v>
      </c>
      <c r="G33" s="199">
        <v>0</v>
      </c>
      <c r="H33" s="199">
        <v>4</v>
      </c>
      <c r="I33" s="199">
        <v>9</v>
      </c>
      <c r="J33" s="199">
        <v>17</v>
      </c>
      <c r="K33" s="199">
        <v>4</v>
      </c>
      <c r="L33" s="199">
        <v>15</v>
      </c>
      <c r="M33" s="199">
        <v>2</v>
      </c>
      <c r="N33" s="121"/>
      <c r="O33" s="34" t="str">
        <f t="shared" ref="O33:O47" si="13">TRIM(D33)</f>
        <v>Chelsea</v>
      </c>
      <c r="P33" s="34" t="str">
        <f t="shared" ref="P33:P47" si="14">TRIM(E33)</f>
        <v>Watford</v>
      </c>
      <c r="Q33" s="33" t="str">
        <f t="shared" ref="Q33:Q47" si="15">TRIM(F33)</f>
        <v>3</v>
      </c>
      <c r="R33" s="34" t="str">
        <f t="shared" ref="R33:R47" si="16">TRIM(G33)</f>
        <v>0</v>
      </c>
      <c r="S33" s="29" t="str">
        <f t="shared" si="4"/>
        <v>Chelsea  v  Watford   4/9  17/4  15/2</v>
      </c>
      <c r="T33" s="32" t="str">
        <f t="shared" si="5"/>
        <v xml:space="preserve">Chelsea 3-0 Watford </v>
      </c>
      <c r="U33" t="str">
        <f t="shared" si="9"/>
        <v>4/9  17/4  15/2</v>
      </c>
      <c r="V33" s="18" t="str">
        <f t="shared" ref="V33:V47" si="17">CONCATENATE(H33,"/",I33)</f>
        <v>4/9</v>
      </c>
      <c r="W33" s="18" t="str">
        <f t="shared" ref="W33:W47" si="18">CONCATENATE(J33,"/",K33)</f>
        <v>17/4</v>
      </c>
      <c r="X33" s="18" t="str">
        <f t="shared" ref="X33:X47" si="19">CONCATENATE(L33,"/",M33)</f>
        <v>15/2</v>
      </c>
      <c r="Y33" s="216">
        <f t="shared" si="10"/>
        <v>1.4444444444444444</v>
      </c>
      <c r="Z33" s="216">
        <f t="shared" si="11"/>
        <v>5.25</v>
      </c>
      <c r="AA33" s="216">
        <f t="shared" si="12"/>
        <v>8.5</v>
      </c>
      <c r="AB33" s="12"/>
      <c r="AF33" s="12"/>
    </row>
    <row r="34" spans="1:32" x14ac:dyDescent="0.25">
      <c r="A34" s="27">
        <v>43590</v>
      </c>
      <c r="B34" s="199">
        <v>10</v>
      </c>
      <c r="C34" s="27" t="s">
        <v>587</v>
      </c>
      <c r="D34" s="27" t="s">
        <v>593</v>
      </c>
      <c r="E34" s="27" t="s">
        <v>621</v>
      </c>
      <c r="F34" s="199">
        <v>1</v>
      </c>
      <c r="G34" s="199">
        <v>1</v>
      </c>
      <c r="H34" s="199">
        <v>9</v>
      </c>
      <c r="I34" s="199">
        <v>1</v>
      </c>
      <c r="J34" s="199">
        <v>17</v>
      </c>
      <c r="K34" s="199">
        <v>4</v>
      </c>
      <c r="L34" s="199">
        <v>3</v>
      </c>
      <c r="M34" s="199">
        <v>10</v>
      </c>
      <c r="N34" s="121"/>
      <c r="O34" s="34" t="str">
        <f t="shared" si="13"/>
        <v>Huddersfield</v>
      </c>
      <c r="P34" s="34" t="str">
        <f t="shared" si="14"/>
        <v>Man U</v>
      </c>
      <c r="Q34" s="33" t="str">
        <f t="shared" si="15"/>
        <v>1</v>
      </c>
      <c r="R34" s="34" t="str">
        <f t="shared" si="16"/>
        <v>1</v>
      </c>
      <c r="S34" s="29" t="str">
        <f t="shared" si="4"/>
        <v>Huddersfield  v  Man U   9/1  17/4  3/10</v>
      </c>
      <c r="T34" s="32" t="str">
        <f t="shared" si="5"/>
        <v xml:space="preserve">Huddersfield 1-1 Man U </v>
      </c>
      <c r="U34" t="str">
        <f t="shared" si="9"/>
        <v>9/1  17/4  3/10</v>
      </c>
      <c r="V34" s="18" t="str">
        <f t="shared" si="17"/>
        <v>9/1</v>
      </c>
      <c r="W34" s="18" t="str">
        <f t="shared" si="18"/>
        <v>17/4</v>
      </c>
      <c r="X34" s="18" t="str">
        <f t="shared" si="19"/>
        <v>3/10</v>
      </c>
      <c r="Y34" s="216">
        <f t="shared" si="10"/>
        <v>10</v>
      </c>
      <c r="Z34" s="216">
        <f t="shared" si="11"/>
        <v>5.25</v>
      </c>
      <c r="AA34" s="216">
        <f t="shared" si="12"/>
        <v>1.3</v>
      </c>
      <c r="AB34" s="12"/>
      <c r="AF34" s="12"/>
    </row>
    <row r="35" spans="1:32" x14ac:dyDescent="0.25">
      <c r="A35" s="27">
        <v>43590</v>
      </c>
      <c r="B35" s="199">
        <v>11</v>
      </c>
      <c r="C35" s="27" t="s">
        <v>584</v>
      </c>
      <c r="D35" s="27" t="s">
        <v>610</v>
      </c>
      <c r="E35" s="27" t="s">
        <v>597</v>
      </c>
      <c r="F35" s="199">
        <v>2</v>
      </c>
      <c r="G35" s="199">
        <v>2</v>
      </c>
      <c r="H35" s="199">
        <v>6</v>
      </c>
      <c r="I35" s="199">
        <v>4</v>
      </c>
      <c r="J35" s="199">
        <v>5</v>
      </c>
      <c r="K35" s="199">
        <v>2</v>
      </c>
      <c r="L35" s="199">
        <v>7</v>
      </c>
      <c r="M35" s="199">
        <v>4</v>
      </c>
      <c r="N35" s="121"/>
      <c r="O35" s="34" t="str">
        <f t="shared" si="13"/>
        <v>Blackburn</v>
      </c>
      <c r="P35" s="34" t="str">
        <f t="shared" si="14"/>
        <v>Swansea</v>
      </c>
      <c r="Q35" s="33" t="str">
        <f t="shared" si="15"/>
        <v>2</v>
      </c>
      <c r="R35" s="34" t="str">
        <f t="shared" si="16"/>
        <v>2</v>
      </c>
      <c r="S35" s="29" t="str">
        <f t="shared" si="4"/>
        <v>Blackburn  v  Swansea   6/4  5/2  7/4</v>
      </c>
      <c r="T35" s="32" t="str">
        <f t="shared" si="5"/>
        <v xml:space="preserve">Blackburn 2-2 Swansea </v>
      </c>
      <c r="U35" t="str">
        <f t="shared" si="9"/>
        <v>6/4  5/2  7/4</v>
      </c>
      <c r="V35" s="18" t="str">
        <f t="shared" si="17"/>
        <v>6/4</v>
      </c>
      <c r="W35" s="18" t="str">
        <f t="shared" si="18"/>
        <v>5/2</v>
      </c>
      <c r="X35" s="18" t="str">
        <f t="shared" si="19"/>
        <v>7/4</v>
      </c>
      <c r="Y35" s="216">
        <f t="shared" si="10"/>
        <v>2.5</v>
      </c>
      <c r="Z35" s="216">
        <f t="shared" si="11"/>
        <v>3.5</v>
      </c>
      <c r="AA35" s="216">
        <f t="shared" si="12"/>
        <v>2.75</v>
      </c>
      <c r="AB35" s="12"/>
      <c r="AF35" s="12"/>
    </row>
    <row r="36" spans="1:32" x14ac:dyDescent="0.25">
      <c r="A36" s="27">
        <v>43590</v>
      </c>
      <c r="B36" s="199">
        <v>11</v>
      </c>
      <c r="C36" s="27" t="s">
        <v>584</v>
      </c>
      <c r="D36" s="27" t="s">
        <v>611</v>
      </c>
      <c r="E36" s="27" t="s">
        <v>604</v>
      </c>
      <c r="F36" s="199">
        <v>3</v>
      </c>
      <c r="G36" s="199">
        <v>0</v>
      </c>
      <c r="H36" s="199">
        <v>11</v>
      </c>
      <c r="I36" s="199">
        <v>10</v>
      </c>
      <c r="J36" s="199">
        <v>5</v>
      </c>
      <c r="K36" s="199">
        <v>2</v>
      </c>
      <c r="L36" s="199">
        <v>11</v>
      </c>
      <c r="M36" s="199">
        <v>4</v>
      </c>
      <c r="N36" s="121"/>
      <c r="O36" s="34" t="str">
        <f t="shared" si="13"/>
        <v>Brentford</v>
      </c>
      <c r="P36" s="34" t="str">
        <f t="shared" si="14"/>
        <v>Preston</v>
      </c>
      <c r="Q36" s="33" t="str">
        <f t="shared" si="15"/>
        <v>3</v>
      </c>
      <c r="R36" s="34" t="str">
        <f t="shared" si="16"/>
        <v>0</v>
      </c>
      <c r="S36" s="29" t="str">
        <f t="shared" si="4"/>
        <v>Brentford  v  Preston   11/10  5/2  11/4</v>
      </c>
      <c r="T36" s="32" t="str">
        <f t="shared" si="5"/>
        <v xml:space="preserve">Brentford 3-0 Preston </v>
      </c>
      <c r="U36" t="str">
        <f t="shared" si="9"/>
        <v>11/10  5/2  11/4</v>
      </c>
      <c r="V36" s="18" t="str">
        <f t="shared" si="17"/>
        <v>11/10</v>
      </c>
      <c r="W36" s="18" t="str">
        <f t="shared" si="18"/>
        <v>5/2</v>
      </c>
      <c r="X36" s="18" t="str">
        <f t="shared" si="19"/>
        <v>11/4</v>
      </c>
      <c r="Y36" s="216">
        <f t="shared" si="10"/>
        <v>2.1</v>
      </c>
      <c r="Z36" s="216">
        <f t="shared" si="11"/>
        <v>3.5</v>
      </c>
      <c r="AA36" s="216">
        <f t="shared" si="12"/>
        <v>3.75</v>
      </c>
      <c r="AB36" s="12"/>
      <c r="AF36" s="12"/>
    </row>
    <row r="37" spans="1:32" x14ac:dyDescent="0.25">
      <c r="A37" s="27">
        <v>43590</v>
      </c>
      <c r="B37" s="199">
        <v>11</v>
      </c>
      <c r="C37" s="23" t="s">
        <v>584</v>
      </c>
      <c r="D37" s="27" t="s">
        <v>595</v>
      </c>
      <c r="E37" s="27" t="s">
        <v>585</v>
      </c>
      <c r="F37" s="199">
        <v>3</v>
      </c>
      <c r="G37" s="199">
        <v>1</v>
      </c>
      <c r="H37" s="199">
        <v>5</v>
      </c>
      <c r="I37" s="199">
        <v>4</v>
      </c>
      <c r="J37" s="199">
        <v>5</v>
      </c>
      <c r="K37" s="199">
        <v>2</v>
      </c>
      <c r="L37" s="199">
        <v>9</v>
      </c>
      <c r="M37" s="199">
        <v>4</v>
      </c>
      <c r="N37" s="121"/>
      <c r="O37" s="34" t="str">
        <f t="shared" si="13"/>
        <v>Derby</v>
      </c>
      <c r="P37" s="34" t="str">
        <f t="shared" si="14"/>
        <v>West Brom</v>
      </c>
      <c r="Q37" s="33" t="str">
        <f t="shared" si="15"/>
        <v>3</v>
      </c>
      <c r="R37" s="34" t="str">
        <f t="shared" si="16"/>
        <v>1</v>
      </c>
      <c r="S37" s="29" t="str">
        <f t="shared" si="4"/>
        <v>Derby  v  West Brom   5/4  5/2  9/4</v>
      </c>
      <c r="T37" s="32" t="str">
        <f t="shared" si="5"/>
        <v xml:space="preserve">Derby 3-1 West Brom </v>
      </c>
      <c r="U37" t="str">
        <f t="shared" si="9"/>
        <v>5/4  5/2  9/4</v>
      </c>
      <c r="V37" s="18" t="str">
        <f t="shared" si="17"/>
        <v>5/4</v>
      </c>
      <c r="W37" s="18" t="str">
        <f t="shared" si="18"/>
        <v>5/2</v>
      </c>
      <c r="X37" s="18" t="str">
        <f t="shared" si="19"/>
        <v>9/4</v>
      </c>
      <c r="Y37" s="216">
        <f t="shared" si="10"/>
        <v>2.25</v>
      </c>
      <c r="Z37" s="216">
        <f t="shared" si="11"/>
        <v>3.5</v>
      </c>
      <c r="AA37" s="216">
        <f t="shared" si="12"/>
        <v>3.25</v>
      </c>
      <c r="AB37" s="12"/>
      <c r="AF37" s="12"/>
    </row>
    <row r="38" spans="1:32" x14ac:dyDescent="0.25">
      <c r="A38" s="27">
        <v>43590</v>
      </c>
      <c r="B38" s="199">
        <v>11</v>
      </c>
      <c r="C38" s="27" t="s">
        <v>584</v>
      </c>
      <c r="D38" s="27" t="s">
        <v>654</v>
      </c>
      <c r="E38" s="27" t="s">
        <v>22</v>
      </c>
      <c r="F38" s="199">
        <v>1</v>
      </c>
      <c r="G38" s="199">
        <v>0</v>
      </c>
      <c r="H38" s="199"/>
      <c r="I38" s="199"/>
      <c r="J38" s="199"/>
      <c r="K38" s="199"/>
      <c r="L38" s="199"/>
      <c r="M38" s="199"/>
      <c r="N38" s="121"/>
      <c r="O38" s="34" t="str">
        <f t="shared" si="13"/>
        <v>Forest</v>
      </c>
      <c r="P38" s="34" t="str">
        <f t="shared" si="14"/>
        <v>Bolton</v>
      </c>
      <c r="Q38" s="33" t="str">
        <f t="shared" si="15"/>
        <v>1</v>
      </c>
      <c r="R38" s="34" t="str">
        <f t="shared" si="16"/>
        <v>0</v>
      </c>
      <c r="S38" s="29" t="str">
        <f t="shared" si="4"/>
        <v>Forest  v  Bolton   /  /  /</v>
      </c>
      <c r="T38" s="32" t="str">
        <f t="shared" si="5"/>
        <v xml:space="preserve">Forest 1-0 Bolton </v>
      </c>
      <c r="U38" t="str">
        <f t="shared" si="9"/>
        <v>/  /  /</v>
      </c>
      <c r="V38" s="18" t="str">
        <f t="shared" si="17"/>
        <v>/</v>
      </c>
      <c r="W38" s="18" t="str">
        <f t="shared" si="18"/>
        <v>/</v>
      </c>
      <c r="X38" s="18" t="str">
        <f t="shared" si="19"/>
        <v>/</v>
      </c>
      <c r="Y38" s="216" t="e">
        <f t="shared" si="10"/>
        <v>#DIV/0!</v>
      </c>
      <c r="Z38" s="216" t="e">
        <f t="shared" si="11"/>
        <v>#DIV/0!</v>
      </c>
      <c r="AA38" s="216" t="e">
        <f t="shared" si="12"/>
        <v>#DIV/0!</v>
      </c>
      <c r="AB38" s="12"/>
      <c r="AF38" s="12"/>
    </row>
    <row r="39" spans="1:32" x14ac:dyDescent="0.25">
      <c r="A39" s="27">
        <v>43590</v>
      </c>
      <c r="B39" s="199">
        <v>11</v>
      </c>
      <c r="C39" s="27" t="s">
        <v>584</v>
      </c>
      <c r="D39" s="27" t="s">
        <v>599</v>
      </c>
      <c r="E39" s="27" t="s">
        <v>606</v>
      </c>
      <c r="F39" s="199">
        <v>1</v>
      </c>
      <c r="G39" s="199">
        <v>1</v>
      </c>
      <c r="H39" s="199">
        <v>2</v>
      </c>
      <c r="I39" s="199">
        <v>1</v>
      </c>
      <c r="J39" s="199">
        <v>5</v>
      </c>
      <c r="K39" s="199">
        <v>2</v>
      </c>
      <c r="L39" s="199">
        <v>7</v>
      </c>
      <c r="M39" s="199">
        <v>5</v>
      </c>
      <c r="N39" s="120"/>
      <c r="O39" s="34" t="str">
        <f t="shared" si="13"/>
        <v>Hull</v>
      </c>
      <c r="P39" s="34" t="str">
        <f t="shared" si="14"/>
        <v>Bristol C</v>
      </c>
      <c r="Q39" s="33" t="str">
        <f t="shared" si="15"/>
        <v>1</v>
      </c>
      <c r="R39" s="34" t="str">
        <f t="shared" si="16"/>
        <v>1</v>
      </c>
      <c r="S39" s="29" t="str">
        <f t="shared" si="4"/>
        <v>Hull  v  Bristol C   2/1  5/2  7/5</v>
      </c>
      <c r="T39" s="32" t="str">
        <f t="shared" si="5"/>
        <v xml:space="preserve">Hull 1-1 Bristol C </v>
      </c>
      <c r="U39" t="str">
        <f t="shared" si="9"/>
        <v>2/1  5/2  7/5</v>
      </c>
      <c r="V39" s="18" t="str">
        <f t="shared" si="17"/>
        <v>2/1</v>
      </c>
      <c r="W39" s="18" t="str">
        <f t="shared" si="18"/>
        <v>5/2</v>
      </c>
      <c r="X39" s="18" t="str">
        <f t="shared" si="19"/>
        <v>7/5</v>
      </c>
      <c r="Y39" s="216">
        <f t="shared" si="10"/>
        <v>3</v>
      </c>
      <c r="Z39" s="216">
        <f t="shared" si="11"/>
        <v>3.5</v>
      </c>
      <c r="AA39" s="216">
        <f t="shared" si="12"/>
        <v>2.4</v>
      </c>
      <c r="AB39" s="12"/>
      <c r="AF39" s="12"/>
    </row>
    <row r="40" spans="1:32" x14ac:dyDescent="0.25">
      <c r="A40" s="27">
        <v>43590</v>
      </c>
      <c r="B40" s="199">
        <v>11</v>
      </c>
      <c r="C40" s="27" t="s">
        <v>584</v>
      </c>
      <c r="D40" s="27" t="s">
        <v>598</v>
      </c>
      <c r="E40" s="27" t="s">
        <v>441</v>
      </c>
      <c r="F40" s="199">
        <v>3</v>
      </c>
      <c r="G40" s="199">
        <v>2</v>
      </c>
      <c r="H40" s="199">
        <v>4</v>
      </c>
      <c r="I40" s="199">
        <v>1</v>
      </c>
      <c r="J40" s="199">
        <v>37</v>
      </c>
      <c r="K40" s="199">
        <v>13</v>
      </c>
      <c r="L40" s="199">
        <v>9</v>
      </c>
      <c r="M40" s="199">
        <v>13</v>
      </c>
      <c r="N40" s="120"/>
      <c r="O40" s="34" t="str">
        <f t="shared" si="13"/>
        <v>Ipswich</v>
      </c>
      <c r="P40" s="34" t="str">
        <f t="shared" si="14"/>
        <v>Leeds</v>
      </c>
      <c r="Q40" s="33" t="str">
        <f t="shared" si="15"/>
        <v>3</v>
      </c>
      <c r="R40" s="34" t="str">
        <f t="shared" si="16"/>
        <v>2</v>
      </c>
      <c r="S40" s="29" t="str">
        <f t="shared" si="4"/>
        <v>Ipswich  v  Leeds   4/1  37/13  9/13</v>
      </c>
      <c r="T40" s="32" t="str">
        <f t="shared" si="5"/>
        <v xml:space="preserve">Ipswich 3-2 Leeds </v>
      </c>
      <c r="U40" t="str">
        <f t="shared" si="9"/>
        <v>4/1  37/13  9/13</v>
      </c>
      <c r="V40" s="18" t="str">
        <f t="shared" si="17"/>
        <v>4/1</v>
      </c>
      <c r="W40" s="18" t="str">
        <f t="shared" si="18"/>
        <v>37/13</v>
      </c>
      <c r="X40" s="18" t="str">
        <f t="shared" si="19"/>
        <v>9/13</v>
      </c>
      <c r="Y40" s="216">
        <f t="shared" si="10"/>
        <v>5</v>
      </c>
      <c r="Z40" s="216">
        <f t="shared" si="11"/>
        <v>3.8461538461538463</v>
      </c>
      <c r="AA40" s="216">
        <f t="shared" si="12"/>
        <v>1.6923076923076923</v>
      </c>
      <c r="AB40" s="12"/>
      <c r="AF40" s="12"/>
    </row>
    <row r="41" spans="1:32" x14ac:dyDescent="0.25">
      <c r="A41" s="27">
        <v>43590</v>
      </c>
      <c r="B41" s="199">
        <v>11</v>
      </c>
      <c r="C41" s="27" t="s">
        <v>584</v>
      </c>
      <c r="D41" s="27" t="s">
        <v>603</v>
      </c>
      <c r="E41" s="27" t="s">
        <v>586</v>
      </c>
      <c r="F41" s="199">
        <v>0</v>
      </c>
      <c r="G41" s="199">
        <v>0</v>
      </c>
      <c r="H41" s="199">
        <v>7</v>
      </c>
      <c r="I41" s="199">
        <v>4</v>
      </c>
      <c r="J41" s="199">
        <v>12</v>
      </c>
      <c r="K41" s="199">
        <v>5</v>
      </c>
      <c r="L41" s="199">
        <v>13</v>
      </c>
      <c r="M41" s="199">
        <v>8</v>
      </c>
      <c r="N41" s="121"/>
      <c r="O41" s="34" t="str">
        <f t="shared" si="13"/>
        <v>Reading</v>
      </c>
      <c r="P41" s="34" t="str">
        <f t="shared" si="14"/>
        <v>Birmingham</v>
      </c>
      <c r="Q41" s="33" t="str">
        <f t="shared" si="15"/>
        <v>0</v>
      </c>
      <c r="R41" s="34" t="str">
        <f t="shared" si="16"/>
        <v>0</v>
      </c>
      <c r="S41" s="29" t="str">
        <f t="shared" si="4"/>
        <v>Reading  v  Birmingham   7/4  12/5  13/8</v>
      </c>
      <c r="T41" s="32" t="str">
        <f t="shared" si="5"/>
        <v xml:space="preserve">Reading 0-0 Birmingham </v>
      </c>
      <c r="U41" t="str">
        <f t="shared" si="9"/>
        <v>7/4  12/5  13/8</v>
      </c>
      <c r="V41" s="18" t="str">
        <f t="shared" si="17"/>
        <v>7/4</v>
      </c>
      <c r="W41" s="18" t="str">
        <f t="shared" si="18"/>
        <v>12/5</v>
      </c>
      <c r="X41" s="18" t="str">
        <f t="shared" si="19"/>
        <v>13/8</v>
      </c>
      <c r="Y41" s="216">
        <f t="shared" si="10"/>
        <v>2.75</v>
      </c>
      <c r="Z41" s="216">
        <f t="shared" si="11"/>
        <v>3.4</v>
      </c>
      <c r="AA41" s="216">
        <f t="shared" si="12"/>
        <v>2.625</v>
      </c>
      <c r="AB41" s="12"/>
      <c r="AF41" s="12"/>
    </row>
    <row r="42" spans="1:32" x14ac:dyDescent="0.25">
      <c r="A42" s="27">
        <v>43590</v>
      </c>
      <c r="B42" s="199">
        <v>11</v>
      </c>
      <c r="C42" s="27" t="s">
        <v>584</v>
      </c>
      <c r="D42" s="27" t="s">
        <v>596</v>
      </c>
      <c r="E42" s="27" t="s">
        <v>34</v>
      </c>
      <c r="F42" s="199">
        <v>1</v>
      </c>
      <c r="G42" s="199">
        <v>2</v>
      </c>
      <c r="H42" s="199">
        <v>10</v>
      </c>
      <c r="I42" s="199">
        <v>3</v>
      </c>
      <c r="J42" s="199">
        <v>11</v>
      </c>
      <c r="K42" s="199">
        <v>4</v>
      </c>
      <c r="L42" s="199">
        <v>11</v>
      </c>
      <c r="M42" s="199">
        <v>13</v>
      </c>
      <c r="N42" s="121"/>
      <c r="O42" s="34" t="str">
        <f t="shared" si="13"/>
        <v>Rotherham</v>
      </c>
      <c r="P42" s="34" t="str">
        <f t="shared" si="14"/>
        <v>Middlesbro</v>
      </c>
      <c r="Q42" s="33" t="str">
        <f t="shared" si="15"/>
        <v>1</v>
      </c>
      <c r="R42" s="34" t="str">
        <f t="shared" si="16"/>
        <v>2</v>
      </c>
      <c r="S42" s="29" t="str">
        <f t="shared" si="4"/>
        <v>Rotherham  v  Middlesbro   10/3  11/4  11/13</v>
      </c>
      <c r="T42" s="32" t="str">
        <f t="shared" si="5"/>
        <v xml:space="preserve">Rotherham 1-2 Middlesbro </v>
      </c>
      <c r="U42" t="str">
        <f t="shared" si="9"/>
        <v>10/3  11/4  11/13</v>
      </c>
      <c r="V42" s="18" t="str">
        <f t="shared" si="17"/>
        <v>10/3</v>
      </c>
      <c r="W42" s="18" t="str">
        <f t="shared" si="18"/>
        <v>11/4</v>
      </c>
      <c r="X42" s="18" t="str">
        <f t="shared" si="19"/>
        <v>11/13</v>
      </c>
      <c r="Y42" s="216">
        <f t="shared" si="10"/>
        <v>4.3333333333333339</v>
      </c>
      <c r="Z42" s="216">
        <f t="shared" si="11"/>
        <v>3.75</v>
      </c>
      <c r="AA42" s="216">
        <f t="shared" si="12"/>
        <v>1.8461538461538463</v>
      </c>
      <c r="AB42" s="12"/>
      <c r="AF42" s="12"/>
    </row>
    <row r="43" spans="1:32" x14ac:dyDescent="0.25">
      <c r="A43" s="27">
        <v>43590</v>
      </c>
      <c r="B43" s="199">
        <v>11</v>
      </c>
      <c r="C43" s="27" t="s">
        <v>584</v>
      </c>
      <c r="D43" s="27" t="s">
        <v>608</v>
      </c>
      <c r="E43" s="27" t="s">
        <v>602</v>
      </c>
      <c r="F43" s="199">
        <v>1</v>
      </c>
      <c r="G43" s="199">
        <v>2</v>
      </c>
      <c r="H43" s="199">
        <v>11</v>
      </c>
      <c r="I43" s="199">
        <v>13</v>
      </c>
      <c r="J43" s="199">
        <v>27</v>
      </c>
      <c r="K43" s="199">
        <v>10</v>
      </c>
      <c r="L43" s="199">
        <v>7</v>
      </c>
      <c r="M43" s="199">
        <v>2</v>
      </c>
      <c r="N43" s="121"/>
      <c r="O43" s="34" t="str">
        <f t="shared" si="13"/>
        <v>Sheff W</v>
      </c>
      <c r="P43" s="34" t="str">
        <f t="shared" si="14"/>
        <v>QPR</v>
      </c>
      <c r="Q43" s="33" t="str">
        <f t="shared" si="15"/>
        <v>1</v>
      </c>
      <c r="R43" s="34" t="str">
        <f t="shared" si="16"/>
        <v>2</v>
      </c>
      <c r="S43" s="29" t="str">
        <f t="shared" si="4"/>
        <v>Sheff W  v  QPR   11/13  27/10  7/2</v>
      </c>
      <c r="T43" s="32" t="str">
        <f t="shared" si="5"/>
        <v xml:space="preserve">Sheff W 1-2 QPR </v>
      </c>
      <c r="U43" t="str">
        <f t="shared" si="9"/>
        <v>11/13  27/10  7/2</v>
      </c>
      <c r="V43" s="18" t="str">
        <f t="shared" si="17"/>
        <v>11/13</v>
      </c>
      <c r="W43" s="18" t="str">
        <f t="shared" si="18"/>
        <v>27/10</v>
      </c>
      <c r="X43" s="18" t="str">
        <f t="shared" si="19"/>
        <v>7/2</v>
      </c>
      <c r="Y43" s="216">
        <f t="shared" si="10"/>
        <v>1.8461538461538463</v>
      </c>
      <c r="Z43" s="216">
        <f t="shared" si="11"/>
        <v>3.7</v>
      </c>
      <c r="AA43" s="216">
        <f t="shared" si="12"/>
        <v>4.5</v>
      </c>
      <c r="AB43" s="12"/>
      <c r="AF43" s="12"/>
    </row>
    <row r="44" spans="1:32" x14ac:dyDescent="0.25">
      <c r="A44" s="27">
        <v>43590</v>
      </c>
      <c r="B44" s="199">
        <v>11</v>
      </c>
      <c r="C44" s="27" t="s">
        <v>584</v>
      </c>
      <c r="D44" s="27" t="s">
        <v>607</v>
      </c>
      <c r="E44" s="27" t="s">
        <v>605</v>
      </c>
      <c r="F44" s="199">
        <v>2</v>
      </c>
      <c r="G44" s="199">
        <v>2</v>
      </c>
      <c r="H44" s="199">
        <v>14</v>
      </c>
      <c r="I44" s="199">
        <v>5</v>
      </c>
      <c r="J44" s="199">
        <v>5</v>
      </c>
      <c r="K44" s="199">
        <v>2</v>
      </c>
      <c r="L44" s="199">
        <v>21</v>
      </c>
      <c r="M44" s="199">
        <v>20</v>
      </c>
      <c r="N44" s="121"/>
      <c r="O44" s="34" t="str">
        <f t="shared" si="13"/>
        <v>Stoke</v>
      </c>
      <c r="P44" s="34" t="str">
        <f t="shared" si="14"/>
        <v>Sheff U</v>
      </c>
      <c r="Q44" s="33" t="str">
        <f t="shared" si="15"/>
        <v>2</v>
      </c>
      <c r="R44" s="34" t="str">
        <f t="shared" si="16"/>
        <v>2</v>
      </c>
      <c r="S44" s="29" t="str">
        <f t="shared" si="4"/>
        <v>Stoke  v  Sheff U   14/5  5/2  21/20</v>
      </c>
      <c r="T44" s="32" t="str">
        <f t="shared" si="5"/>
        <v xml:space="preserve">Stoke 2-2 Sheff U </v>
      </c>
      <c r="U44" t="str">
        <f t="shared" si="9"/>
        <v>14/5  5/2  21/20</v>
      </c>
      <c r="V44" s="18" t="str">
        <f t="shared" si="17"/>
        <v>14/5</v>
      </c>
      <c r="W44" s="18" t="str">
        <f t="shared" si="18"/>
        <v>5/2</v>
      </c>
      <c r="X44" s="18" t="str">
        <f t="shared" si="19"/>
        <v>21/20</v>
      </c>
      <c r="Y44" s="216">
        <f t="shared" si="10"/>
        <v>3.8</v>
      </c>
      <c r="Z44" s="216">
        <f t="shared" si="11"/>
        <v>3.5</v>
      </c>
      <c r="AA44" s="216">
        <f t="shared" si="12"/>
        <v>2.0499999999999998</v>
      </c>
      <c r="AB44" s="12"/>
      <c r="AF44" s="12"/>
    </row>
    <row r="45" spans="1:32" x14ac:dyDescent="0.25">
      <c r="A45" s="27">
        <v>43590</v>
      </c>
      <c r="B45" s="199">
        <v>11</v>
      </c>
      <c r="C45" s="27" t="s">
        <v>584</v>
      </c>
      <c r="D45" s="23" t="s">
        <v>609</v>
      </c>
      <c r="E45" s="23" t="s">
        <v>601</v>
      </c>
      <c r="F45" s="199">
        <v>1</v>
      </c>
      <c r="G45" s="199">
        <v>2</v>
      </c>
      <c r="H45" s="199">
        <v>6</v>
      </c>
      <c r="I45" s="199">
        <v>4</v>
      </c>
      <c r="J45" s="199">
        <v>13</v>
      </c>
      <c r="K45" s="199">
        <v>5</v>
      </c>
      <c r="L45" s="199">
        <v>2</v>
      </c>
      <c r="M45" s="199">
        <v>1</v>
      </c>
      <c r="N45" s="121"/>
      <c r="O45" s="34" t="str">
        <f t="shared" si="13"/>
        <v>Villa</v>
      </c>
      <c r="P45" s="34" t="str">
        <f t="shared" si="14"/>
        <v>Norwich</v>
      </c>
      <c r="Q45" s="33" t="str">
        <f t="shared" si="15"/>
        <v>1</v>
      </c>
      <c r="R45" s="34" t="str">
        <f t="shared" si="16"/>
        <v>2</v>
      </c>
      <c r="S45" s="29" t="str">
        <f t="shared" si="4"/>
        <v>Villa  v  Norwich   6/4  13/5  2/1</v>
      </c>
      <c r="T45" s="32" t="str">
        <f t="shared" si="5"/>
        <v xml:space="preserve">Villa 1-2 Norwich </v>
      </c>
      <c r="U45" t="str">
        <f>V45&amp;"  "&amp;W45&amp;"  "&amp;X45</f>
        <v>6/4  13/5  2/1</v>
      </c>
      <c r="V45" s="18" t="str">
        <f t="shared" si="17"/>
        <v>6/4</v>
      </c>
      <c r="W45" s="18" t="str">
        <f t="shared" si="18"/>
        <v>13/5</v>
      </c>
      <c r="X45" s="18" t="str">
        <f t="shared" si="19"/>
        <v>2/1</v>
      </c>
      <c r="Y45" s="216">
        <f t="shared" si="10"/>
        <v>2.5</v>
      </c>
      <c r="Z45" s="216">
        <f t="shared" si="11"/>
        <v>3.6</v>
      </c>
      <c r="AA45" s="216">
        <f t="shared" si="12"/>
        <v>3</v>
      </c>
      <c r="AB45" s="12"/>
      <c r="AF45" s="12"/>
    </row>
    <row r="46" spans="1:32" x14ac:dyDescent="0.25">
      <c r="A46" s="27">
        <v>43590</v>
      </c>
      <c r="B46" s="199">
        <v>11</v>
      </c>
      <c r="C46" s="27" t="s">
        <v>584</v>
      </c>
      <c r="D46" s="27" t="s">
        <v>430</v>
      </c>
      <c r="E46" s="27" t="s">
        <v>600</v>
      </c>
      <c r="F46" s="199">
        <v>1</v>
      </c>
      <c r="G46" s="199">
        <v>0</v>
      </c>
      <c r="H46" s="199">
        <v>13</v>
      </c>
      <c r="I46" s="199">
        <v>10</v>
      </c>
      <c r="J46" s="199">
        <v>12</v>
      </c>
      <c r="K46" s="199">
        <v>5</v>
      </c>
      <c r="L46" s="199">
        <v>21</v>
      </c>
      <c r="M46" s="199">
        <v>10</v>
      </c>
      <c r="N46" s="121"/>
      <c r="O46" s="34" t="str">
        <f t="shared" si="13"/>
        <v>Wigan</v>
      </c>
      <c r="P46" s="34" t="str">
        <f t="shared" si="14"/>
        <v>Millwall</v>
      </c>
      <c r="Q46" s="33" t="str">
        <f t="shared" si="15"/>
        <v>1</v>
      </c>
      <c r="R46" s="34" t="str">
        <f t="shared" si="16"/>
        <v>0</v>
      </c>
      <c r="S46" s="29" t="str">
        <f t="shared" si="4"/>
        <v>Wigan  v  Millwall   13/10  12/5  21/10</v>
      </c>
      <c r="T46" s="32" t="str">
        <f t="shared" si="5"/>
        <v xml:space="preserve">Wigan 1-0 Millwall </v>
      </c>
      <c r="U46" t="str">
        <f>V46&amp;"  "&amp;W46&amp;"  "&amp;X46</f>
        <v>13/10  12/5  21/10</v>
      </c>
      <c r="V46" s="18" t="str">
        <f t="shared" si="17"/>
        <v>13/10</v>
      </c>
      <c r="W46" s="18" t="str">
        <f t="shared" si="18"/>
        <v>12/5</v>
      </c>
      <c r="X46" s="18" t="str">
        <f t="shared" si="19"/>
        <v>21/10</v>
      </c>
      <c r="Y46" s="216">
        <f t="shared" si="10"/>
        <v>2.2999999999999998</v>
      </c>
      <c r="Z46" s="216">
        <f t="shared" si="11"/>
        <v>3.4</v>
      </c>
      <c r="AA46" s="216">
        <f t="shared" si="12"/>
        <v>3.1</v>
      </c>
    </row>
    <row r="47" spans="1:32" x14ac:dyDescent="0.25">
      <c r="A47" s="27"/>
      <c r="B47" s="199"/>
      <c r="C47" s="27"/>
      <c r="D47" s="27"/>
      <c r="E47" s="27"/>
      <c r="F47" s="199"/>
      <c r="G47" s="199"/>
      <c r="H47" s="199"/>
      <c r="I47" s="199"/>
      <c r="J47" s="199"/>
      <c r="K47" s="199"/>
      <c r="L47" s="199"/>
      <c r="M47" s="199"/>
      <c r="N47" s="121"/>
      <c r="O47" s="34" t="str">
        <f t="shared" si="13"/>
        <v/>
      </c>
      <c r="P47" s="34" t="str">
        <f t="shared" si="14"/>
        <v/>
      </c>
      <c r="Q47" s="33" t="str">
        <f t="shared" si="15"/>
        <v/>
      </c>
      <c r="R47" s="34" t="str">
        <f t="shared" si="16"/>
        <v/>
      </c>
      <c r="S47" s="29" t="str">
        <f t="shared" si="4"/>
        <v/>
      </c>
      <c r="T47" s="32" t="str">
        <f>O47&amp;" "&amp;Q47&amp;"-"&amp;R47&amp;" "&amp;P47</f>
        <v xml:space="preserve"> - </v>
      </c>
      <c r="U47" t="str">
        <f>V47&amp;"  "&amp;W47&amp;"  "&amp;X47</f>
        <v>/  /  /</v>
      </c>
      <c r="V47" s="18" t="str">
        <f t="shared" si="17"/>
        <v>/</v>
      </c>
      <c r="W47" s="18" t="str">
        <f t="shared" si="18"/>
        <v>/</v>
      </c>
      <c r="X47" s="18" t="str">
        <f t="shared" si="19"/>
        <v>/</v>
      </c>
      <c r="Y47" s="216" t="str">
        <f t="shared" si="10"/>
        <v/>
      </c>
      <c r="Z47" s="216" t="str">
        <f t="shared" si="11"/>
        <v/>
      </c>
      <c r="AA47" s="216" t="str">
        <f t="shared" si="12"/>
        <v/>
      </c>
    </row>
    <row r="48" spans="1:32" x14ac:dyDescent="0.25">
      <c r="Q48" s="9"/>
      <c r="V48" s="18"/>
      <c r="W48" s="18"/>
      <c r="X48" s="18"/>
    </row>
    <row r="49" spans="17:24" x14ac:dyDescent="0.25">
      <c r="Q49" s="9"/>
      <c r="V49" s="18"/>
      <c r="W49" s="18"/>
      <c r="X49" s="18"/>
    </row>
    <row r="50" spans="17:24" x14ac:dyDescent="0.25">
      <c r="Q50" s="9"/>
      <c r="V50" s="18"/>
      <c r="W50" s="18"/>
      <c r="X50" s="18"/>
    </row>
    <row r="51" spans="17:24" x14ac:dyDescent="0.25">
      <c r="Q51" s="9"/>
      <c r="V51" s="18"/>
      <c r="W51" s="18"/>
      <c r="X51" s="18"/>
    </row>
    <row r="52" spans="17:24" x14ac:dyDescent="0.25">
      <c r="Q52" s="9"/>
      <c r="V52" s="18"/>
      <c r="W52" s="18"/>
      <c r="X52" s="18"/>
    </row>
    <row r="53" spans="17:24" x14ac:dyDescent="0.25">
      <c r="Q53" s="9"/>
      <c r="V53" s="18"/>
      <c r="W53" s="18"/>
      <c r="X53" s="18"/>
    </row>
    <row r="54" spans="17:24" x14ac:dyDescent="0.25">
      <c r="Q54" s="9"/>
      <c r="V54" s="18"/>
      <c r="W54" s="18"/>
      <c r="X54" s="18"/>
    </row>
    <row r="55" spans="17:24" x14ac:dyDescent="0.25">
      <c r="Q55" s="9"/>
      <c r="V55" s="18"/>
      <c r="W55" s="18"/>
      <c r="X55" s="18"/>
    </row>
    <row r="56" spans="17:24" x14ac:dyDescent="0.25">
      <c r="Q56" s="9"/>
      <c r="V56" s="18"/>
      <c r="W56" s="18"/>
      <c r="X56" s="18"/>
    </row>
    <row r="57" spans="17:24" x14ac:dyDescent="0.25">
      <c r="Q57" s="9"/>
      <c r="V57" s="18"/>
      <c r="W57" s="18"/>
      <c r="X57" s="18"/>
    </row>
    <row r="58" spans="17:24" x14ac:dyDescent="0.25">
      <c r="Q58" s="9"/>
      <c r="V58" s="18"/>
      <c r="W58" s="18"/>
      <c r="X58" s="18"/>
    </row>
    <row r="59" spans="17:24" x14ac:dyDescent="0.25">
      <c r="Q59" s="9"/>
      <c r="V59" s="18"/>
      <c r="W59" s="18"/>
      <c r="X59" s="18"/>
    </row>
  </sheetData>
  <autoFilter ref="A1:X47"/>
  <hyperlinks>
    <hyperlink ref="A1" location="Menu!A1" display="Date"/>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30</vt:i4>
      </vt:variant>
    </vt:vector>
  </HeadingPairs>
  <TitlesOfParts>
    <vt:vector size="53" baseType="lpstr">
      <vt:lpstr>Menu</vt:lpstr>
      <vt:lpstr>Table</vt:lpstr>
      <vt:lpstr>Weekly</vt:lpstr>
      <vt:lpstr>Cup</vt:lpstr>
      <vt:lpstr>Fixture</vt:lpstr>
      <vt:lpstr>Predictions</vt:lpstr>
      <vt:lpstr>Diary</vt:lpstr>
      <vt:lpstr>Players</vt:lpstr>
      <vt:lpstr>Match</vt:lpstr>
      <vt:lpstr>CupDraw</vt:lpstr>
      <vt:lpstr>Picks</vt:lpstr>
      <vt:lpstr>Picks2</vt:lpstr>
      <vt:lpstr>Results</vt:lpstr>
      <vt:lpstr>3of3</vt:lpstr>
      <vt:lpstr>TopPicks</vt:lpstr>
      <vt:lpstr>Pics</vt:lpstr>
      <vt:lpstr>Prizelist</vt:lpstr>
      <vt:lpstr>Prizes</vt:lpstr>
      <vt:lpstr>MiniLeagues</vt:lpstr>
      <vt:lpstr>FAQ</vt:lpstr>
      <vt:lpstr>PizzaRace</vt:lpstr>
      <vt:lpstr>Sample</vt:lpstr>
      <vt:lpstr>Odds</vt:lpstr>
      <vt:lpstr>choices</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Odds!Print_Area</vt:lpstr>
      <vt:lpstr>Picks!Print_Area</vt:lpstr>
      <vt:lpstr>Picks2!Print_Area</vt:lpstr>
      <vt:lpstr>Pics!Print_Area</vt:lpstr>
      <vt:lpstr>PizzaRace!Print_Area</vt:lpstr>
      <vt:lpstr>Predictions!Print_Area</vt:lpstr>
      <vt:lpstr>Prizelist!Print_Area</vt:lpstr>
      <vt:lpstr>Results!Print_Area</vt:lpstr>
      <vt:lpstr>Sample!Print_Area</vt:lpstr>
      <vt:lpstr>Table!Print_Area</vt:lpstr>
      <vt:lpstr>Weekly!Print_Area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2019-05-04T11:25:57Z</cp:lastPrinted>
  <dcterms:created xsi:type="dcterms:W3CDTF">2002-08-12T11:42:50Z</dcterms:created>
  <dcterms:modified xsi:type="dcterms:W3CDTF">2019-05-06T15:41:03Z</dcterms:modified>
</cp:coreProperties>
</file>