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codeName="ThisWorkbook" hidePivotFieldList="1" defaultThemeVersion="124226"/>
  <mc:AlternateContent xmlns:mc="http://schemas.openxmlformats.org/markup-compatibility/2006">
    <mc:Choice Requires="x15">
      <x15ac:absPath xmlns:x15ac="http://schemas.microsoft.com/office/spreadsheetml/2010/11/ac" url="C:\Users\chris.griffin\Documents\__3in! Prediction League\"/>
    </mc:Choice>
  </mc:AlternateContent>
  <xr:revisionPtr revIDLastSave="0" documentId="8_{A940AFCD-B0FB-44B3-B99B-3924040F31B0}" xr6:coauthVersionLast="47" xr6:coauthVersionMax="47" xr10:uidLastSave="{00000000-0000-0000-0000-000000000000}"/>
  <bookViews>
    <workbookView xWindow="-98" yWindow="-98" windowWidth="20715" windowHeight="13276" tabRatio="879" activeTab="3" xr2:uid="{00000000-000D-0000-FFFF-FFFF00000000}"/>
  </bookViews>
  <sheets>
    <sheet name="Home" sheetId="52" r:id="rId1"/>
    <sheet name="Players" sheetId="44" r:id="rId2"/>
    <sheet name="Fixture" sheetId="23" r:id="rId3"/>
    <sheet name="Table" sheetId="22" r:id="rId4"/>
    <sheet name="Weekly" sheetId="2" r:id="rId5"/>
    <sheet name="Cup" sheetId="25" r:id="rId6"/>
    <sheet name="Predictions" sheetId="24" r:id="rId7"/>
    <sheet name="Diary" sheetId="9" r:id="rId8"/>
    <sheet name="Match" sheetId="7" r:id="rId9"/>
    <sheet name="Odds" sheetId="3" r:id="rId10"/>
    <sheet name="Picks" sheetId="5" r:id="rId11"/>
    <sheet name="Results" sheetId="1" r:id="rId12"/>
    <sheet name="What-If" sheetId="6" r:id="rId13"/>
    <sheet name="3of3" sheetId="50" r:id="rId14"/>
    <sheet name="TopPicks" sheetId="39" r:id="rId15"/>
    <sheet name="Images" sheetId="34" r:id="rId16"/>
    <sheet name="PizzaRace" sheetId="54" r:id="rId17"/>
    <sheet name="CupDraw" sheetId="13" r:id="rId18"/>
    <sheet name="Prizelist" sheetId="10" r:id="rId19"/>
    <sheet name="Prizes" sheetId="48" r:id="rId20"/>
    <sheet name="Perms" sheetId="55" r:id="rId21"/>
    <sheet name="FAQ" sheetId="42" r:id="rId22"/>
  </sheets>
  <definedNames>
    <definedName name="_xlnm._FilterDatabase" localSheetId="2" hidden="1">Fixture!$A$1:$D$64</definedName>
    <definedName name="_xlnm._FilterDatabase" localSheetId="8" hidden="1">Match!$B$1:$Z$47</definedName>
    <definedName name="_xlnm._FilterDatabase" localSheetId="10" hidden="1">Picks!$A$1:$AN$187</definedName>
    <definedName name="_xlnm._FilterDatabase" localSheetId="1" hidden="1">Players!$A$1:$F$100</definedName>
    <definedName name="_xlnm._FilterDatabase" localSheetId="11" hidden="1">Results!$A$1:$AI$271</definedName>
    <definedName name="_xlnm._FilterDatabase" localSheetId="3" hidden="1">Table!$A$1:$R$64</definedName>
    <definedName name="_xlnm._FilterDatabase" localSheetId="4" hidden="1">Weekly!$A$1:$BX$63</definedName>
    <definedName name="all_scores" localSheetId="3">Weekly!#REF!</definedName>
    <definedName name="all_scores">Weekly!#REF!</definedName>
    <definedName name="choices">Odds!$G$2:$G$139</definedName>
    <definedName name="CurrentSeason">Images!$C$1</definedName>
    <definedName name="CurrentWeek">Images!$C$2</definedName>
    <definedName name="entrants">Prizelist!$B$1</definedName>
    <definedName name="game1">Perms!$B$6</definedName>
    <definedName name="game2">Perms!$B$7</definedName>
    <definedName name="game3">Perms!$B$8</definedName>
    <definedName name="groups">#REF!</definedName>
    <definedName name="placefund">Prizelist!#REF!</definedName>
    <definedName name="positionpot">Prizelist!#REF!</definedName>
    <definedName name="pot">Prizes!$I$1</definedName>
    <definedName name="PotA">Prizes!$I$2</definedName>
    <definedName name="PotB">Prizes!$I$3</definedName>
    <definedName name="PotC">Prizes!$I$4</definedName>
    <definedName name="PotD">Prizes!$I$5</definedName>
    <definedName name="_xlnm.Print_Area" localSheetId="5">Cup!$B$2:$W$93</definedName>
    <definedName name="_xlnm.Print_Area" localSheetId="17">CupDraw!$I$1:$AE$93</definedName>
    <definedName name="_xlnm.Print_Area" localSheetId="7">Diary!$B$3:$K$24</definedName>
    <definedName name="_xlnm.Print_Area" localSheetId="21">FAQ!$A$1:$C$78</definedName>
    <definedName name="_xlnm.Print_Area" localSheetId="2">Fixture!$A$1:$C$53</definedName>
    <definedName name="_xlnm.Print_Area" localSheetId="15">Images!$B$2:$AL$34</definedName>
    <definedName name="_xlnm.Print_Area" localSheetId="9">Odds!$B$1:$E$46</definedName>
    <definedName name="_xlnm.Print_Area" localSheetId="20">Perms!$B$2:$O$50</definedName>
    <definedName name="_xlnm.Print_Area" localSheetId="10">Picks!$A$1:$N$175</definedName>
    <definedName name="_xlnm.Print_Area" localSheetId="6">Predictions!$A$1:$G$175</definedName>
    <definedName name="_xlnm.Print_Area" localSheetId="18">Prizelist!$A$1:$B$27</definedName>
    <definedName name="_xlnm.Print_Area" localSheetId="11">Results!$I$1:$W$59</definedName>
    <definedName name="_xlnm.Print_Area" localSheetId="3">Table!$A$1:$R$64</definedName>
    <definedName name="_xlnm.Print_Area" localSheetId="4">Weekly!$A$1:$M$12</definedName>
    <definedName name="_xlnm.Print_Area" localSheetId="12">'What-If'!$A$1:$R$7</definedName>
    <definedName name="thisweekscore">Weekly!$H$2:$H$63</definedName>
    <definedName name="TopMaxScores">Picks!$AJ$2:$AJ$63</definedName>
    <definedName name="TopScores">Picks!$AE$2:$AE$63</definedName>
    <definedName name="totalscores">Weekly!$F$2:$F$63</definedName>
    <definedName name="twentysixth">Prizelist!#REF!</definedName>
  </definedNames>
  <calcPr calcId="191029"/>
  <pivotCaches>
    <pivotCache cacheId="14" r:id="rId23"/>
    <pivotCache cacheId="15" r:id="rId24"/>
    <pivotCache cacheId="16" r:id="rId2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2" i="34" l="1"/>
  <c r="P45" i="7" l="1"/>
  <c r="P44" i="7"/>
  <c r="P43" i="7"/>
  <c r="P42" i="7"/>
  <c r="P41" i="7"/>
  <c r="P40" i="7"/>
  <c r="P39" i="7"/>
  <c r="P38" i="7"/>
  <c r="AC60" i="7"/>
  <c r="AB60" i="7"/>
  <c r="AA60" i="7"/>
  <c r="Z60" i="7"/>
  <c r="Y60" i="7"/>
  <c r="X60" i="7"/>
  <c r="T60" i="7"/>
  <c r="S60" i="7"/>
  <c r="R60" i="7"/>
  <c r="Q60" i="7"/>
  <c r="AC59" i="7"/>
  <c r="AB59" i="7"/>
  <c r="AA59" i="7"/>
  <c r="Z59" i="7"/>
  <c r="Y59" i="7"/>
  <c r="X59" i="7"/>
  <c r="T59" i="7"/>
  <c r="S59" i="7"/>
  <c r="R59" i="7"/>
  <c r="Q59" i="7"/>
  <c r="AC58" i="7"/>
  <c r="AB58" i="7"/>
  <c r="AA58" i="7"/>
  <c r="Z58" i="7"/>
  <c r="Y58" i="7"/>
  <c r="X58" i="7"/>
  <c r="T58" i="7"/>
  <c r="S58" i="7"/>
  <c r="R58" i="7"/>
  <c r="Q58" i="7"/>
  <c r="AC57" i="7"/>
  <c r="AB57" i="7"/>
  <c r="AA57" i="7"/>
  <c r="Z57" i="7"/>
  <c r="Y57" i="7"/>
  <c r="X57" i="7"/>
  <c r="T57" i="7"/>
  <c r="S57" i="7"/>
  <c r="R57" i="7"/>
  <c r="Q57" i="7"/>
  <c r="AC56" i="7"/>
  <c r="AB56" i="7"/>
  <c r="AA56" i="7"/>
  <c r="Z56" i="7"/>
  <c r="Y56" i="7"/>
  <c r="X56" i="7"/>
  <c r="W56" i="7" s="1"/>
  <c r="T56" i="7"/>
  <c r="S56" i="7"/>
  <c r="R56" i="7"/>
  <c r="Q56" i="7"/>
  <c r="AC55" i="7"/>
  <c r="AB55" i="7"/>
  <c r="AA55" i="7"/>
  <c r="Z55" i="7"/>
  <c r="Y55" i="7"/>
  <c r="X55" i="7"/>
  <c r="T55" i="7"/>
  <c r="S55" i="7"/>
  <c r="R55" i="7"/>
  <c r="Q55" i="7"/>
  <c r="AC54" i="7"/>
  <c r="AB54" i="7"/>
  <c r="AA54" i="7"/>
  <c r="Z54" i="7"/>
  <c r="Y54" i="7"/>
  <c r="X54" i="7"/>
  <c r="T54" i="7"/>
  <c r="S54" i="7"/>
  <c r="R54" i="7"/>
  <c r="Q54" i="7"/>
  <c r="AC53" i="7"/>
  <c r="AB53" i="7"/>
  <c r="AA53" i="7"/>
  <c r="Z53" i="7"/>
  <c r="Y53" i="7"/>
  <c r="X53" i="7"/>
  <c r="T53" i="7"/>
  <c r="S53" i="7"/>
  <c r="R53" i="7"/>
  <c r="Q53" i="7"/>
  <c r="AC52" i="7"/>
  <c r="AB52" i="7"/>
  <c r="AA52" i="7"/>
  <c r="Z52" i="7"/>
  <c r="Y52" i="7"/>
  <c r="X52" i="7"/>
  <c r="T52" i="7"/>
  <c r="S52" i="7"/>
  <c r="R52" i="7"/>
  <c r="Q52" i="7"/>
  <c r="AC51" i="7"/>
  <c r="AB51" i="7"/>
  <c r="AA51" i="7"/>
  <c r="Z51" i="7"/>
  <c r="Y51" i="7"/>
  <c r="X51" i="7"/>
  <c r="T51" i="7"/>
  <c r="S51" i="7"/>
  <c r="R51" i="7"/>
  <c r="Q51" i="7"/>
  <c r="AC50" i="7"/>
  <c r="AB50" i="7"/>
  <c r="AA50" i="7"/>
  <c r="Z50" i="7"/>
  <c r="Y50" i="7"/>
  <c r="X50" i="7"/>
  <c r="T50" i="7"/>
  <c r="S50" i="7"/>
  <c r="R50" i="7"/>
  <c r="Q50" i="7"/>
  <c r="AC49" i="7"/>
  <c r="AB49" i="7"/>
  <c r="AA49" i="7"/>
  <c r="Z49" i="7"/>
  <c r="Y49" i="7"/>
  <c r="X49" i="7"/>
  <c r="T49" i="7"/>
  <c r="S49" i="7"/>
  <c r="R49" i="7"/>
  <c r="Q49" i="7"/>
  <c r="AC48" i="7"/>
  <c r="AB48" i="7"/>
  <c r="AA48" i="7"/>
  <c r="Z48" i="7"/>
  <c r="Y48" i="7"/>
  <c r="X48" i="7"/>
  <c r="T48" i="7"/>
  <c r="S48" i="7"/>
  <c r="R48" i="7"/>
  <c r="Q48" i="7"/>
  <c r="D64" i="23"/>
  <c r="C64" i="23"/>
  <c r="B64" i="23"/>
  <c r="A64" i="23"/>
  <c r="D63" i="23"/>
  <c r="C63" i="23"/>
  <c r="B63" i="23"/>
  <c r="A63" i="23"/>
  <c r="D62" i="23"/>
  <c r="C62" i="23"/>
  <c r="B62" i="23"/>
  <c r="A62" i="23"/>
  <c r="D61" i="23"/>
  <c r="C61" i="23"/>
  <c r="B61" i="23"/>
  <c r="A61" i="23"/>
  <c r="B60" i="23"/>
  <c r="A60" i="23"/>
  <c r="B59" i="23"/>
  <c r="A59" i="23"/>
  <c r="B58" i="23"/>
  <c r="A58" i="23"/>
  <c r="B57" i="23"/>
  <c r="A57" i="23"/>
  <c r="B56" i="23"/>
  <c r="A56" i="23"/>
  <c r="B55" i="23"/>
  <c r="A55" i="23"/>
  <c r="B54" i="23"/>
  <c r="A54" i="23"/>
  <c r="B53" i="23"/>
  <c r="A53" i="23"/>
  <c r="B52" i="23"/>
  <c r="A52" i="23"/>
  <c r="B51" i="23"/>
  <c r="A51" i="23"/>
  <c r="B50" i="23"/>
  <c r="A50" i="23"/>
  <c r="B49" i="23"/>
  <c r="A49" i="23"/>
  <c r="B48" i="23"/>
  <c r="A48" i="23"/>
  <c r="U80" i="7"/>
  <c r="U79" i="7"/>
  <c r="U78" i="7"/>
  <c r="U77" i="7"/>
  <c r="U76" i="7"/>
  <c r="U75" i="7"/>
  <c r="U74" i="7"/>
  <c r="U73" i="7"/>
  <c r="U72" i="7"/>
  <c r="U71" i="7"/>
  <c r="U70" i="7"/>
  <c r="U69" i="7"/>
  <c r="U68" i="7"/>
  <c r="U67" i="7"/>
  <c r="U66" i="7"/>
  <c r="U65" i="7"/>
  <c r="U64" i="7"/>
  <c r="U63" i="7"/>
  <c r="U62" i="7"/>
  <c r="U61" i="7"/>
  <c r="V49" i="7" l="1"/>
  <c r="D49" i="23" s="1"/>
  <c r="W49" i="7"/>
  <c r="U49" i="7" s="1"/>
  <c r="C49" i="23" s="1"/>
  <c r="V59" i="7"/>
  <c r="D59" i="23" s="1"/>
  <c r="W50" i="7"/>
  <c r="W58" i="7"/>
  <c r="V52" i="7"/>
  <c r="D52" i="23" s="1"/>
  <c r="W51" i="7"/>
  <c r="U51" i="7" s="1"/>
  <c r="C51" i="23" s="1"/>
  <c r="W55" i="7"/>
  <c r="W57" i="7"/>
  <c r="U57" i="7" s="1"/>
  <c r="C57" i="23" s="1"/>
  <c r="V58" i="7"/>
  <c r="D58" i="23" s="1"/>
  <c r="V60" i="7"/>
  <c r="D60" i="23" s="1"/>
  <c r="V48" i="7"/>
  <c r="D48" i="23" s="1"/>
  <c r="V55" i="7"/>
  <c r="D55" i="23" s="1"/>
  <c r="W48" i="7"/>
  <c r="U48" i="7" s="1"/>
  <c r="C48" i="23" s="1"/>
  <c r="W53" i="7"/>
  <c r="U53" i="7" s="1"/>
  <c r="C53" i="23" s="1"/>
  <c r="V54" i="7"/>
  <c r="D54" i="23" s="1"/>
  <c r="W60" i="7"/>
  <c r="U60" i="7" s="1"/>
  <c r="C60" i="23" s="1"/>
  <c r="W54" i="7"/>
  <c r="V56" i="7"/>
  <c r="D56" i="23" s="1"/>
  <c r="V53" i="7"/>
  <c r="D53" i="23" s="1"/>
  <c r="V51" i="7"/>
  <c r="D51" i="23" s="1"/>
  <c r="V57" i="7"/>
  <c r="D57" i="23" s="1"/>
  <c r="V50" i="7"/>
  <c r="D50" i="23" s="1"/>
  <c r="W52" i="7"/>
  <c r="U52" i="7" s="1"/>
  <c r="C52" i="23" s="1"/>
  <c r="U54" i="7"/>
  <c r="C54" i="23" s="1"/>
  <c r="W59" i="7"/>
  <c r="U59" i="7" s="1"/>
  <c r="C59" i="23" s="1"/>
  <c r="U58" i="7"/>
  <c r="C58" i="23" s="1"/>
  <c r="U50" i="7"/>
  <c r="C50" i="23" s="1"/>
  <c r="U56" i="7"/>
  <c r="C56" i="23" s="1"/>
  <c r="U55" i="7"/>
  <c r="C55" i="23" s="1"/>
  <c r="AE2" i="25"/>
  <c r="P66" i="2" l="1"/>
  <c r="S66" i="2"/>
  <c r="V66" i="2"/>
  <c r="Y66" i="2"/>
  <c r="AB66" i="2"/>
  <c r="BU66" i="2"/>
  <c r="BR66" i="2"/>
  <c r="BO66" i="2"/>
  <c r="BL66" i="2"/>
  <c r="BI66" i="2"/>
  <c r="BF66" i="2"/>
  <c r="BC66" i="2"/>
  <c r="AZ66" i="2"/>
  <c r="AW66" i="2"/>
  <c r="AT66" i="2"/>
  <c r="AQ66" i="2"/>
  <c r="AN66" i="2"/>
  <c r="AK66" i="2"/>
  <c r="AH66" i="2"/>
  <c r="AE66" i="2"/>
  <c r="I70" i="25" l="1"/>
  <c r="I71" i="25"/>
  <c r="H70" i="25"/>
  <c r="I72" i="25"/>
  <c r="S65" i="13"/>
  <c r="S63" i="13"/>
  <c r="P63" i="22"/>
  <c r="N63" i="22"/>
  <c r="M63" i="22"/>
  <c r="L57" i="22"/>
  <c r="K57" i="22"/>
  <c r="P62" i="22"/>
  <c r="N62" i="22"/>
  <c r="M62" i="22"/>
  <c r="L53" i="22"/>
  <c r="K53" i="22"/>
  <c r="P61" i="22"/>
  <c r="N61" i="22"/>
  <c r="M61" i="22"/>
  <c r="L51" i="22"/>
  <c r="K51" i="22"/>
  <c r="P60" i="22"/>
  <c r="N60" i="22"/>
  <c r="M60" i="22"/>
  <c r="L56" i="22"/>
  <c r="K56" i="22"/>
  <c r="BV2" i="2"/>
  <c r="BW2" i="2"/>
  <c r="BX2" i="2"/>
  <c r="BV3" i="2"/>
  <c r="BW3" i="2"/>
  <c r="BX3" i="2"/>
  <c r="BV4" i="2"/>
  <c r="BW4" i="2"/>
  <c r="BX4" i="2"/>
  <c r="BV5" i="2"/>
  <c r="BW5" i="2"/>
  <c r="BX5" i="2"/>
  <c r="BV6" i="2"/>
  <c r="BW6" i="2"/>
  <c r="BX6" i="2"/>
  <c r="BV7" i="2"/>
  <c r="BW7" i="2"/>
  <c r="BX7" i="2"/>
  <c r="BV8" i="2"/>
  <c r="BW8" i="2"/>
  <c r="BX8" i="2"/>
  <c r="BV9" i="2"/>
  <c r="BW9" i="2"/>
  <c r="BX9" i="2"/>
  <c r="BV10" i="2"/>
  <c r="BW10" i="2"/>
  <c r="BX10" i="2"/>
  <c r="BV11" i="2"/>
  <c r="BW11" i="2"/>
  <c r="BX11" i="2"/>
  <c r="BV12" i="2"/>
  <c r="BW12" i="2"/>
  <c r="BX12" i="2"/>
  <c r="BV13" i="2"/>
  <c r="BW13" i="2"/>
  <c r="BX13" i="2"/>
  <c r="BV14" i="2"/>
  <c r="BW14" i="2"/>
  <c r="BX14" i="2"/>
  <c r="BV15" i="2"/>
  <c r="BW15" i="2"/>
  <c r="BX15" i="2"/>
  <c r="BV16" i="2"/>
  <c r="BW16" i="2"/>
  <c r="BX16" i="2"/>
  <c r="BV17" i="2"/>
  <c r="BW17" i="2"/>
  <c r="BX17" i="2"/>
  <c r="BV18" i="2"/>
  <c r="BW18" i="2"/>
  <c r="BX18" i="2"/>
  <c r="BV19" i="2"/>
  <c r="BW19" i="2"/>
  <c r="BX19" i="2"/>
  <c r="BV20" i="2"/>
  <c r="BW20" i="2"/>
  <c r="BX20" i="2"/>
  <c r="BV21" i="2"/>
  <c r="BW21" i="2"/>
  <c r="BX21" i="2"/>
  <c r="BV22" i="2"/>
  <c r="BW22" i="2"/>
  <c r="BX22" i="2"/>
  <c r="BV23" i="2"/>
  <c r="BW23" i="2"/>
  <c r="BX23" i="2"/>
  <c r="BV24" i="2"/>
  <c r="BW24" i="2"/>
  <c r="BX24" i="2"/>
  <c r="BV25" i="2"/>
  <c r="BW25" i="2"/>
  <c r="BX25" i="2"/>
  <c r="BV26" i="2"/>
  <c r="BW26" i="2"/>
  <c r="BX26" i="2"/>
  <c r="BV27" i="2"/>
  <c r="BW27" i="2"/>
  <c r="BX27" i="2"/>
  <c r="BV28" i="2"/>
  <c r="BW28" i="2"/>
  <c r="BX28" i="2"/>
  <c r="BV29" i="2"/>
  <c r="BW29" i="2"/>
  <c r="BX29" i="2"/>
  <c r="BV30" i="2"/>
  <c r="BW30" i="2"/>
  <c r="BX30" i="2"/>
  <c r="BV31" i="2"/>
  <c r="BW31" i="2"/>
  <c r="BX31" i="2"/>
  <c r="BV32" i="2"/>
  <c r="BW32" i="2"/>
  <c r="BX32" i="2"/>
  <c r="BV33" i="2"/>
  <c r="BW33" i="2"/>
  <c r="BX33" i="2"/>
  <c r="BV34" i="2"/>
  <c r="BW34" i="2"/>
  <c r="BX34" i="2"/>
  <c r="BV35" i="2"/>
  <c r="BW35" i="2"/>
  <c r="BX35" i="2"/>
  <c r="BV36" i="2"/>
  <c r="BW36" i="2"/>
  <c r="BX36" i="2"/>
  <c r="BV37" i="2"/>
  <c r="BW37" i="2"/>
  <c r="BX37" i="2"/>
  <c r="BV38" i="2"/>
  <c r="BW38" i="2"/>
  <c r="BX38" i="2"/>
  <c r="BV39" i="2"/>
  <c r="BW39" i="2"/>
  <c r="BX39" i="2"/>
  <c r="BV40" i="2"/>
  <c r="BW40" i="2"/>
  <c r="BX40" i="2"/>
  <c r="BV41" i="2"/>
  <c r="BW41" i="2"/>
  <c r="BX41" i="2"/>
  <c r="BV42" i="2"/>
  <c r="BW42" i="2"/>
  <c r="BX42" i="2"/>
  <c r="BV43" i="2"/>
  <c r="BW43" i="2"/>
  <c r="BX43" i="2"/>
  <c r="BV44" i="2"/>
  <c r="BW44" i="2"/>
  <c r="BX44" i="2"/>
  <c r="BV45" i="2"/>
  <c r="BW45" i="2"/>
  <c r="BX45" i="2"/>
  <c r="BV46" i="2"/>
  <c r="BW46" i="2"/>
  <c r="BX46" i="2"/>
  <c r="BV47" i="2"/>
  <c r="BW47" i="2"/>
  <c r="BX47" i="2"/>
  <c r="BV48" i="2"/>
  <c r="BW48" i="2"/>
  <c r="BX48" i="2"/>
  <c r="BV49" i="2"/>
  <c r="BW49" i="2"/>
  <c r="BX49" i="2"/>
  <c r="BV50" i="2"/>
  <c r="BW50" i="2"/>
  <c r="BX50" i="2"/>
  <c r="BV51" i="2"/>
  <c r="BW51" i="2"/>
  <c r="BX51" i="2"/>
  <c r="BV52" i="2"/>
  <c r="BW52" i="2"/>
  <c r="BX52" i="2"/>
  <c r="BV53" i="2"/>
  <c r="BW53" i="2"/>
  <c r="BX53" i="2"/>
  <c r="BV54" i="2"/>
  <c r="BW54" i="2"/>
  <c r="BX54" i="2"/>
  <c r="BV55" i="2"/>
  <c r="BW55" i="2"/>
  <c r="BX55" i="2"/>
  <c r="BV56" i="2"/>
  <c r="BW56" i="2"/>
  <c r="BX56" i="2"/>
  <c r="BV57" i="2"/>
  <c r="BW57" i="2"/>
  <c r="BX57" i="2"/>
  <c r="BV58" i="2"/>
  <c r="BW58" i="2"/>
  <c r="BX58" i="2"/>
  <c r="BV59" i="2"/>
  <c r="BW59" i="2"/>
  <c r="BX59" i="2"/>
  <c r="BV60" i="2"/>
  <c r="BW60" i="2"/>
  <c r="BX60" i="2"/>
  <c r="BV61" i="2"/>
  <c r="BW61" i="2"/>
  <c r="BX61" i="2"/>
  <c r="BV62" i="2"/>
  <c r="BW62" i="2"/>
  <c r="BX62" i="2"/>
  <c r="BV63" i="2"/>
  <c r="BW63" i="2"/>
  <c r="BX63" i="2"/>
  <c r="AK31" i="5"/>
  <c r="AK39" i="5"/>
  <c r="AK22" i="5"/>
  <c r="AK49" i="5"/>
  <c r="AF14" i="5"/>
  <c r="AF25" i="5"/>
  <c r="AF13" i="5"/>
  <c r="AF7" i="5"/>
  <c r="AB187" i="5"/>
  <c r="AB186" i="5"/>
  <c r="AB185" i="5"/>
  <c r="AB184" i="5"/>
  <c r="AB183" i="5"/>
  <c r="AB182" i="5"/>
  <c r="AB181" i="5"/>
  <c r="AB180" i="5"/>
  <c r="AB179" i="5"/>
  <c r="AB178" i="5"/>
  <c r="AB177" i="5"/>
  <c r="AB176" i="5"/>
  <c r="B187" i="5"/>
  <c r="C187" i="1" s="1"/>
  <c r="B186" i="5"/>
  <c r="C186" i="1" s="1"/>
  <c r="A186" i="5"/>
  <c r="B185" i="5"/>
  <c r="C185" i="1" s="1"/>
  <c r="A185" i="5"/>
  <c r="A187" i="5" s="1"/>
  <c r="B184" i="5"/>
  <c r="C184" i="1" s="1"/>
  <c r="B183" i="5"/>
  <c r="C183" i="1" s="1"/>
  <c r="A183" i="5"/>
  <c r="B182" i="5"/>
  <c r="C182" i="1" s="1"/>
  <c r="A182" i="5"/>
  <c r="A184" i="5" s="1"/>
  <c r="B181" i="5"/>
  <c r="C181" i="1" s="1"/>
  <c r="B180" i="5"/>
  <c r="C180" i="1" s="1"/>
  <c r="A180" i="5"/>
  <c r="B179" i="5"/>
  <c r="C179" i="1" s="1"/>
  <c r="A179" i="5"/>
  <c r="A181" i="5" s="1"/>
  <c r="B178" i="5"/>
  <c r="C178" i="1" s="1"/>
  <c r="A178" i="5"/>
  <c r="B177" i="5"/>
  <c r="C177" i="1" s="1"/>
  <c r="A177" i="5"/>
  <c r="B176" i="5"/>
  <c r="C176" i="1" s="1"/>
  <c r="A176" i="5"/>
  <c r="B185" i="1"/>
  <c r="B182" i="1"/>
  <c r="B179" i="1"/>
  <c r="B176" i="1"/>
  <c r="AJ63" i="1"/>
  <c r="AJ62" i="1"/>
  <c r="AJ61" i="1"/>
  <c r="AJ60" i="1"/>
  <c r="I67" i="1"/>
  <c r="I66" i="1"/>
  <c r="I65" i="1"/>
  <c r="I64" i="1"/>
  <c r="J63" i="2"/>
  <c r="G63" i="2"/>
  <c r="F63" i="2"/>
  <c r="D63" i="2"/>
  <c r="B63" i="2"/>
  <c r="J62" i="2"/>
  <c r="G62" i="2"/>
  <c r="F62" i="2"/>
  <c r="D62" i="2"/>
  <c r="B62" i="2"/>
  <c r="J61" i="2"/>
  <c r="G61" i="2"/>
  <c r="F61" i="2"/>
  <c r="D61" i="2"/>
  <c r="B61" i="2"/>
  <c r="J60" i="2"/>
  <c r="G60" i="2"/>
  <c r="F60" i="2"/>
  <c r="D60" i="2"/>
  <c r="B60" i="2"/>
  <c r="B3" i="6"/>
  <c r="BX66" i="2" l="1"/>
  <c r="K6" i="6"/>
  <c r="B2" i="5" l="1"/>
  <c r="B3" i="5"/>
  <c r="B4" i="5"/>
  <c r="B1" i="6"/>
  <c r="AF12" i="25"/>
  <c r="AF11" i="25"/>
  <c r="AF10" i="25"/>
  <c r="AF9" i="25"/>
  <c r="AF8" i="25"/>
  <c r="AF7" i="25"/>
  <c r="AF6" i="25"/>
  <c r="AF5" i="25"/>
  <c r="AF4" i="25"/>
  <c r="AF3" i="25"/>
  <c r="Q30" i="34"/>
  <c r="N30" i="34"/>
  <c r="M30" i="34"/>
  <c r="K30" i="34"/>
  <c r="S30" i="34"/>
  <c r="R30" i="34"/>
  <c r="P30" i="34"/>
  <c r="O30" i="34"/>
  <c r="B38" i="5"/>
  <c r="B104" i="5" l="1"/>
  <c r="B105" i="5"/>
  <c r="B106" i="5"/>
  <c r="AD10" i="13" l="1"/>
  <c r="B111" i="5"/>
  <c r="B112" i="5"/>
  <c r="A31" i="23" l="1"/>
  <c r="P2" i="7"/>
  <c r="B37" i="5"/>
  <c r="P47" i="7" l="1"/>
  <c r="K139" i="3" s="1"/>
  <c r="P46" i="7"/>
  <c r="K138" i="3" s="1"/>
  <c r="K45" i="3"/>
  <c r="K44" i="3"/>
  <c r="K89" i="3"/>
  <c r="K134" i="3"/>
  <c r="K41" i="3"/>
  <c r="K40" i="3"/>
  <c r="K131" i="3"/>
  <c r="K38" i="3"/>
  <c r="P37" i="7"/>
  <c r="K37" i="3" s="1"/>
  <c r="P36" i="7"/>
  <c r="K82" i="3" s="1"/>
  <c r="P35" i="7"/>
  <c r="K35" i="3" s="1"/>
  <c r="P34" i="7"/>
  <c r="K34" i="3" s="1"/>
  <c r="P33" i="7"/>
  <c r="K33" i="3" s="1"/>
  <c r="P32" i="7"/>
  <c r="K32" i="3" s="1"/>
  <c r="P31" i="7"/>
  <c r="K123" i="3" s="1"/>
  <c r="P30" i="7"/>
  <c r="K122" i="3" s="1"/>
  <c r="P29" i="7"/>
  <c r="K121" i="3" s="1"/>
  <c r="P28" i="7"/>
  <c r="K74" i="3" s="1"/>
  <c r="P27" i="7"/>
  <c r="K73" i="3" s="1"/>
  <c r="P26" i="7"/>
  <c r="K26" i="3" s="1"/>
  <c r="P25" i="7"/>
  <c r="K25" i="3" s="1"/>
  <c r="P24" i="7"/>
  <c r="K24" i="3" s="1"/>
  <c r="P23" i="7"/>
  <c r="K115" i="3" s="1"/>
  <c r="P22" i="7"/>
  <c r="K22" i="3" s="1"/>
  <c r="P21" i="7"/>
  <c r="K113" i="3" s="1"/>
  <c r="P20" i="7"/>
  <c r="K66" i="3" s="1"/>
  <c r="P19" i="7"/>
  <c r="K65" i="3" s="1"/>
  <c r="P18" i="7"/>
  <c r="K64" i="3" s="1"/>
  <c r="P17" i="7"/>
  <c r="K17" i="3" s="1"/>
  <c r="P16" i="7"/>
  <c r="K16" i="3" s="1"/>
  <c r="P15" i="7"/>
  <c r="K107" i="3" s="1"/>
  <c r="P14" i="7"/>
  <c r="K106" i="3" s="1"/>
  <c r="P13" i="7"/>
  <c r="K13" i="3" s="1"/>
  <c r="P12" i="7"/>
  <c r="K58" i="3" s="1"/>
  <c r="P11" i="7"/>
  <c r="K57" i="3" s="1"/>
  <c r="P10" i="7"/>
  <c r="K56" i="3" s="1"/>
  <c r="P9" i="7"/>
  <c r="K9" i="3" s="1"/>
  <c r="P8" i="7"/>
  <c r="K8" i="3" s="1"/>
  <c r="P7" i="7"/>
  <c r="K99" i="3" s="1"/>
  <c r="P6" i="7"/>
  <c r="K6" i="3" s="1"/>
  <c r="P5" i="7"/>
  <c r="K97" i="3" s="1"/>
  <c r="P4" i="7"/>
  <c r="K50" i="3" s="1"/>
  <c r="P3" i="7"/>
  <c r="K49" i="3" s="1"/>
  <c r="K94" i="3"/>
  <c r="K93" i="3" l="1"/>
  <c r="K47" i="3"/>
  <c r="K76" i="3"/>
  <c r="K90" i="3"/>
  <c r="K92" i="3"/>
  <c r="K91" i="3"/>
  <c r="K132" i="3"/>
  <c r="K46" i="3"/>
  <c r="K60" i="3"/>
  <c r="K124" i="3"/>
  <c r="K62" i="3"/>
  <c r="K75" i="3"/>
  <c r="K51" i="3"/>
  <c r="K63" i="3"/>
  <c r="K77" i="3"/>
  <c r="K133" i="3"/>
  <c r="K52" i="3"/>
  <c r="K67" i="3"/>
  <c r="K78" i="3"/>
  <c r="K135" i="3"/>
  <c r="K53" i="3"/>
  <c r="K68" i="3"/>
  <c r="K85" i="3"/>
  <c r="K100" i="3"/>
  <c r="K136" i="3"/>
  <c r="K43" i="3"/>
  <c r="K54" i="3"/>
  <c r="K69" i="3"/>
  <c r="K86" i="3"/>
  <c r="K101" i="3"/>
  <c r="K137" i="3"/>
  <c r="K55" i="3"/>
  <c r="K70" i="3"/>
  <c r="K87" i="3"/>
  <c r="K109" i="3"/>
  <c r="K59" i="3"/>
  <c r="K71" i="3"/>
  <c r="K117" i="3"/>
  <c r="K84" i="3"/>
  <c r="K83" i="3"/>
  <c r="K79" i="3"/>
  <c r="K125" i="3"/>
  <c r="K120" i="3"/>
  <c r="K116" i="3"/>
  <c r="K108" i="3"/>
  <c r="K61" i="3"/>
  <c r="K18" i="3"/>
  <c r="K11" i="3"/>
  <c r="K10" i="3"/>
  <c r="K19" i="3"/>
  <c r="K36" i="3"/>
  <c r="K118" i="3"/>
  <c r="K95" i="3"/>
  <c r="K103" i="3"/>
  <c r="K111" i="3"/>
  <c r="K119" i="3"/>
  <c r="K127" i="3"/>
  <c r="K20" i="3"/>
  <c r="K110" i="3"/>
  <c r="K21" i="3"/>
  <c r="K42" i="3"/>
  <c r="K3" i="3"/>
  <c r="K27" i="3"/>
  <c r="K12" i="3"/>
  <c r="K28" i="3"/>
  <c r="K102" i="3"/>
  <c r="K126" i="3"/>
  <c r="K5" i="3"/>
  <c r="K29" i="3"/>
  <c r="K14" i="3"/>
  <c r="K30" i="3"/>
  <c r="K104" i="3"/>
  <c r="K23" i="3"/>
  <c r="K31" i="3"/>
  <c r="K72" i="3"/>
  <c r="K80" i="3"/>
  <c r="K88" i="3"/>
  <c r="K105" i="3"/>
  <c r="K129" i="3"/>
  <c r="K7" i="3"/>
  <c r="K81" i="3"/>
  <c r="K98" i="3"/>
  <c r="K114" i="3"/>
  <c r="K130" i="3"/>
  <c r="K4" i="3"/>
  <c r="K96" i="3"/>
  <c r="K112" i="3"/>
  <c r="K128" i="3"/>
  <c r="K15" i="3"/>
  <c r="K39" i="3"/>
  <c r="K48" i="3"/>
  <c r="K2" i="3"/>
  <c r="L30" i="34"/>
  <c r="AB3" i="34" l="1"/>
  <c r="K3" i="34"/>
  <c r="D3" i="34"/>
  <c r="B154" i="5" l="1"/>
  <c r="AB289" i="5" l="1"/>
  <c r="AB288" i="5"/>
  <c r="AB287" i="5"/>
  <c r="AB286" i="5"/>
  <c r="AB285" i="5"/>
  <c r="AB284" i="5"/>
  <c r="AB283" i="5"/>
  <c r="AB282" i="5"/>
  <c r="AB281" i="5"/>
  <c r="AB280" i="5"/>
  <c r="AB279" i="5"/>
  <c r="AB278" i="5"/>
  <c r="AB277" i="5"/>
  <c r="AB276" i="5"/>
  <c r="AB275" i="5"/>
  <c r="AB274" i="5"/>
  <c r="AB273" i="5"/>
  <c r="AB272" i="5"/>
  <c r="AB271" i="5"/>
  <c r="AB270" i="5"/>
  <c r="AB269" i="5"/>
  <c r="AB268" i="5"/>
  <c r="AB267" i="5"/>
  <c r="AB266" i="5"/>
  <c r="AB265" i="5"/>
  <c r="AB264" i="5"/>
  <c r="AB263" i="5"/>
  <c r="AB262" i="5"/>
  <c r="AB261" i="5"/>
  <c r="AB260" i="5"/>
  <c r="AB259" i="5"/>
  <c r="AB258" i="5"/>
  <c r="AB257" i="5"/>
  <c r="AB256" i="5"/>
  <c r="AB255" i="5"/>
  <c r="AB254" i="5"/>
  <c r="AB253" i="5"/>
  <c r="AB252" i="5"/>
  <c r="AB251" i="5"/>
  <c r="AB250" i="5"/>
  <c r="AB249" i="5"/>
  <c r="AB248" i="5"/>
  <c r="AB247" i="5"/>
  <c r="AB246" i="5"/>
  <c r="AB245" i="5"/>
  <c r="AB244" i="5"/>
  <c r="AB243" i="5"/>
  <c r="AB242" i="5"/>
  <c r="AB241" i="5"/>
  <c r="AB240" i="5"/>
  <c r="AB239" i="5"/>
  <c r="AB238" i="5"/>
  <c r="AB237" i="5"/>
  <c r="AB236" i="5"/>
  <c r="AB235" i="5"/>
  <c r="AB234" i="5"/>
  <c r="AB233" i="5"/>
  <c r="AB232" i="5"/>
  <c r="AB231" i="5"/>
  <c r="AB230" i="5"/>
  <c r="AB229" i="5"/>
  <c r="AB228" i="5"/>
  <c r="AB227" i="5"/>
  <c r="AB226" i="5"/>
  <c r="AB225" i="5"/>
  <c r="AB224" i="5"/>
  <c r="AB223" i="5"/>
  <c r="AB222" i="5"/>
  <c r="AB221" i="5"/>
  <c r="AB220" i="5"/>
  <c r="AB219" i="5"/>
  <c r="AB218" i="5"/>
  <c r="AB217" i="5"/>
  <c r="AB216" i="5"/>
  <c r="AB215" i="5"/>
  <c r="AB214" i="5"/>
  <c r="AB213" i="5"/>
  <c r="AB212" i="5"/>
  <c r="AB211" i="5"/>
  <c r="AB210" i="5"/>
  <c r="AB209" i="5"/>
  <c r="AB208" i="5"/>
  <c r="AB207" i="5"/>
  <c r="AB206" i="5"/>
  <c r="AB205" i="5"/>
  <c r="AB204" i="5"/>
  <c r="AB203" i="5"/>
  <c r="AB202" i="5"/>
  <c r="AB201" i="5"/>
  <c r="AB200" i="5"/>
  <c r="AB199" i="5"/>
  <c r="AB198" i="5"/>
  <c r="AB197" i="5"/>
  <c r="AB196" i="5"/>
  <c r="AB195" i="5"/>
  <c r="AB194" i="5"/>
  <c r="AB193" i="5"/>
  <c r="AB192" i="5"/>
  <c r="AB191" i="5"/>
  <c r="AB190" i="5"/>
  <c r="AB189" i="5"/>
  <c r="AB188" i="5"/>
  <c r="AB103" i="5"/>
  <c r="AB102" i="5"/>
  <c r="AB101" i="5"/>
  <c r="AB58" i="5"/>
  <c r="AB57" i="5"/>
  <c r="AB56" i="5"/>
  <c r="AB46" i="5"/>
  <c r="AB45" i="5"/>
  <c r="AB44" i="5"/>
  <c r="B5" i="5" l="1"/>
  <c r="B6" i="5"/>
  <c r="B7" i="5"/>
  <c r="S19" i="34" l="1"/>
  <c r="A1" i="22" l="1"/>
  <c r="S20" i="34" l="1"/>
  <c r="D20" i="13" l="1"/>
  <c r="D19" i="13"/>
  <c r="D18" i="13"/>
  <c r="D17" i="13"/>
  <c r="D16" i="13"/>
  <c r="D15" i="13"/>
  <c r="C14" i="13" l="1"/>
  <c r="J1" i="13" s="1"/>
  <c r="B35" i="5"/>
  <c r="M4" i="22" l="1"/>
  <c r="K27" i="6" l="1"/>
  <c r="E27" i="6"/>
  <c r="J24" i="6" s="1"/>
  <c r="M24" i="6" s="1"/>
  <c r="E26" i="6"/>
  <c r="I24" i="6" s="1"/>
  <c r="N24" i="6" s="1"/>
  <c r="E25" i="6"/>
  <c r="H24" i="6" s="1"/>
  <c r="K20" i="6"/>
  <c r="E20" i="6"/>
  <c r="J17" i="6" s="1"/>
  <c r="E19" i="6"/>
  <c r="I17" i="6" s="1"/>
  <c r="E18" i="6"/>
  <c r="H17" i="6" s="1"/>
  <c r="K13" i="6"/>
  <c r="E13" i="6"/>
  <c r="J10" i="6" s="1"/>
  <c r="E12" i="6"/>
  <c r="I10" i="6" s="1"/>
  <c r="L10" i="6" s="1"/>
  <c r="E11" i="6"/>
  <c r="H10" i="6"/>
  <c r="L50" i="55"/>
  <c r="B50" i="55"/>
  <c r="B49" i="55"/>
  <c r="B48" i="55"/>
  <c r="L43" i="55"/>
  <c r="B43" i="55"/>
  <c r="B42" i="55"/>
  <c r="B41" i="55"/>
  <c r="L36" i="55"/>
  <c r="B36" i="55"/>
  <c r="B35" i="55"/>
  <c r="B34" i="55"/>
  <c r="L29" i="55"/>
  <c r="B29" i="55"/>
  <c r="B28" i="55"/>
  <c r="B27" i="55"/>
  <c r="L22" i="55"/>
  <c r="B22" i="55"/>
  <c r="B21" i="55"/>
  <c r="B20" i="55"/>
  <c r="L15" i="55"/>
  <c r="B15" i="55"/>
  <c r="B14" i="55"/>
  <c r="B13" i="55"/>
  <c r="L8" i="55"/>
  <c r="O4" i="55"/>
  <c r="B139" i="3"/>
  <c r="C139" i="3" s="1"/>
  <c r="B138" i="3"/>
  <c r="C138" i="3" s="1"/>
  <c r="B137" i="3"/>
  <c r="C137" i="3" s="1"/>
  <c r="B136" i="3"/>
  <c r="C136" i="3" s="1"/>
  <c r="B135" i="3"/>
  <c r="C135" i="3" s="1"/>
  <c r="B134" i="3"/>
  <c r="C134" i="3" s="1"/>
  <c r="B133" i="3"/>
  <c r="C133" i="3" s="1"/>
  <c r="B132" i="3"/>
  <c r="C132" i="3" s="1"/>
  <c r="B131" i="3"/>
  <c r="C131" i="3" s="1"/>
  <c r="B130" i="3"/>
  <c r="C130" i="3" s="1"/>
  <c r="B129" i="3"/>
  <c r="C129" i="3" s="1"/>
  <c r="B128" i="3"/>
  <c r="C128" i="3" s="1"/>
  <c r="B127" i="3"/>
  <c r="C127" i="3" s="1"/>
  <c r="B126" i="3"/>
  <c r="C126" i="3" s="1"/>
  <c r="B125" i="3"/>
  <c r="C125" i="3" s="1"/>
  <c r="B124" i="3"/>
  <c r="C124" i="3" s="1"/>
  <c r="B123" i="3"/>
  <c r="C123" i="3" s="1"/>
  <c r="B122" i="3"/>
  <c r="C122" i="3" s="1"/>
  <c r="B121" i="3"/>
  <c r="C121" i="3" s="1"/>
  <c r="B120" i="3"/>
  <c r="C120" i="3" s="1"/>
  <c r="B119" i="3"/>
  <c r="C119" i="3" s="1"/>
  <c r="B118" i="3"/>
  <c r="C118" i="3" s="1"/>
  <c r="B117" i="3"/>
  <c r="C117" i="3" s="1"/>
  <c r="B116" i="3"/>
  <c r="C116" i="3" s="1"/>
  <c r="B115" i="3"/>
  <c r="C115" i="3" s="1"/>
  <c r="B114" i="3"/>
  <c r="C114" i="3" s="1"/>
  <c r="B113" i="3"/>
  <c r="C113" i="3" s="1"/>
  <c r="B112" i="3"/>
  <c r="C112" i="3" s="1"/>
  <c r="B111" i="3"/>
  <c r="C111" i="3" s="1"/>
  <c r="B110" i="3"/>
  <c r="C110" i="3" s="1"/>
  <c r="B109" i="3"/>
  <c r="C109" i="3" s="1"/>
  <c r="B108" i="3"/>
  <c r="C108" i="3" s="1"/>
  <c r="B107" i="3"/>
  <c r="C107" i="3" s="1"/>
  <c r="B106" i="3"/>
  <c r="C106" i="3" s="1"/>
  <c r="B105" i="3"/>
  <c r="C105" i="3" s="1"/>
  <c r="B104" i="3"/>
  <c r="C104" i="3" s="1"/>
  <c r="B103" i="3"/>
  <c r="C103" i="3" s="1"/>
  <c r="B102" i="3"/>
  <c r="C102" i="3" s="1"/>
  <c r="B101" i="3"/>
  <c r="C101" i="3" s="1"/>
  <c r="B100" i="3"/>
  <c r="C100" i="3" s="1"/>
  <c r="B99" i="3"/>
  <c r="C99" i="3" s="1"/>
  <c r="B98" i="3"/>
  <c r="C98" i="3" s="1"/>
  <c r="B97" i="3"/>
  <c r="C97" i="3" s="1"/>
  <c r="B96" i="3"/>
  <c r="C96" i="3" s="1"/>
  <c r="B95" i="3"/>
  <c r="C95" i="3" s="1"/>
  <c r="B94" i="3"/>
  <c r="C94" i="3" s="1"/>
  <c r="B93" i="3"/>
  <c r="C93" i="3" s="1"/>
  <c r="B92" i="3"/>
  <c r="C92" i="3" s="1"/>
  <c r="B91" i="3"/>
  <c r="C91" i="3" s="1"/>
  <c r="B90" i="3"/>
  <c r="C90" i="3" s="1"/>
  <c r="B89" i="3"/>
  <c r="C89" i="3" s="1"/>
  <c r="B88" i="3"/>
  <c r="C88" i="3" s="1"/>
  <c r="B87" i="3"/>
  <c r="C87" i="3" s="1"/>
  <c r="B86" i="3"/>
  <c r="C86" i="3" s="1"/>
  <c r="B85" i="3"/>
  <c r="C85" i="3" s="1"/>
  <c r="B84" i="3"/>
  <c r="C84" i="3" s="1"/>
  <c r="B83" i="3"/>
  <c r="C83" i="3" s="1"/>
  <c r="B82" i="3"/>
  <c r="C82" i="3" s="1"/>
  <c r="B81" i="3"/>
  <c r="C81" i="3" s="1"/>
  <c r="B80" i="3"/>
  <c r="C80" i="3" s="1"/>
  <c r="B79" i="3"/>
  <c r="C79" i="3" s="1"/>
  <c r="B78" i="3"/>
  <c r="C78" i="3" s="1"/>
  <c r="B77" i="3"/>
  <c r="C77" i="3" s="1"/>
  <c r="B76" i="3"/>
  <c r="C76" i="3" s="1"/>
  <c r="B75" i="3"/>
  <c r="C75" i="3" s="1"/>
  <c r="B74" i="3"/>
  <c r="C74" i="3" s="1"/>
  <c r="B73" i="3"/>
  <c r="C73" i="3" s="1"/>
  <c r="B72" i="3"/>
  <c r="C72" i="3" s="1"/>
  <c r="B71" i="3"/>
  <c r="C71" i="3" s="1"/>
  <c r="B70" i="3"/>
  <c r="C70" i="3" s="1"/>
  <c r="B69" i="3"/>
  <c r="C69" i="3" s="1"/>
  <c r="B68" i="3"/>
  <c r="C68" i="3" s="1"/>
  <c r="B67" i="3"/>
  <c r="C67" i="3" s="1"/>
  <c r="B66" i="3"/>
  <c r="C66" i="3" s="1"/>
  <c r="B65" i="3"/>
  <c r="C65" i="3" s="1"/>
  <c r="B64" i="3"/>
  <c r="C64" i="3" s="1"/>
  <c r="B63" i="3"/>
  <c r="C63" i="3" s="1"/>
  <c r="B62" i="3"/>
  <c r="C62" i="3" s="1"/>
  <c r="B61" i="3"/>
  <c r="C61" i="3" s="1"/>
  <c r="B60" i="3"/>
  <c r="C60" i="3" s="1"/>
  <c r="B59" i="3"/>
  <c r="C59" i="3" s="1"/>
  <c r="B58" i="3"/>
  <c r="C58" i="3" s="1"/>
  <c r="B57" i="3"/>
  <c r="C57" i="3" s="1"/>
  <c r="B56" i="3"/>
  <c r="C56" i="3" s="1"/>
  <c r="B55" i="3"/>
  <c r="C55" i="3" s="1"/>
  <c r="B54" i="3"/>
  <c r="C54" i="3" s="1"/>
  <c r="B53" i="3"/>
  <c r="C53" i="3" s="1"/>
  <c r="B52" i="3"/>
  <c r="C52" i="3" s="1"/>
  <c r="B51" i="3"/>
  <c r="C51" i="3" s="1"/>
  <c r="B50" i="3"/>
  <c r="C50" i="3" s="1"/>
  <c r="B49" i="3"/>
  <c r="C49" i="3" s="1"/>
  <c r="B48" i="3"/>
  <c r="C48" i="3" s="1"/>
  <c r="D47" i="3"/>
  <c r="B47" i="3"/>
  <c r="C47" i="3" s="1"/>
  <c r="D46" i="3"/>
  <c r="B46" i="3"/>
  <c r="C46" i="3" s="1"/>
  <c r="D45" i="3"/>
  <c r="B45" i="3"/>
  <c r="C45" i="3" s="1"/>
  <c r="D44" i="3"/>
  <c r="B44" i="3"/>
  <c r="C44" i="3" s="1"/>
  <c r="D43" i="3"/>
  <c r="B43" i="3"/>
  <c r="C43" i="3" s="1"/>
  <c r="D42" i="3"/>
  <c r="B42" i="3"/>
  <c r="C42" i="3" s="1"/>
  <c r="D41" i="3"/>
  <c r="B41" i="3"/>
  <c r="C41" i="3" s="1"/>
  <c r="D40" i="3"/>
  <c r="B40" i="3"/>
  <c r="C40" i="3" s="1"/>
  <c r="D39" i="3"/>
  <c r="B39" i="3"/>
  <c r="C39" i="3" s="1"/>
  <c r="D38" i="3"/>
  <c r="B38" i="3"/>
  <c r="C38" i="3" s="1"/>
  <c r="D37" i="3"/>
  <c r="B37" i="3"/>
  <c r="C37" i="3" s="1"/>
  <c r="D36" i="3"/>
  <c r="B36" i="3"/>
  <c r="C36" i="3" s="1"/>
  <c r="D35" i="3"/>
  <c r="B35" i="3"/>
  <c r="C35" i="3" s="1"/>
  <c r="D34" i="3"/>
  <c r="B34" i="3"/>
  <c r="C34" i="3" s="1"/>
  <c r="D33" i="3"/>
  <c r="B33" i="3"/>
  <c r="C33" i="3" s="1"/>
  <c r="D32" i="3"/>
  <c r="B32" i="3"/>
  <c r="C32" i="3" s="1"/>
  <c r="D31" i="3"/>
  <c r="B31" i="3"/>
  <c r="C31" i="3" s="1"/>
  <c r="D30" i="3"/>
  <c r="B30" i="3"/>
  <c r="C30" i="3" s="1"/>
  <c r="D29" i="3"/>
  <c r="B29" i="3"/>
  <c r="C29" i="3" s="1"/>
  <c r="D28" i="3"/>
  <c r="B28" i="3"/>
  <c r="C28" i="3" s="1"/>
  <c r="D27" i="3"/>
  <c r="B27" i="3"/>
  <c r="C27" i="3" s="1"/>
  <c r="D26" i="3"/>
  <c r="B26" i="3"/>
  <c r="C26" i="3" s="1"/>
  <c r="D25" i="3"/>
  <c r="B25" i="3"/>
  <c r="C25" i="3" s="1"/>
  <c r="D24" i="3"/>
  <c r="B24" i="3"/>
  <c r="C24" i="3" s="1"/>
  <c r="D23" i="3"/>
  <c r="B23" i="3"/>
  <c r="C23" i="3" s="1"/>
  <c r="D22" i="3"/>
  <c r="B22" i="3"/>
  <c r="C22" i="3" s="1"/>
  <c r="D21" i="3"/>
  <c r="B21" i="3"/>
  <c r="C21" i="3" s="1"/>
  <c r="D20" i="3"/>
  <c r="B20" i="3"/>
  <c r="C20" i="3" s="1"/>
  <c r="D19" i="3"/>
  <c r="B19" i="3"/>
  <c r="C19" i="3" s="1"/>
  <c r="D18" i="3"/>
  <c r="B18" i="3"/>
  <c r="C18" i="3" s="1"/>
  <c r="D17" i="3"/>
  <c r="B17" i="3"/>
  <c r="C17" i="3" s="1"/>
  <c r="D16" i="3"/>
  <c r="B16" i="3"/>
  <c r="C16" i="3" s="1"/>
  <c r="D15" i="3"/>
  <c r="B15" i="3"/>
  <c r="C15" i="3" s="1"/>
  <c r="D14" i="3"/>
  <c r="B14" i="3"/>
  <c r="C14" i="3" s="1"/>
  <c r="D13" i="3"/>
  <c r="B13" i="3"/>
  <c r="C13" i="3" s="1"/>
  <c r="D12" i="3"/>
  <c r="B12" i="3"/>
  <c r="C12" i="3" s="1"/>
  <c r="D11" i="3"/>
  <c r="B11" i="3"/>
  <c r="C11" i="3" s="1"/>
  <c r="D10" i="3"/>
  <c r="B10" i="3"/>
  <c r="C10" i="3" s="1"/>
  <c r="D9" i="3"/>
  <c r="B9" i="3"/>
  <c r="C9" i="3" s="1"/>
  <c r="D8" i="3"/>
  <c r="B8" i="3"/>
  <c r="C8" i="3" s="1"/>
  <c r="D7" i="3"/>
  <c r="B7" i="3"/>
  <c r="C7" i="3" s="1"/>
  <c r="D6" i="3"/>
  <c r="B6" i="3"/>
  <c r="C6" i="3" s="1"/>
  <c r="D5" i="3"/>
  <c r="B5" i="3"/>
  <c r="C5" i="3" s="1"/>
  <c r="D4" i="3"/>
  <c r="B4" i="3"/>
  <c r="C4" i="3" s="1"/>
  <c r="D3" i="3"/>
  <c r="B3" i="3"/>
  <c r="C3" i="3" s="1"/>
  <c r="D2" i="3"/>
  <c r="B2" i="3"/>
  <c r="C2" i="3" s="1"/>
  <c r="A101" i="48"/>
  <c r="A100" i="48"/>
  <c r="A99" i="48"/>
  <c r="A98" i="48"/>
  <c r="A97" i="48"/>
  <c r="A96" i="48"/>
  <c r="A95" i="48"/>
  <c r="A94" i="48"/>
  <c r="A93" i="48"/>
  <c r="A92" i="48"/>
  <c r="A91" i="48"/>
  <c r="A90" i="48"/>
  <c r="A89" i="48"/>
  <c r="A88" i="48"/>
  <c r="A87" i="48"/>
  <c r="A86" i="48"/>
  <c r="A85" i="48"/>
  <c r="A84" i="48"/>
  <c r="A83" i="48"/>
  <c r="A82" i="48"/>
  <c r="A81" i="48"/>
  <c r="A80" i="48"/>
  <c r="A79" i="48"/>
  <c r="A78" i="48"/>
  <c r="A77" i="48"/>
  <c r="A76" i="48"/>
  <c r="A75" i="48"/>
  <c r="A74" i="48"/>
  <c r="A73" i="48"/>
  <c r="A72" i="48"/>
  <c r="A71" i="48"/>
  <c r="A70" i="48"/>
  <c r="A69" i="48"/>
  <c r="A68" i="48"/>
  <c r="A67" i="48"/>
  <c r="A66" i="48"/>
  <c r="A65" i="48"/>
  <c r="A64" i="48"/>
  <c r="A63" i="48"/>
  <c r="A62" i="48"/>
  <c r="A61" i="48"/>
  <c r="A60" i="48"/>
  <c r="A59" i="48"/>
  <c r="A58" i="48"/>
  <c r="A57" i="48"/>
  <c r="A56" i="48"/>
  <c r="A55" i="48"/>
  <c r="A54" i="48"/>
  <c r="A53" i="48"/>
  <c r="A52" i="48"/>
  <c r="A51" i="48"/>
  <c r="A50" i="48"/>
  <c r="A49" i="48"/>
  <c r="A48" i="48"/>
  <c r="A47" i="48"/>
  <c r="A46" i="48"/>
  <c r="A45" i="48"/>
  <c r="A44" i="48"/>
  <c r="A43" i="48"/>
  <c r="A42" i="48"/>
  <c r="A41" i="48"/>
  <c r="A40" i="48"/>
  <c r="A39" i="48"/>
  <c r="A38" i="48"/>
  <c r="A37" i="48"/>
  <c r="A36" i="48"/>
  <c r="A35" i="48"/>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7" i="48"/>
  <c r="L6" i="48"/>
  <c r="A6" i="48"/>
  <c r="A5" i="48"/>
  <c r="A4" i="48"/>
  <c r="A3" i="48"/>
  <c r="M2" i="48"/>
  <c r="I1" i="48" s="1"/>
  <c r="A2" i="48"/>
  <c r="B13" i="10"/>
  <c r="B8" i="10"/>
  <c r="B3" i="10"/>
  <c r="L93" i="13"/>
  <c r="R91" i="13"/>
  <c r="L91" i="13"/>
  <c r="R89" i="13"/>
  <c r="L89" i="13"/>
  <c r="AV9" i="13"/>
  <c r="R87" i="13"/>
  <c r="L87" i="13"/>
  <c r="AV7" i="13"/>
  <c r="R85" i="13"/>
  <c r="L85" i="13"/>
  <c r="R83" i="13"/>
  <c r="L83" i="13"/>
  <c r="AV2" i="13"/>
  <c r="AL3" i="25" s="1"/>
  <c r="R81" i="13"/>
  <c r="L81" i="13"/>
  <c r="R79" i="13"/>
  <c r="R77" i="13"/>
  <c r="R75" i="13"/>
  <c r="R73" i="13"/>
  <c r="M73" i="13"/>
  <c r="AP10" i="13"/>
  <c r="M72" i="13"/>
  <c r="L72" i="13"/>
  <c r="M71" i="13"/>
  <c r="AP8" i="13"/>
  <c r="M70" i="13"/>
  <c r="L70" i="13"/>
  <c r="M69" i="13"/>
  <c r="M68" i="13"/>
  <c r="L68" i="13"/>
  <c r="M67" i="13"/>
  <c r="AP4" i="13"/>
  <c r="M66" i="13"/>
  <c r="L66" i="13"/>
  <c r="M65" i="13"/>
  <c r="AP2" i="13"/>
  <c r="AG3" i="25" s="1"/>
  <c r="R64" i="13"/>
  <c r="K65" i="25" s="1"/>
  <c r="M64" i="13"/>
  <c r="L64" i="13"/>
  <c r="M63" i="13"/>
  <c r="R62" i="13"/>
  <c r="K63" i="25" s="1"/>
  <c r="M62" i="13"/>
  <c r="L62" i="13"/>
  <c r="R60" i="13"/>
  <c r="L60" i="13"/>
  <c r="R58" i="13"/>
  <c r="K59" i="25" s="1"/>
  <c r="L58" i="13"/>
  <c r="AJ19" i="13"/>
  <c r="R56" i="13"/>
  <c r="K57" i="25" s="1"/>
  <c r="L56" i="13"/>
  <c r="AJ17" i="13"/>
  <c r="AB18" i="25" s="1"/>
  <c r="R54" i="13"/>
  <c r="K55" i="25" s="1"/>
  <c r="L54" i="13"/>
  <c r="Y53" i="13"/>
  <c r="AJ15" i="13"/>
  <c r="Y52" i="13"/>
  <c r="X52" i="13"/>
  <c r="R52" i="13"/>
  <c r="K53" i="25" s="1"/>
  <c r="L52" i="13"/>
  <c r="Y51" i="13"/>
  <c r="AJ13" i="13"/>
  <c r="Y50" i="13"/>
  <c r="X50" i="13"/>
  <c r="R50" i="13"/>
  <c r="K51" i="25" s="1"/>
  <c r="L50" i="13"/>
  <c r="Y49" i="13"/>
  <c r="Y48" i="13"/>
  <c r="X48" i="13"/>
  <c r="R48" i="13"/>
  <c r="L48" i="13"/>
  <c r="Y47" i="13"/>
  <c r="Y46" i="13"/>
  <c r="X46" i="13"/>
  <c r="R46" i="13"/>
  <c r="K47" i="25" s="1"/>
  <c r="L46" i="13"/>
  <c r="AJ8" i="13"/>
  <c r="AB9" i="25" s="1"/>
  <c r="Y45" i="13"/>
  <c r="Y44" i="13"/>
  <c r="X44" i="13"/>
  <c r="R44" i="13"/>
  <c r="K45" i="25" s="1"/>
  <c r="L44" i="13"/>
  <c r="AJ6" i="13"/>
  <c r="AB7" i="25" s="1"/>
  <c r="Y43" i="13"/>
  <c r="Y42" i="13"/>
  <c r="X42" i="13"/>
  <c r="R42" i="13"/>
  <c r="K43" i="25" s="1"/>
  <c r="L42" i="13"/>
  <c r="AJ4" i="13"/>
  <c r="AB5" i="25" s="1"/>
  <c r="Y41" i="13"/>
  <c r="Y40" i="13"/>
  <c r="X40" i="13"/>
  <c r="R40" i="13"/>
  <c r="K41" i="25" s="1"/>
  <c r="L40" i="13"/>
  <c r="AJ2" i="13"/>
  <c r="AB3" i="25" s="1"/>
  <c r="Y39" i="13"/>
  <c r="Y38" i="13"/>
  <c r="X38" i="13"/>
  <c r="R38" i="13"/>
  <c r="K39" i="25" s="1"/>
  <c r="L38" i="13"/>
  <c r="R36" i="13"/>
  <c r="L36" i="13"/>
  <c r="R34" i="13"/>
  <c r="K35" i="25" s="1"/>
  <c r="L34" i="13"/>
  <c r="V33" i="13"/>
  <c r="O34" i="25" s="1"/>
  <c r="X32" i="13"/>
  <c r="V32" i="13"/>
  <c r="R32" i="13"/>
  <c r="L32" i="13"/>
  <c r="V31" i="13"/>
  <c r="AB16" i="13" s="1"/>
  <c r="X30" i="13"/>
  <c r="Q31" i="25" s="1"/>
  <c r="V30" i="13"/>
  <c r="O31" i="25" s="1"/>
  <c r="R30" i="13"/>
  <c r="K31" i="25" s="1"/>
  <c r="L30" i="13"/>
  <c r="V29" i="13"/>
  <c r="O30" i="25" s="1"/>
  <c r="AD28" i="13"/>
  <c r="X28" i="13"/>
  <c r="Q29" i="25" s="1"/>
  <c r="V28" i="13"/>
  <c r="AB15" i="13" s="1"/>
  <c r="R28" i="13"/>
  <c r="K29" i="25" s="1"/>
  <c r="L28" i="13"/>
  <c r="V27" i="13"/>
  <c r="O28" i="25" s="1"/>
  <c r="AD26" i="13"/>
  <c r="X26" i="13"/>
  <c r="V26" i="13"/>
  <c r="AB14" i="13" s="1"/>
  <c r="U15" i="25" s="1"/>
  <c r="R26" i="13"/>
  <c r="K27" i="25" s="1"/>
  <c r="L26" i="13"/>
  <c r="V25" i="13"/>
  <c r="O26" i="25" s="1"/>
  <c r="X24" i="13"/>
  <c r="Q25" i="25" s="1"/>
  <c r="V24" i="13"/>
  <c r="O25" i="25" s="1"/>
  <c r="R24" i="13"/>
  <c r="K25" i="25" s="1"/>
  <c r="L24" i="13"/>
  <c r="V23" i="13"/>
  <c r="O24" i="25" s="1"/>
  <c r="X22" i="13"/>
  <c r="Q23" i="25" s="1"/>
  <c r="V22" i="13"/>
  <c r="AB12" i="13" s="1"/>
  <c r="U13" i="25" s="1"/>
  <c r="R22" i="13"/>
  <c r="L22" i="13"/>
  <c r="V21" i="13"/>
  <c r="X20" i="13"/>
  <c r="Q21" i="25" s="1"/>
  <c r="V20" i="13"/>
  <c r="O21" i="25" s="1"/>
  <c r="R20" i="13"/>
  <c r="K21" i="25" s="1"/>
  <c r="L20" i="13"/>
  <c r="AJ2" i="25"/>
  <c r="V19" i="13"/>
  <c r="O20" i="25" s="1"/>
  <c r="X18" i="13"/>
  <c r="Q19" i="25" s="1"/>
  <c r="V18" i="13"/>
  <c r="O19" i="25" s="1"/>
  <c r="R18" i="13"/>
  <c r="K19" i="25" s="1"/>
  <c r="L18" i="13"/>
  <c r="Z2" i="25"/>
  <c r="V17" i="13"/>
  <c r="U2" i="25"/>
  <c r="AD16" i="13"/>
  <c r="W17" i="25" s="1"/>
  <c r="X16" i="13"/>
  <c r="V16" i="13"/>
  <c r="O17" i="25" s="1"/>
  <c r="R16" i="13"/>
  <c r="K17" i="25" s="1"/>
  <c r="L16" i="13"/>
  <c r="O2" i="25"/>
  <c r="V15" i="13"/>
  <c r="O16" i="25" s="1"/>
  <c r="I2" i="25"/>
  <c r="AD14" i="13"/>
  <c r="W15" i="25" s="1"/>
  <c r="X14" i="13"/>
  <c r="V14" i="13"/>
  <c r="R14" i="13"/>
  <c r="K15" i="25" s="1"/>
  <c r="L14" i="13"/>
  <c r="D14" i="13"/>
  <c r="V13" i="13"/>
  <c r="O14" i="25" s="1"/>
  <c r="AD12" i="13"/>
  <c r="W13" i="25" s="1"/>
  <c r="X12" i="13"/>
  <c r="V12" i="13"/>
  <c r="R12" i="13"/>
  <c r="K13" i="25" s="1"/>
  <c r="L12" i="13"/>
  <c r="V11" i="13"/>
  <c r="O12" i="25" s="1"/>
  <c r="X10" i="13"/>
  <c r="Q11" i="25" s="1"/>
  <c r="V10" i="13"/>
  <c r="O11" i="25" s="1"/>
  <c r="R10" i="13"/>
  <c r="K11" i="25" s="1"/>
  <c r="L10" i="13"/>
  <c r="V9" i="13"/>
  <c r="O10" i="25" s="1"/>
  <c r="AD8" i="13"/>
  <c r="X8" i="13"/>
  <c r="Q9" i="25" s="1"/>
  <c r="V8" i="13"/>
  <c r="O9" i="25" s="1"/>
  <c r="R8" i="13"/>
  <c r="K9" i="25" s="1"/>
  <c r="L8" i="13"/>
  <c r="V7" i="13"/>
  <c r="O8" i="25" s="1"/>
  <c r="AD6" i="13"/>
  <c r="W7" i="25" s="1"/>
  <c r="X6" i="13"/>
  <c r="Q7" i="25" s="1"/>
  <c r="V6" i="13"/>
  <c r="O7" i="25" s="1"/>
  <c r="R6" i="13"/>
  <c r="K7" i="25" s="1"/>
  <c r="L6" i="13"/>
  <c r="V5" i="13"/>
  <c r="AD4" i="13"/>
  <c r="W5" i="25" s="1"/>
  <c r="X4" i="13"/>
  <c r="Q5" i="25" s="1"/>
  <c r="V4" i="13"/>
  <c r="O5" i="25" s="1"/>
  <c r="R4" i="13"/>
  <c r="K5" i="25" s="1"/>
  <c r="L4" i="13"/>
  <c r="B4" i="13"/>
  <c r="B6" i="13" s="1"/>
  <c r="V3" i="13"/>
  <c r="AD2" i="13"/>
  <c r="W3" i="25" s="1"/>
  <c r="X2" i="13"/>
  <c r="V2" i="13"/>
  <c r="O3" i="25" s="1"/>
  <c r="R2" i="13"/>
  <c r="K3" i="25" s="1"/>
  <c r="L2" i="13"/>
  <c r="C30" i="54"/>
  <c r="C29" i="54"/>
  <c r="C28" i="54"/>
  <c r="C27" i="54"/>
  <c r="C26" i="54"/>
  <c r="C25" i="54"/>
  <c r="C24" i="54"/>
  <c r="C23" i="54"/>
  <c r="C22" i="54"/>
  <c r="C21" i="54"/>
  <c r="C20" i="54"/>
  <c r="C19" i="54"/>
  <c r="C18" i="54"/>
  <c r="C17" i="54"/>
  <c r="C16" i="54"/>
  <c r="C15" i="54"/>
  <c r="C14" i="54"/>
  <c r="C13" i="54"/>
  <c r="C12" i="54"/>
  <c r="C11" i="54"/>
  <c r="C10" i="54"/>
  <c r="C9" i="54"/>
  <c r="C8" i="54"/>
  <c r="C7" i="54"/>
  <c r="AC34" i="34"/>
  <c r="AC33" i="34"/>
  <c r="AC32" i="34"/>
  <c r="AC31" i="34"/>
  <c r="I189" i="1"/>
  <c r="I188" i="1"/>
  <c r="I187" i="1"/>
  <c r="I186" i="1"/>
  <c r="I185" i="1"/>
  <c r="I184" i="1"/>
  <c r="I183" i="1"/>
  <c r="I182" i="1"/>
  <c r="I181" i="1"/>
  <c r="I180" i="1"/>
  <c r="I179" i="1"/>
  <c r="I178" i="1"/>
  <c r="I177" i="1"/>
  <c r="I176" i="1"/>
  <c r="I175" i="1"/>
  <c r="I174" i="1"/>
  <c r="I173" i="1"/>
  <c r="I172" i="1"/>
  <c r="I171" i="1"/>
  <c r="I170" i="1"/>
  <c r="I169" i="1"/>
  <c r="I168" i="1"/>
  <c r="I167" i="1"/>
  <c r="B173" i="1"/>
  <c r="A173" i="5" s="1"/>
  <c r="A174" i="5" s="1"/>
  <c r="I166" i="1"/>
  <c r="I165" i="1"/>
  <c r="I164" i="1"/>
  <c r="B170" i="1"/>
  <c r="A170" i="5" s="1"/>
  <c r="A170" i="24" s="1"/>
  <c r="I163" i="1"/>
  <c r="I162" i="1"/>
  <c r="I161" i="1"/>
  <c r="B167" i="1"/>
  <c r="A167" i="5" s="1"/>
  <c r="A168" i="5" s="1"/>
  <c r="I160" i="1"/>
  <c r="I159" i="1"/>
  <c r="I158" i="1"/>
  <c r="B164" i="1"/>
  <c r="A164" i="5" s="1"/>
  <c r="I157" i="1"/>
  <c r="I156" i="1"/>
  <c r="I155" i="1"/>
  <c r="B161" i="1"/>
  <c r="A161" i="5" s="1"/>
  <c r="I154" i="1"/>
  <c r="I153" i="1"/>
  <c r="I152" i="1"/>
  <c r="B158" i="1"/>
  <c r="A158" i="5" s="1"/>
  <c r="A158" i="24" s="1"/>
  <c r="I151" i="1"/>
  <c r="I150" i="1"/>
  <c r="I149" i="1"/>
  <c r="B155" i="1"/>
  <c r="A155" i="5" s="1"/>
  <c r="A155" i="24" s="1"/>
  <c r="I148" i="1"/>
  <c r="I147" i="1"/>
  <c r="I146" i="1"/>
  <c r="B152" i="1"/>
  <c r="A152" i="5" s="1"/>
  <c r="I145" i="1"/>
  <c r="I144" i="1"/>
  <c r="I143" i="1"/>
  <c r="B149" i="1"/>
  <c r="A149" i="5" s="1"/>
  <c r="A149" i="24" s="1"/>
  <c r="I142" i="1"/>
  <c r="I141" i="1"/>
  <c r="I140" i="1"/>
  <c r="B146" i="1"/>
  <c r="A146" i="5" s="1"/>
  <c r="A146" i="24" s="1"/>
  <c r="I139" i="1"/>
  <c r="I138" i="1"/>
  <c r="I137" i="1"/>
  <c r="B143" i="1"/>
  <c r="A143" i="5" s="1"/>
  <c r="I136" i="1"/>
  <c r="I135" i="1"/>
  <c r="I134" i="1"/>
  <c r="B140" i="1"/>
  <c r="A140" i="5" s="1"/>
  <c r="A141" i="5" s="1"/>
  <c r="I133" i="1"/>
  <c r="I132" i="1"/>
  <c r="I131" i="1"/>
  <c r="B137" i="1"/>
  <c r="A137" i="5" s="1"/>
  <c r="A139" i="5" s="1"/>
  <c r="I130" i="1"/>
  <c r="I129" i="1"/>
  <c r="I128" i="1"/>
  <c r="B134" i="1"/>
  <c r="A134" i="5" s="1"/>
  <c r="A136" i="5" s="1"/>
  <c r="I127" i="1"/>
  <c r="I126" i="1"/>
  <c r="I125" i="1"/>
  <c r="B131" i="1"/>
  <c r="A131" i="5" s="1"/>
  <c r="A133" i="5" s="1"/>
  <c r="I124" i="1"/>
  <c r="I123" i="1"/>
  <c r="I122" i="1"/>
  <c r="B128" i="1"/>
  <c r="A128" i="5" s="1"/>
  <c r="A130" i="5" s="1"/>
  <c r="I121" i="1"/>
  <c r="I120" i="1"/>
  <c r="I119" i="1"/>
  <c r="B125" i="1"/>
  <c r="A125" i="5" s="1"/>
  <c r="A127" i="5" s="1"/>
  <c r="I118" i="1"/>
  <c r="I117" i="1"/>
  <c r="I116" i="1"/>
  <c r="B122" i="1"/>
  <c r="A122" i="5" s="1"/>
  <c r="A124" i="5" s="1"/>
  <c r="I115" i="1"/>
  <c r="I114" i="1"/>
  <c r="I113" i="1"/>
  <c r="B119" i="1"/>
  <c r="A119" i="5" s="1"/>
  <c r="A121" i="5" s="1"/>
  <c r="I112" i="1"/>
  <c r="I111" i="1"/>
  <c r="I110" i="1"/>
  <c r="B116" i="1"/>
  <c r="A116" i="5" s="1"/>
  <c r="I109" i="1"/>
  <c r="I108" i="1"/>
  <c r="I107" i="1"/>
  <c r="B113" i="1"/>
  <c r="A113" i="5" s="1"/>
  <c r="A115" i="5" s="1"/>
  <c r="I106" i="1"/>
  <c r="I105" i="1"/>
  <c r="I104" i="1"/>
  <c r="B110" i="1"/>
  <c r="A110" i="5" s="1"/>
  <c r="I103" i="1"/>
  <c r="I102" i="1"/>
  <c r="I101" i="1"/>
  <c r="B107" i="1"/>
  <c r="A107" i="5" s="1"/>
  <c r="I100" i="1"/>
  <c r="I99" i="1"/>
  <c r="I98" i="1"/>
  <c r="B104" i="1"/>
  <c r="A104" i="5" s="1"/>
  <c r="I97" i="1"/>
  <c r="I96" i="1"/>
  <c r="I95" i="1"/>
  <c r="B101" i="1"/>
  <c r="A101" i="5" s="1"/>
  <c r="A103" i="5" s="1"/>
  <c r="I94" i="1"/>
  <c r="I93" i="1"/>
  <c r="I92" i="1"/>
  <c r="B98" i="1"/>
  <c r="A98" i="5" s="1"/>
  <c r="A100" i="5" s="1"/>
  <c r="I91" i="1"/>
  <c r="I90" i="1"/>
  <c r="I89" i="1"/>
  <c r="B95" i="1"/>
  <c r="A95" i="5" s="1"/>
  <c r="A97" i="5" s="1"/>
  <c r="I88" i="1"/>
  <c r="I87" i="1"/>
  <c r="I86" i="1"/>
  <c r="B92" i="1"/>
  <c r="A92" i="5" s="1"/>
  <c r="A94" i="5" s="1"/>
  <c r="I85" i="1"/>
  <c r="I84" i="1"/>
  <c r="I83" i="1"/>
  <c r="B89" i="1"/>
  <c r="A89" i="5" s="1"/>
  <c r="A91" i="5" s="1"/>
  <c r="I82" i="1"/>
  <c r="I81" i="1"/>
  <c r="I80" i="1"/>
  <c r="B86" i="1"/>
  <c r="A86" i="5" s="1"/>
  <c r="A88" i="5" s="1"/>
  <c r="I79" i="1"/>
  <c r="I78" i="1"/>
  <c r="I77" i="1"/>
  <c r="B83" i="1"/>
  <c r="A83" i="5" s="1"/>
  <c r="A85" i="5" s="1"/>
  <c r="I76" i="1"/>
  <c r="I75" i="1"/>
  <c r="I74" i="1"/>
  <c r="B80" i="1"/>
  <c r="A80" i="5" s="1"/>
  <c r="A82" i="5" s="1"/>
  <c r="I73" i="1"/>
  <c r="I72" i="1"/>
  <c r="I71" i="1"/>
  <c r="B77" i="1"/>
  <c r="A77" i="5" s="1"/>
  <c r="A79" i="5" s="1"/>
  <c r="I70" i="1"/>
  <c r="I69" i="1"/>
  <c r="I68" i="1"/>
  <c r="B74" i="1"/>
  <c r="A74" i="5" s="1"/>
  <c r="A76" i="5" s="1"/>
  <c r="B71" i="1"/>
  <c r="A71" i="5" s="1"/>
  <c r="A73" i="5" s="1"/>
  <c r="I63" i="1"/>
  <c r="I62" i="1"/>
  <c r="B68" i="1"/>
  <c r="A68" i="5" s="1"/>
  <c r="A70" i="5" s="1"/>
  <c r="I61" i="1"/>
  <c r="I60" i="1"/>
  <c r="B65" i="1"/>
  <c r="A65" i="5" s="1"/>
  <c r="A65" i="24" s="1"/>
  <c r="B62" i="1"/>
  <c r="A62" i="5" s="1"/>
  <c r="A64" i="5" s="1"/>
  <c r="AJ59" i="1"/>
  <c r="I59" i="1"/>
  <c r="B59" i="1"/>
  <c r="A59" i="5" s="1"/>
  <c r="AJ58" i="1"/>
  <c r="I58" i="1"/>
  <c r="AJ57" i="1"/>
  <c r="I57" i="1"/>
  <c r="AJ56" i="1"/>
  <c r="I56" i="1"/>
  <c r="B56" i="1"/>
  <c r="A56" i="5" s="1"/>
  <c r="AJ55" i="1"/>
  <c r="I55" i="1"/>
  <c r="AJ54" i="1"/>
  <c r="I54" i="1"/>
  <c r="AJ53" i="1"/>
  <c r="I53" i="1"/>
  <c r="B53" i="1"/>
  <c r="A53" i="5" s="1"/>
  <c r="A53" i="24" s="1"/>
  <c r="AJ52" i="1"/>
  <c r="I52" i="1"/>
  <c r="AJ51" i="1"/>
  <c r="I51" i="1"/>
  <c r="AJ50" i="1"/>
  <c r="I50" i="1"/>
  <c r="B50" i="1"/>
  <c r="A50" i="5" s="1"/>
  <c r="A50" i="24" s="1"/>
  <c r="AJ49" i="1"/>
  <c r="I49" i="1"/>
  <c r="AJ48" i="1"/>
  <c r="I48" i="1"/>
  <c r="AJ47" i="1"/>
  <c r="I47" i="1"/>
  <c r="B47" i="1"/>
  <c r="A47" i="5" s="1"/>
  <c r="A47" i="24" s="1"/>
  <c r="AJ46" i="1"/>
  <c r="I46" i="1"/>
  <c r="AJ45" i="1"/>
  <c r="I45" i="1"/>
  <c r="AJ44" i="1"/>
  <c r="I44" i="1"/>
  <c r="B44" i="1"/>
  <c r="A44" i="5" s="1"/>
  <c r="A45" i="5" s="1"/>
  <c r="AJ43" i="1"/>
  <c r="I43" i="1"/>
  <c r="AJ42" i="1"/>
  <c r="I42" i="1"/>
  <c r="AJ41" i="1"/>
  <c r="I41" i="1"/>
  <c r="B41" i="1"/>
  <c r="A41" i="5" s="1"/>
  <c r="AJ40" i="1"/>
  <c r="I40" i="1"/>
  <c r="AJ39" i="1"/>
  <c r="I39" i="1"/>
  <c r="AJ38" i="1"/>
  <c r="I38" i="1"/>
  <c r="B38" i="1"/>
  <c r="A38" i="5" s="1"/>
  <c r="A38" i="24" s="1"/>
  <c r="AJ37" i="1"/>
  <c r="I37" i="1"/>
  <c r="AJ36" i="1"/>
  <c r="I36" i="1"/>
  <c r="AJ35" i="1"/>
  <c r="I35" i="1"/>
  <c r="C35" i="1"/>
  <c r="B35" i="1"/>
  <c r="A35" i="5" s="1"/>
  <c r="A37" i="5" s="1"/>
  <c r="AJ34" i="1"/>
  <c r="I34" i="1"/>
  <c r="AJ33" i="1"/>
  <c r="I33" i="1"/>
  <c r="AJ32" i="1"/>
  <c r="I32" i="1"/>
  <c r="B32" i="1"/>
  <c r="A32" i="5" s="1"/>
  <c r="AJ31" i="1"/>
  <c r="I31" i="1"/>
  <c r="AJ30" i="1"/>
  <c r="I30" i="1"/>
  <c r="AJ29" i="1"/>
  <c r="I29" i="1"/>
  <c r="B29" i="1"/>
  <c r="A29" i="5" s="1"/>
  <c r="AJ28" i="1"/>
  <c r="I28" i="1"/>
  <c r="AJ27" i="1"/>
  <c r="I27" i="1"/>
  <c r="AJ26" i="1"/>
  <c r="I26" i="1"/>
  <c r="B26" i="1"/>
  <c r="A26" i="5" s="1"/>
  <c r="AJ25" i="1"/>
  <c r="I25" i="1"/>
  <c r="AJ24" i="1"/>
  <c r="I24" i="1"/>
  <c r="AJ23" i="1"/>
  <c r="I23" i="1"/>
  <c r="B23" i="1"/>
  <c r="A23" i="5" s="1"/>
  <c r="A23" i="24" s="1"/>
  <c r="AJ22" i="1"/>
  <c r="I22" i="1"/>
  <c r="AJ21" i="1"/>
  <c r="I21" i="1"/>
  <c r="AJ20" i="1"/>
  <c r="I20" i="1"/>
  <c r="B20" i="1"/>
  <c r="A20" i="5" s="1"/>
  <c r="AJ19" i="1"/>
  <c r="I19" i="1"/>
  <c r="AJ18" i="1"/>
  <c r="I18" i="1"/>
  <c r="AJ17" i="1"/>
  <c r="I17" i="1"/>
  <c r="B17" i="1"/>
  <c r="A17" i="5" s="1"/>
  <c r="A18" i="5" s="1"/>
  <c r="AJ16" i="1"/>
  <c r="I16" i="1"/>
  <c r="AJ15" i="1"/>
  <c r="I15" i="1"/>
  <c r="AJ14" i="1"/>
  <c r="I14" i="1"/>
  <c r="B14" i="1"/>
  <c r="A14" i="5" s="1"/>
  <c r="A14" i="24" s="1"/>
  <c r="AJ13" i="1"/>
  <c r="I13" i="1"/>
  <c r="AJ12" i="1"/>
  <c r="I12" i="1"/>
  <c r="AJ11" i="1"/>
  <c r="I11" i="1"/>
  <c r="B11" i="1"/>
  <c r="A11" i="5" s="1"/>
  <c r="A11" i="24" s="1"/>
  <c r="AJ10" i="1"/>
  <c r="I10" i="1"/>
  <c r="AJ9" i="1"/>
  <c r="I9" i="1"/>
  <c r="AJ8" i="1"/>
  <c r="I8" i="1"/>
  <c r="B8" i="1"/>
  <c r="A8" i="5" s="1"/>
  <c r="A10" i="5" s="1"/>
  <c r="AJ7" i="1"/>
  <c r="I7" i="1"/>
  <c r="AJ6" i="1"/>
  <c r="I6" i="1"/>
  <c r="AJ5" i="1"/>
  <c r="I5" i="1"/>
  <c r="B5" i="1"/>
  <c r="A5" i="5" s="1"/>
  <c r="AJ4" i="1"/>
  <c r="I4" i="1"/>
  <c r="AJ3" i="1"/>
  <c r="I3" i="1"/>
  <c r="AJ2" i="1"/>
  <c r="I2" i="1"/>
  <c r="B2" i="1"/>
  <c r="A2" i="5" s="1"/>
  <c r="B175" i="5"/>
  <c r="C175" i="1" s="1"/>
  <c r="B174" i="5"/>
  <c r="C174" i="1" s="1"/>
  <c r="B173" i="5"/>
  <c r="C173" i="1" s="1"/>
  <c r="B172" i="5"/>
  <c r="C172" i="1" s="1"/>
  <c r="B171" i="5"/>
  <c r="C171" i="1" s="1"/>
  <c r="B170" i="5"/>
  <c r="C170" i="1" s="1"/>
  <c r="B169" i="5"/>
  <c r="C169" i="1" s="1"/>
  <c r="B168" i="5"/>
  <c r="C168" i="1" s="1"/>
  <c r="B167" i="5"/>
  <c r="C167" i="1" s="1"/>
  <c r="B166" i="5"/>
  <c r="C166" i="1" s="1"/>
  <c r="B165" i="5"/>
  <c r="C165" i="1" s="1"/>
  <c r="B164" i="5"/>
  <c r="C164" i="1" s="1"/>
  <c r="B163" i="5"/>
  <c r="C163" i="1" s="1"/>
  <c r="B162" i="5"/>
  <c r="C162" i="1" s="1"/>
  <c r="B161" i="5"/>
  <c r="C161" i="1" s="1"/>
  <c r="B160" i="5"/>
  <c r="C160" i="1" s="1"/>
  <c r="B159" i="5"/>
  <c r="C159" i="1" s="1"/>
  <c r="B158" i="5"/>
  <c r="C158" i="1" s="1"/>
  <c r="B157" i="5"/>
  <c r="C157" i="1" s="1"/>
  <c r="B156" i="5"/>
  <c r="C156" i="1" s="1"/>
  <c r="B155" i="5"/>
  <c r="C155" i="1" s="1"/>
  <c r="C154" i="1"/>
  <c r="B153" i="5"/>
  <c r="C153" i="1" s="1"/>
  <c r="B152" i="5"/>
  <c r="C152" i="1" s="1"/>
  <c r="B151" i="5"/>
  <c r="C151" i="1" s="1"/>
  <c r="B150" i="5"/>
  <c r="C150" i="1" s="1"/>
  <c r="B149" i="5"/>
  <c r="C149" i="1" s="1"/>
  <c r="B148" i="5"/>
  <c r="C148" i="1" s="1"/>
  <c r="B147" i="5"/>
  <c r="C147" i="1" s="1"/>
  <c r="B146" i="5"/>
  <c r="C146" i="1" s="1"/>
  <c r="B145" i="5"/>
  <c r="C145" i="1" s="1"/>
  <c r="B144" i="5"/>
  <c r="C144" i="1" s="1"/>
  <c r="B143" i="5"/>
  <c r="C143" i="1" s="1"/>
  <c r="B142" i="5"/>
  <c r="C142" i="1" s="1"/>
  <c r="B141" i="5"/>
  <c r="C141" i="1" s="1"/>
  <c r="B140" i="5"/>
  <c r="C140" i="1" s="1"/>
  <c r="B139" i="5"/>
  <c r="C139" i="1" s="1"/>
  <c r="B138" i="5"/>
  <c r="C138" i="1" s="1"/>
  <c r="B137" i="5"/>
  <c r="C137" i="1" s="1"/>
  <c r="B136" i="5"/>
  <c r="C136" i="1" s="1"/>
  <c r="B135" i="5"/>
  <c r="C135" i="1" s="1"/>
  <c r="B134" i="5"/>
  <c r="C134" i="1" s="1"/>
  <c r="B133" i="5"/>
  <c r="C133" i="1" s="1"/>
  <c r="B132" i="5"/>
  <c r="C132" i="1" s="1"/>
  <c r="B131" i="5"/>
  <c r="C131" i="1" s="1"/>
  <c r="B130" i="5"/>
  <c r="C130" i="1" s="1"/>
  <c r="B129" i="5"/>
  <c r="C129" i="1" s="1"/>
  <c r="B128" i="5"/>
  <c r="C128" i="1" s="1"/>
  <c r="B127" i="5"/>
  <c r="C127" i="1" s="1"/>
  <c r="B126" i="5"/>
  <c r="C126" i="1" s="1"/>
  <c r="B125" i="5"/>
  <c r="C125" i="1" s="1"/>
  <c r="B124" i="5"/>
  <c r="C124" i="1" s="1"/>
  <c r="B123" i="5"/>
  <c r="C123" i="1" s="1"/>
  <c r="B122" i="5"/>
  <c r="C122" i="1" s="1"/>
  <c r="B121" i="5"/>
  <c r="C121" i="1" s="1"/>
  <c r="B120" i="5"/>
  <c r="C120" i="1" s="1"/>
  <c r="B119" i="5"/>
  <c r="C119" i="1" s="1"/>
  <c r="B118" i="5"/>
  <c r="C118" i="1" s="1"/>
  <c r="B117" i="5"/>
  <c r="C117" i="1" s="1"/>
  <c r="B116" i="5"/>
  <c r="C116" i="1" s="1"/>
  <c r="B115" i="5"/>
  <c r="C115" i="1" s="1"/>
  <c r="B114" i="5"/>
  <c r="C114" i="1" s="1"/>
  <c r="B113" i="5"/>
  <c r="C113" i="1" s="1"/>
  <c r="C112" i="1"/>
  <c r="C111" i="1"/>
  <c r="B110" i="5"/>
  <c r="C110" i="1" s="1"/>
  <c r="B109" i="5"/>
  <c r="C109" i="1" s="1"/>
  <c r="B108" i="5"/>
  <c r="C108" i="1" s="1"/>
  <c r="B107" i="5"/>
  <c r="C107" i="1" s="1"/>
  <c r="C106" i="1"/>
  <c r="C105" i="1"/>
  <c r="C104" i="1"/>
  <c r="B103" i="5"/>
  <c r="C103" i="1" s="1"/>
  <c r="B102" i="5"/>
  <c r="C102" i="1" s="1"/>
  <c r="B101" i="5"/>
  <c r="C101" i="1" s="1"/>
  <c r="B100" i="5"/>
  <c r="C100" i="1" s="1"/>
  <c r="B99" i="5"/>
  <c r="C99" i="1" s="1"/>
  <c r="B98" i="5"/>
  <c r="C98" i="1" s="1"/>
  <c r="B97" i="5"/>
  <c r="C97" i="1" s="1"/>
  <c r="B96" i="5"/>
  <c r="C96" i="1" s="1"/>
  <c r="B95" i="5"/>
  <c r="C95" i="1" s="1"/>
  <c r="B94" i="5"/>
  <c r="C94" i="1" s="1"/>
  <c r="B93" i="5"/>
  <c r="C93" i="1" s="1"/>
  <c r="B92" i="5"/>
  <c r="C92" i="1" s="1"/>
  <c r="B91" i="5"/>
  <c r="C91" i="1" s="1"/>
  <c r="B90" i="5"/>
  <c r="C90" i="1" s="1"/>
  <c r="B89" i="5"/>
  <c r="C89" i="1" s="1"/>
  <c r="B88" i="5"/>
  <c r="C88" i="1" s="1"/>
  <c r="B87" i="5"/>
  <c r="C87" i="1" s="1"/>
  <c r="B86" i="5"/>
  <c r="C86" i="1" s="1"/>
  <c r="B85" i="5"/>
  <c r="C85" i="1" s="1"/>
  <c r="B84" i="5"/>
  <c r="C84" i="1" s="1"/>
  <c r="B83" i="5"/>
  <c r="C83" i="1" s="1"/>
  <c r="B82" i="5"/>
  <c r="C82" i="1" s="1"/>
  <c r="B81" i="5"/>
  <c r="C81" i="1" s="1"/>
  <c r="B80" i="5"/>
  <c r="C80" i="1" s="1"/>
  <c r="B79" i="5"/>
  <c r="C79" i="1" s="1"/>
  <c r="B78" i="5"/>
  <c r="C78" i="1" s="1"/>
  <c r="B77" i="5"/>
  <c r="C77" i="1" s="1"/>
  <c r="B76" i="5"/>
  <c r="C76" i="1" s="1"/>
  <c r="B75" i="5"/>
  <c r="C75" i="1" s="1"/>
  <c r="B74" i="5"/>
  <c r="C74" i="1" s="1"/>
  <c r="B73" i="5"/>
  <c r="C73" i="1" s="1"/>
  <c r="B72" i="5"/>
  <c r="C72" i="1" s="1"/>
  <c r="B71" i="5"/>
  <c r="C71" i="1" s="1"/>
  <c r="B70" i="5"/>
  <c r="C70" i="1" s="1"/>
  <c r="B69" i="5"/>
  <c r="C69" i="1" s="1"/>
  <c r="B68" i="5"/>
  <c r="C68" i="1" s="1"/>
  <c r="B67" i="5"/>
  <c r="C67" i="1" s="1"/>
  <c r="B66" i="5"/>
  <c r="C66" i="1" s="1"/>
  <c r="AK40" i="5"/>
  <c r="AF33" i="5"/>
  <c r="B65" i="5"/>
  <c r="C65" i="1" s="1"/>
  <c r="AK59" i="5"/>
  <c r="B64" i="5"/>
  <c r="C64" i="1" s="1"/>
  <c r="AK44" i="5"/>
  <c r="AF50" i="5"/>
  <c r="B63" i="5"/>
  <c r="C63" i="1" s="1"/>
  <c r="AK32" i="5"/>
  <c r="AF40" i="5"/>
  <c r="B62" i="5"/>
  <c r="C62" i="1" s="1"/>
  <c r="AK19" i="5"/>
  <c r="AF29" i="5"/>
  <c r="B61" i="5"/>
  <c r="C61" i="1" s="1"/>
  <c r="AF53" i="5"/>
  <c r="B60" i="5"/>
  <c r="C60" i="1" s="1"/>
  <c r="AK13" i="5"/>
  <c r="AF8" i="5"/>
  <c r="B59" i="5"/>
  <c r="C59" i="1" s="1"/>
  <c r="AK41" i="5"/>
  <c r="B58" i="5"/>
  <c r="C58" i="1" s="1"/>
  <c r="AK24" i="5"/>
  <c r="B57" i="5"/>
  <c r="C57" i="1" s="1"/>
  <c r="AK10" i="5"/>
  <c r="AF62" i="5"/>
  <c r="B56" i="5"/>
  <c r="C56" i="1" s="1"/>
  <c r="AK52" i="5"/>
  <c r="AF57" i="5"/>
  <c r="B55" i="5"/>
  <c r="C55" i="1" s="1"/>
  <c r="AK8" i="5"/>
  <c r="B54" i="5"/>
  <c r="C54" i="1" s="1"/>
  <c r="AK60" i="5"/>
  <c r="AF36" i="5"/>
  <c r="B53" i="5"/>
  <c r="C53" i="1" s="1"/>
  <c r="AK27" i="5"/>
  <c r="AF45" i="5"/>
  <c r="B52" i="5"/>
  <c r="C52" i="1" s="1"/>
  <c r="AF59" i="5"/>
  <c r="B51" i="5"/>
  <c r="C51" i="1" s="1"/>
  <c r="AK42" i="5"/>
  <c r="AF15" i="5"/>
  <c r="B50" i="5"/>
  <c r="C50" i="1" s="1"/>
  <c r="AK57" i="5"/>
  <c r="AF37" i="5"/>
  <c r="B49" i="5"/>
  <c r="C49" i="1" s="1"/>
  <c r="AK12" i="5"/>
  <c r="AF10" i="5"/>
  <c r="B48" i="5"/>
  <c r="C48" i="1" s="1"/>
  <c r="AF56" i="5"/>
  <c r="B47" i="5"/>
  <c r="C47" i="1" s="1"/>
  <c r="AK50" i="5"/>
  <c r="AF26" i="5"/>
  <c r="B46" i="5"/>
  <c r="C46" i="1" s="1"/>
  <c r="AK48" i="5"/>
  <c r="AF17" i="5"/>
  <c r="B45" i="5"/>
  <c r="C45" i="1" s="1"/>
  <c r="AK45" i="5"/>
  <c r="AF11" i="5"/>
  <c r="B44" i="5"/>
  <c r="C44" i="1" s="1"/>
  <c r="AK61" i="5"/>
  <c r="AF52" i="5"/>
  <c r="B43" i="5"/>
  <c r="C43" i="1" s="1"/>
  <c r="AK20" i="5"/>
  <c r="AF49" i="5"/>
  <c r="B42" i="5"/>
  <c r="C42" i="1" s="1"/>
  <c r="AF44" i="5"/>
  <c r="B41" i="5"/>
  <c r="C41" i="1" s="1"/>
  <c r="AK33" i="5"/>
  <c r="AF63" i="5"/>
  <c r="B40" i="5"/>
  <c r="C40" i="1" s="1"/>
  <c r="AK53" i="5"/>
  <c r="AF54" i="5"/>
  <c r="B39" i="5"/>
  <c r="C39" i="1" s="1"/>
  <c r="AK6" i="5"/>
  <c r="AF24" i="5"/>
  <c r="C38" i="1"/>
  <c r="AK9" i="5"/>
  <c r="AF12" i="5"/>
  <c r="C37" i="1"/>
  <c r="AK55" i="5"/>
  <c r="AF32" i="5"/>
  <c r="B36" i="5"/>
  <c r="C36" i="1" s="1"/>
  <c r="AK15" i="5"/>
  <c r="AF18" i="5"/>
  <c r="AK38" i="5"/>
  <c r="AF41" i="5"/>
  <c r="B34" i="5"/>
  <c r="C34" i="1" s="1"/>
  <c r="AK25" i="5"/>
  <c r="AF9" i="5"/>
  <c r="B33" i="5"/>
  <c r="C33" i="1" s="1"/>
  <c r="AK54" i="5"/>
  <c r="AF5" i="5"/>
  <c r="B32" i="5"/>
  <c r="C32" i="1" s="1"/>
  <c r="AK21" i="5"/>
  <c r="AF61" i="5"/>
  <c r="B31" i="5"/>
  <c r="C31" i="1" s="1"/>
  <c r="AK43" i="5"/>
  <c r="B30" i="5"/>
  <c r="C30" i="1" s="1"/>
  <c r="AK5" i="5"/>
  <c r="AF42" i="5"/>
  <c r="B29" i="5"/>
  <c r="C29" i="1" s="1"/>
  <c r="AK14" i="5"/>
  <c r="AF22" i="5"/>
  <c r="B28" i="5"/>
  <c r="C28" i="1" s="1"/>
  <c r="AK16" i="5"/>
  <c r="AF6" i="5"/>
  <c r="B27" i="5"/>
  <c r="C27" i="1" s="1"/>
  <c r="AK37" i="5"/>
  <c r="AF3" i="5"/>
  <c r="B26" i="5"/>
  <c r="C26" i="1" s="1"/>
  <c r="AK18" i="5"/>
  <c r="AF39" i="5"/>
  <c r="B25" i="5"/>
  <c r="C25" i="1" s="1"/>
  <c r="AF21" i="5"/>
  <c r="B24" i="5"/>
  <c r="C24" i="1" s="1"/>
  <c r="AK47" i="5"/>
  <c r="AF58" i="5"/>
  <c r="B23" i="5"/>
  <c r="C23" i="1" s="1"/>
  <c r="AK11" i="5"/>
  <c r="AF16" i="5"/>
  <c r="B22" i="5"/>
  <c r="C22" i="1" s="1"/>
  <c r="AK23" i="5"/>
  <c r="AF35" i="5"/>
  <c r="B21" i="5"/>
  <c r="C21" i="1" s="1"/>
  <c r="AK56" i="5"/>
  <c r="AF28" i="5"/>
  <c r="B20" i="5"/>
  <c r="C20" i="1" s="1"/>
  <c r="AK29" i="5"/>
  <c r="AF47" i="5"/>
  <c r="B19" i="5"/>
  <c r="C19" i="1" s="1"/>
  <c r="AK7" i="5"/>
  <c r="AF23" i="5"/>
  <c r="B18" i="5"/>
  <c r="C18" i="1" s="1"/>
  <c r="AK51" i="5"/>
  <c r="AF27" i="5"/>
  <c r="B17" i="5"/>
  <c r="C17" i="1" s="1"/>
  <c r="AK63" i="5"/>
  <c r="AF60" i="5"/>
  <c r="B16" i="5"/>
  <c r="C16" i="1" s="1"/>
  <c r="AF48" i="5"/>
  <c r="B15" i="5"/>
  <c r="C15" i="1" s="1"/>
  <c r="AK62" i="5"/>
  <c r="AF30" i="5"/>
  <c r="B14" i="5"/>
  <c r="C14" i="1" s="1"/>
  <c r="AK35" i="5"/>
  <c r="AF31" i="5"/>
  <c r="B13" i="5"/>
  <c r="C13" i="1" s="1"/>
  <c r="AK36" i="5"/>
  <c r="AF46" i="5"/>
  <c r="B12" i="5"/>
  <c r="C12" i="1" s="1"/>
  <c r="AK58" i="5"/>
  <c r="AF38" i="5"/>
  <c r="B11" i="5"/>
  <c r="C11" i="1" s="1"/>
  <c r="AK3" i="5"/>
  <c r="AF2" i="5"/>
  <c r="B10" i="5"/>
  <c r="C10" i="1" s="1"/>
  <c r="AK46" i="5"/>
  <c r="AF34" i="5"/>
  <c r="B9" i="5"/>
  <c r="C9" i="1" s="1"/>
  <c r="AK17" i="5"/>
  <c r="AF43" i="5"/>
  <c r="B8" i="5"/>
  <c r="C8" i="1" s="1"/>
  <c r="AK4" i="5"/>
  <c r="AF19" i="5"/>
  <c r="C7" i="1"/>
  <c r="AK26" i="5"/>
  <c r="C6" i="1"/>
  <c r="AK34" i="5"/>
  <c r="AF55" i="5"/>
  <c r="C5" i="1"/>
  <c r="AK30" i="5"/>
  <c r="AF4" i="5"/>
  <c r="C4" i="1"/>
  <c r="AK2" i="5"/>
  <c r="AF20" i="5"/>
  <c r="C3" i="1"/>
  <c r="AK28" i="5"/>
  <c r="AF51" i="5"/>
  <c r="AC47" i="7"/>
  <c r="AB47" i="7"/>
  <c r="AA47" i="7"/>
  <c r="Z47" i="7"/>
  <c r="Y47" i="7"/>
  <c r="X47" i="7"/>
  <c r="T47" i="7"/>
  <c r="S47" i="7"/>
  <c r="R47" i="7"/>
  <c r="Q47" i="7"/>
  <c r="AC46" i="7"/>
  <c r="AB46" i="7"/>
  <c r="AA46" i="7"/>
  <c r="Z46" i="7"/>
  <c r="Y46" i="7"/>
  <c r="X46" i="7"/>
  <c r="T46" i="7"/>
  <c r="S46" i="7"/>
  <c r="R46" i="7"/>
  <c r="Q46" i="7"/>
  <c r="AC45" i="7"/>
  <c r="AB45" i="7"/>
  <c r="AA45" i="7"/>
  <c r="Z45" i="7"/>
  <c r="Y45" i="7"/>
  <c r="X45" i="7"/>
  <c r="T45" i="7"/>
  <c r="S45" i="7"/>
  <c r="R45" i="7"/>
  <c r="Q45" i="7"/>
  <c r="AC44" i="7"/>
  <c r="AB44" i="7"/>
  <c r="AA44" i="7"/>
  <c r="Z44" i="7"/>
  <c r="Y44" i="7"/>
  <c r="X44" i="7"/>
  <c r="T44" i="7"/>
  <c r="S44" i="7"/>
  <c r="R44" i="7"/>
  <c r="Q44" i="7"/>
  <c r="AC43" i="7"/>
  <c r="AB43" i="7"/>
  <c r="AA43" i="7"/>
  <c r="Z43" i="7"/>
  <c r="Y43" i="7"/>
  <c r="X43" i="7"/>
  <c r="T43" i="7"/>
  <c r="S43" i="7"/>
  <c r="R43" i="7"/>
  <c r="Q43" i="7"/>
  <c r="AC42" i="7"/>
  <c r="AB42" i="7"/>
  <c r="AA42" i="7"/>
  <c r="Z42" i="7"/>
  <c r="Y42" i="7"/>
  <c r="X42" i="7"/>
  <c r="T42" i="7"/>
  <c r="S42" i="7"/>
  <c r="R42" i="7"/>
  <c r="Q42" i="7"/>
  <c r="AC41" i="7"/>
  <c r="AB41" i="7"/>
  <c r="AA41" i="7"/>
  <c r="Z41" i="7"/>
  <c r="Y41" i="7"/>
  <c r="X41" i="7"/>
  <c r="T41" i="7"/>
  <c r="S41" i="7"/>
  <c r="R41" i="7"/>
  <c r="Q41" i="7"/>
  <c r="AC40" i="7"/>
  <c r="AB40" i="7"/>
  <c r="AA40" i="7"/>
  <c r="Z40" i="7"/>
  <c r="Y40" i="7"/>
  <c r="X40" i="7"/>
  <c r="T40" i="7"/>
  <c r="S40" i="7"/>
  <c r="R40" i="7"/>
  <c r="Q40" i="7"/>
  <c r="AC39" i="7"/>
  <c r="AB39" i="7"/>
  <c r="AA39" i="7"/>
  <c r="Z39" i="7"/>
  <c r="Y39" i="7"/>
  <c r="X39" i="7"/>
  <c r="T39" i="7"/>
  <c r="S39" i="7"/>
  <c r="R39" i="7"/>
  <c r="Q39" i="7"/>
  <c r="AC38" i="7"/>
  <c r="AB38" i="7"/>
  <c r="AA38" i="7"/>
  <c r="Z38" i="7"/>
  <c r="Y38" i="7"/>
  <c r="X38" i="7"/>
  <c r="T38" i="7"/>
  <c r="S38" i="7"/>
  <c r="R38" i="7"/>
  <c r="Q38" i="7"/>
  <c r="AC37" i="7"/>
  <c r="AB37" i="7"/>
  <c r="AA37" i="7"/>
  <c r="Z37" i="7"/>
  <c r="Y37" i="7"/>
  <c r="X37" i="7"/>
  <c r="T37" i="7"/>
  <c r="S37" i="7"/>
  <c r="R37" i="7"/>
  <c r="Q37" i="7"/>
  <c r="AC36" i="7"/>
  <c r="AB36" i="7"/>
  <c r="AA36" i="7"/>
  <c r="Z36" i="7"/>
  <c r="Y36" i="7"/>
  <c r="X36" i="7"/>
  <c r="T36" i="7"/>
  <c r="S36" i="7"/>
  <c r="R36" i="7"/>
  <c r="Q36" i="7"/>
  <c r="AC35" i="7"/>
  <c r="AB35" i="7"/>
  <c r="AA35" i="7"/>
  <c r="Z35" i="7"/>
  <c r="Y35" i="7"/>
  <c r="X35" i="7"/>
  <c r="T35" i="7"/>
  <c r="S35" i="7"/>
  <c r="R35" i="7"/>
  <c r="Q35" i="7"/>
  <c r="AC34" i="7"/>
  <c r="AB34" i="7"/>
  <c r="AA34" i="7"/>
  <c r="Z34" i="7"/>
  <c r="Y34" i="7"/>
  <c r="X34" i="7"/>
  <c r="T34" i="7"/>
  <c r="S34" i="7"/>
  <c r="R34" i="7"/>
  <c r="Q34" i="7"/>
  <c r="AC33" i="7"/>
  <c r="AB33" i="7"/>
  <c r="AA33" i="7"/>
  <c r="Z33" i="7"/>
  <c r="Y33" i="7"/>
  <c r="X33" i="7"/>
  <c r="T33" i="7"/>
  <c r="S33" i="7"/>
  <c r="R33" i="7"/>
  <c r="Q33" i="7"/>
  <c r="AC32" i="7"/>
  <c r="AB32" i="7"/>
  <c r="AA32" i="7"/>
  <c r="Z32" i="7"/>
  <c r="Y32" i="7"/>
  <c r="X32" i="7"/>
  <c r="T32" i="7"/>
  <c r="S32" i="7"/>
  <c r="R32" i="7"/>
  <c r="Q32" i="7"/>
  <c r="AC31" i="7"/>
  <c r="AB31" i="7"/>
  <c r="AA31" i="7"/>
  <c r="Z31" i="7"/>
  <c r="Y31" i="7"/>
  <c r="X31" i="7"/>
  <c r="T31" i="7"/>
  <c r="S31" i="7"/>
  <c r="R31" i="7"/>
  <c r="Q31" i="7"/>
  <c r="AC30" i="7"/>
  <c r="AB30" i="7"/>
  <c r="AA30" i="7"/>
  <c r="Z30" i="7"/>
  <c r="Y30" i="7"/>
  <c r="X30" i="7"/>
  <c r="T30" i="7"/>
  <c r="S30" i="7"/>
  <c r="R30" i="7"/>
  <c r="Q30" i="7"/>
  <c r="AC29" i="7"/>
  <c r="AB29" i="7"/>
  <c r="AA29" i="7"/>
  <c r="Z29" i="7"/>
  <c r="Y29" i="7"/>
  <c r="X29" i="7"/>
  <c r="T29" i="7"/>
  <c r="S29" i="7"/>
  <c r="R29" i="7"/>
  <c r="Q29" i="7"/>
  <c r="AC28" i="7"/>
  <c r="AB28" i="7"/>
  <c r="AA28" i="7"/>
  <c r="Z28" i="7"/>
  <c r="Y28" i="7"/>
  <c r="X28" i="7"/>
  <c r="T28" i="7"/>
  <c r="S28" i="7"/>
  <c r="R28" i="7"/>
  <c r="Q28" i="7"/>
  <c r="AC27" i="7"/>
  <c r="AB27" i="7"/>
  <c r="AA27" i="7"/>
  <c r="Z27" i="7"/>
  <c r="Y27" i="7"/>
  <c r="X27" i="7"/>
  <c r="T27" i="7"/>
  <c r="S27" i="7"/>
  <c r="R27" i="7"/>
  <c r="Q27" i="7"/>
  <c r="AC26" i="7"/>
  <c r="AB26" i="7"/>
  <c r="AA26" i="7"/>
  <c r="Z26" i="7"/>
  <c r="Y26" i="7"/>
  <c r="X26" i="7"/>
  <c r="T26" i="7"/>
  <c r="S26" i="7"/>
  <c r="R26" i="7"/>
  <c r="Q26" i="7"/>
  <c r="AC25" i="7"/>
  <c r="AB25" i="7"/>
  <c r="AA25" i="7"/>
  <c r="Z25" i="7"/>
  <c r="Y25" i="7"/>
  <c r="X25" i="7"/>
  <c r="T25" i="7"/>
  <c r="S25" i="7"/>
  <c r="R25" i="7"/>
  <c r="Q25" i="7"/>
  <c r="AC24" i="7"/>
  <c r="AB24" i="7"/>
  <c r="AA24" i="7"/>
  <c r="Z24" i="7"/>
  <c r="Y24" i="7"/>
  <c r="X24" i="7"/>
  <c r="T24" i="7"/>
  <c r="S24" i="7"/>
  <c r="R24" i="7"/>
  <c r="Q24" i="7"/>
  <c r="AC23" i="7"/>
  <c r="AB23" i="7"/>
  <c r="AA23" i="7"/>
  <c r="Z23" i="7"/>
  <c r="Y23" i="7"/>
  <c r="X23" i="7"/>
  <c r="T23" i="7"/>
  <c r="S23" i="7"/>
  <c r="R23" i="7"/>
  <c r="Q23" i="7"/>
  <c r="AC22" i="7"/>
  <c r="AB22" i="7"/>
  <c r="AA22" i="7"/>
  <c r="Z22" i="7"/>
  <c r="Y22" i="7"/>
  <c r="X22" i="7"/>
  <c r="T22" i="7"/>
  <c r="S22" i="7"/>
  <c r="R22" i="7"/>
  <c r="Q22" i="7"/>
  <c r="AC21" i="7"/>
  <c r="AB21" i="7"/>
  <c r="AA21" i="7"/>
  <c r="Z21" i="7"/>
  <c r="Y21" i="7"/>
  <c r="X21" i="7"/>
  <c r="T21" i="7"/>
  <c r="S21" i="7"/>
  <c r="R21" i="7"/>
  <c r="Q21" i="7"/>
  <c r="AC20" i="7"/>
  <c r="AB20" i="7"/>
  <c r="AA20" i="7"/>
  <c r="Z20" i="7"/>
  <c r="Y20" i="7"/>
  <c r="X20" i="7"/>
  <c r="T20" i="7"/>
  <c r="S20" i="7"/>
  <c r="R20" i="7"/>
  <c r="Q20" i="7"/>
  <c r="AC19" i="7"/>
  <c r="AB19" i="7"/>
  <c r="AA19" i="7"/>
  <c r="Z19" i="7"/>
  <c r="Y19" i="7"/>
  <c r="X19" i="7"/>
  <c r="T19" i="7"/>
  <c r="S19" i="7"/>
  <c r="R19" i="7"/>
  <c r="Q19" i="7"/>
  <c r="AC18" i="7"/>
  <c r="AB18" i="7"/>
  <c r="AA18" i="7"/>
  <c r="Z18" i="7"/>
  <c r="Y18" i="7"/>
  <c r="X18" i="7"/>
  <c r="T18" i="7"/>
  <c r="S18" i="7"/>
  <c r="R18" i="7"/>
  <c r="Q18" i="7"/>
  <c r="AC17" i="7"/>
  <c r="AB17" i="7"/>
  <c r="AA17" i="7"/>
  <c r="Z17" i="7"/>
  <c r="Y17" i="7"/>
  <c r="X17" i="7"/>
  <c r="T17" i="7"/>
  <c r="S17" i="7"/>
  <c r="R17" i="7"/>
  <c r="Q17" i="7"/>
  <c r="AC16" i="7"/>
  <c r="AB16" i="7"/>
  <c r="AA16" i="7"/>
  <c r="Z16" i="7"/>
  <c r="Y16" i="7"/>
  <c r="X16" i="7"/>
  <c r="T16" i="7"/>
  <c r="S16" i="7"/>
  <c r="R16" i="7"/>
  <c r="Q16" i="7"/>
  <c r="AC15" i="7"/>
  <c r="AB15" i="7"/>
  <c r="AA15" i="7"/>
  <c r="Z15" i="7"/>
  <c r="Y15" i="7"/>
  <c r="X15" i="7"/>
  <c r="T15" i="7"/>
  <c r="S15" i="7"/>
  <c r="R15" i="7"/>
  <c r="Q15" i="7"/>
  <c r="AC14" i="7"/>
  <c r="AB14" i="7"/>
  <c r="AA14" i="7"/>
  <c r="Z14" i="7"/>
  <c r="Y14" i="7"/>
  <c r="X14" i="7"/>
  <c r="T14" i="7"/>
  <c r="S14" i="7"/>
  <c r="R14" i="7"/>
  <c r="Q14" i="7"/>
  <c r="AC13" i="7"/>
  <c r="AB13" i="7"/>
  <c r="AA13" i="7"/>
  <c r="Z13" i="7"/>
  <c r="Y13" i="7"/>
  <c r="X13" i="7"/>
  <c r="T13" i="7"/>
  <c r="S13" i="7"/>
  <c r="R13" i="7"/>
  <c r="Q13" i="7"/>
  <c r="AC12" i="7"/>
  <c r="AB12" i="7"/>
  <c r="AA12" i="7"/>
  <c r="Z12" i="7"/>
  <c r="Y12" i="7"/>
  <c r="X12" i="7"/>
  <c r="T12" i="7"/>
  <c r="S12" i="7"/>
  <c r="R12" i="7"/>
  <c r="Q12" i="7"/>
  <c r="AC11" i="7"/>
  <c r="AB11" i="7"/>
  <c r="AA11" i="7"/>
  <c r="Z11" i="7"/>
  <c r="Y11" i="7"/>
  <c r="X11" i="7"/>
  <c r="T11" i="7"/>
  <c r="S11" i="7"/>
  <c r="R11" i="7"/>
  <c r="Q11" i="7"/>
  <c r="AC10" i="7"/>
  <c r="AB10" i="7"/>
  <c r="AA10" i="7"/>
  <c r="Z10" i="7"/>
  <c r="Y10" i="7"/>
  <c r="X10" i="7"/>
  <c r="T10" i="7"/>
  <c r="S10" i="7"/>
  <c r="R10" i="7"/>
  <c r="Q10" i="7"/>
  <c r="AC9" i="7"/>
  <c r="AB9" i="7"/>
  <c r="AA9" i="7"/>
  <c r="Z9" i="7"/>
  <c r="Y9" i="7"/>
  <c r="X9" i="7"/>
  <c r="T9" i="7"/>
  <c r="S9" i="7"/>
  <c r="R9" i="7"/>
  <c r="Q9" i="7"/>
  <c r="AC8" i="7"/>
  <c r="AB8" i="7"/>
  <c r="AA8" i="7"/>
  <c r="Z8" i="7"/>
  <c r="Y8" i="7"/>
  <c r="X8" i="7"/>
  <c r="T8" i="7"/>
  <c r="S8" i="7"/>
  <c r="R8" i="7"/>
  <c r="Q8" i="7"/>
  <c r="AC7" i="7"/>
  <c r="AB7" i="7"/>
  <c r="AA7" i="7"/>
  <c r="Z7" i="7"/>
  <c r="Y7" i="7"/>
  <c r="X7" i="7"/>
  <c r="T7" i="7"/>
  <c r="S7" i="7"/>
  <c r="R7" i="7"/>
  <c r="Q7" i="7"/>
  <c r="AC6" i="7"/>
  <c r="AB6" i="7"/>
  <c r="AA6" i="7"/>
  <c r="Z6" i="7"/>
  <c r="Y6" i="7"/>
  <c r="X6" i="7"/>
  <c r="T6" i="7"/>
  <c r="S6" i="7"/>
  <c r="R6" i="7"/>
  <c r="Q6" i="7"/>
  <c r="AC5" i="7"/>
  <c r="AB5" i="7"/>
  <c r="AA5" i="7"/>
  <c r="Z5" i="7"/>
  <c r="Y5" i="7"/>
  <c r="X5" i="7"/>
  <c r="T5" i="7"/>
  <c r="S5" i="7"/>
  <c r="R5" i="7"/>
  <c r="Q5" i="7"/>
  <c r="AC4" i="7"/>
  <c r="AB4" i="7"/>
  <c r="AA4" i="7"/>
  <c r="Z4" i="7"/>
  <c r="Y4" i="7"/>
  <c r="X4" i="7"/>
  <c r="T4" i="7"/>
  <c r="S4" i="7"/>
  <c r="R4" i="7"/>
  <c r="Q4" i="7"/>
  <c r="AC3" i="7"/>
  <c r="AB3" i="7"/>
  <c r="AA3" i="7"/>
  <c r="Z3" i="7"/>
  <c r="Y3" i="7"/>
  <c r="X3" i="7"/>
  <c r="T3" i="7"/>
  <c r="S3" i="7"/>
  <c r="R3" i="7"/>
  <c r="Q3" i="7"/>
  <c r="AC2" i="7"/>
  <c r="AB2" i="7"/>
  <c r="AA2" i="7"/>
  <c r="Z2" i="7"/>
  <c r="Y2" i="7"/>
  <c r="X2" i="7"/>
  <c r="T2" i="7"/>
  <c r="S2" i="7"/>
  <c r="R2" i="7"/>
  <c r="Q2" i="7"/>
  <c r="K24" i="9"/>
  <c r="J24" i="9"/>
  <c r="I24" i="9"/>
  <c r="K23" i="9"/>
  <c r="J23" i="9"/>
  <c r="I23" i="9"/>
  <c r="K22" i="9"/>
  <c r="J22" i="9"/>
  <c r="I22" i="9"/>
  <c r="K21" i="9"/>
  <c r="J21" i="9"/>
  <c r="I21" i="9"/>
  <c r="K20" i="9"/>
  <c r="J20" i="9"/>
  <c r="I20" i="9"/>
  <c r="K19" i="9"/>
  <c r="J19" i="9"/>
  <c r="I19" i="9"/>
  <c r="K18" i="9"/>
  <c r="J18" i="9"/>
  <c r="I18" i="9"/>
  <c r="K17" i="9"/>
  <c r="J17" i="9"/>
  <c r="I17" i="9"/>
  <c r="K16" i="9"/>
  <c r="J16" i="9"/>
  <c r="I16" i="9"/>
  <c r="K15" i="9"/>
  <c r="J15" i="9"/>
  <c r="I15" i="9"/>
  <c r="K14" i="9"/>
  <c r="J14" i="9"/>
  <c r="I14" i="9"/>
  <c r="K13" i="9"/>
  <c r="J13" i="9"/>
  <c r="I13" i="9"/>
  <c r="K12" i="9"/>
  <c r="J12" i="9"/>
  <c r="I12" i="9"/>
  <c r="K11" i="9"/>
  <c r="J11" i="9"/>
  <c r="I11" i="9"/>
  <c r="K10" i="9"/>
  <c r="J10" i="9"/>
  <c r="I10" i="9"/>
  <c r="K9" i="9"/>
  <c r="J9" i="9"/>
  <c r="I9" i="9"/>
  <c r="K8" i="9"/>
  <c r="J8" i="9"/>
  <c r="I8" i="9"/>
  <c r="K7" i="9"/>
  <c r="J7" i="9"/>
  <c r="I7" i="9"/>
  <c r="K6" i="9"/>
  <c r="J6" i="9"/>
  <c r="I6" i="9"/>
  <c r="K5" i="9"/>
  <c r="J5" i="9"/>
  <c r="I5" i="9"/>
  <c r="B3" i="9"/>
  <c r="G175" i="24"/>
  <c r="F175" i="24"/>
  <c r="G174" i="24"/>
  <c r="F174" i="24"/>
  <c r="G172" i="24"/>
  <c r="F172" i="24"/>
  <c r="G171" i="24"/>
  <c r="F171" i="24"/>
  <c r="G169" i="24"/>
  <c r="F169" i="24"/>
  <c r="G168" i="24"/>
  <c r="F168" i="24"/>
  <c r="G166" i="24"/>
  <c r="F166" i="24"/>
  <c r="G165" i="24"/>
  <c r="F165" i="24"/>
  <c r="G163" i="24"/>
  <c r="F163" i="24"/>
  <c r="G162" i="24"/>
  <c r="F162" i="24"/>
  <c r="G160" i="24"/>
  <c r="F160" i="24"/>
  <c r="G159" i="24"/>
  <c r="F159" i="24"/>
  <c r="G157" i="24"/>
  <c r="F157" i="24"/>
  <c r="G156" i="24"/>
  <c r="F156" i="24"/>
  <c r="G154" i="24"/>
  <c r="F154" i="24"/>
  <c r="G153" i="24"/>
  <c r="F153" i="24"/>
  <c r="G151" i="24"/>
  <c r="F151" i="24"/>
  <c r="G150" i="24"/>
  <c r="F150" i="24"/>
  <c r="G148" i="24"/>
  <c r="F148" i="24"/>
  <c r="G147" i="24"/>
  <c r="F147" i="24"/>
  <c r="G145" i="24"/>
  <c r="F145" i="24"/>
  <c r="G144" i="24"/>
  <c r="F144" i="24"/>
  <c r="G142" i="24"/>
  <c r="F142" i="24"/>
  <c r="G141" i="24"/>
  <c r="F141" i="24"/>
  <c r="G139" i="24"/>
  <c r="F139" i="24"/>
  <c r="G138" i="24"/>
  <c r="F138" i="24"/>
  <c r="G136" i="24"/>
  <c r="F136" i="24"/>
  <c r="G135" i="24"/>
  <c r="F135" i="24"/>
  <c r="G133" i="24"/>
  <c r="F133" i="24"/>
  <c r="G132" i="24"/>
  <c r="F132" i="24"/>
  <c r="G130" i="24"/>
  <c r="F130" i="24"/>
  <c r="G129" i="24"/>
  <c r="F129" i="24"/>
  <c r="G127" i="24"/>
  <c r="F127" i="24"/>
  <c r="G126" i="24"/>
  <c r="F126" i="24"/>
  <c r="G124" i="24"/>
  <c r="F124" i="24"/>
  <c r="G123" i="24"/>
  <c r="F123" i="24"/>
  <c r="G121" i="24"/>
  <c r="F121" i="24"/>
  <c r="G120" i="24"/>
  <c r="F120" i="24"/>
  <c r="G118" i="24"/>
  <c r="F118" i="24"/>
  <c r="G117" i="24"/>
  <c r="F117" i="24"/>
  <c r="G115" i="24"/>
  <c r="F115" i="24"/>
  <c r="G114" i="24"/>
  <c r="F114" i="24"/>
  <c r="G112" i="24"/>
  <c r="F112" i="24"/>
  <c r="G111" i="24"/>
  <c r="F111" i="24"/>
  <c r="G109" i="24"/>
  <c r="F109" i="24"/>
  <c r="G108" i="24"/>
  <c r="F108" i="24"/>
  <c r="G106" i="24"/>
  <c r="F106" i="24"/>
  <c r="G105" i="24"/>
  <c r="F105" i="24"/>
  <c r="G103" i="24"/>
  <c r="F103" i="24"/>
  <c r="G102" i="24"/>
  <c r="F102" i="24"/>
  <c r="G100" i="24"/>
  <c r="F100" i="24"/>
  <c r="G99" i="24"/>
  <c r="F99" i="24"/>
  <c r="G97" i="24"/>
  <c r="F97" i="24"/>
  <c r="G96" i="24"/>
  <c r="F96" i="24"/>
  <c r="G94" i="24"/>
  <c r="F94" i="24"/>
  <c r="G93" i="24"/>
  <c r="F93" i="24"/>
  <c r="G91" i="24"/>
  <c r="F91" i="24"/>
  <c r="G90" i="24"/>
  <c r="F90" i="24"/>
  <c r="G88" i="24"/>
  <c r="F88" i="24"/>
  <c r="G87" i="24"/>
  <c r="F87" i="24"/>
  <c r="G85" i="24"/>
  <c r="F85" i="24"/>
  <c r="G84" i="24"/>
  <c r="F84" i="24"/>
  <c r="G82" i="24"/>
  <c r="F82" i="24"/>
  <c r="G81" i="24"/>
  <c r="F81" i="24"/>
  <c r="G79" i="24"/>
  <c r="F79" i="24"/>
  <c r="G78" i="24"/>
  <c r="F78" i="24"/>
  <c r="G76" i="24"/>
  <c r="F76" i="24"/>
  <c r="G75" i="24"/>
  <c r="F75" i="24"/>
  <c r="G73" i="24"/>
  <c r="F73" i="24"/>
  <c r="G72" i="24"/>
  <c r="F72" i="24"/>
  <c r="G70" i="24"/>
  <c r="F70" i="24"/>
  <c r="G69" i="24"/>
  <c r="F69" i="24"/>
  <c r="G67" i="24"/>
  <c r="F67" i="24"/>
  <c r="G66" i="24"/>
  <c r="F66" i="24"/>
  <c r="G64" i="24"/>
  <c r="F64" i="24"/>
  <c r="G63" i="24"/>
  <c r="F63" i="24"/>
  <c r="G61" i="24"/>
  <c r="F61" i="24"/>
  <c r="G60" i="24"/>
  <c r="F60" i="24"/>
  <c r="G58" i="24"/>
  <c r="F58" i="24"/>
  <c r="G57" i="24"/>
  <c r="F57" i="24"/>
  <c r="G55" i="24"/>
  <c r="F55" i="24"/>
  <c r="G54" i="24"/>
  <c r="F54" i="24"/>
  <c r="G52" i="24"/>
  <c r="F52" i="24"/>
  <c r="G51" i="24"/>
  <c r="F51" i="24"/>
  <c r="G49" i="24"/>
  <c r="F49" i="24"/>
  <c r="G48" i="24"/>
  <c r="F48" i="24"/>
  <c r="G46" i="24"/>
  <c r="F46" i="24"/>
  <c r="G45" i="24"/>
  <c r="F45" i="24"/>
  <c r="G43" i="24"/>
  <c r="F43" i="24"/>
  <c r="G42" i="24"/>
  <c r="F42" i="24"/>
  <c r="G40" i="24"/>
  <c r="F40" i="24"/>
  <c r="G39" i="24"/>
  <c r="F39" i="24"/>
  <c r="G37" i="24"/>
  <c r="F37" i="24"/>
  <c r="G36" i="24"/>
  <c r="F36" i="24"/>
  <c r="B35" i="24"/>
  <c r="G34" i="24"/>
  <c r="F34" i="24"/>
  <c r="G33" i="24"/>
  <c r="F33" i="24"/>
  <c r="G31" i="24"/>
  <c r="F31" i="24"/>
  <c r="G30" i="24"/>
  <c r="F30" i="24"/>
  <c r="G28" i="24"/>
  <c r="F28" i="24"/>
  <c r="G27" i="24"/>
  <c r="F27" i="24"/>
  <c r="G25" i="24"/>
  <c r="F25" i="24"/>
  <c r="G24" i="24"/>
  <c r="F24" i="24"/>
  <c r="G22" i="24"/>
  <c r="F22" i="24"/>
  <c r="G21" i="24"/>
  <c r="F21" i="24"/>
  <c r="G19" i="24"/>
  <c r="F19" i="24"/>
  <c r="G18" i="24"/>
  <c r="F18" i="24"/>
  <c r="G16" i="24"/>
  <c r="F16" i="24"/>
  <c r="G15" i="24"/>
  <c r="F15" i="24"/>
  <c r="G13" i="24"/>
  <c r="F13" i="24"/>
  <c r="G12" i="24"/>
  <c r="F12" i="24"/>
  <c r="G10" i="24"/>
  <c r="F10" i="24"/>
  <c r="G9" i="24"/>
  <c r="F9" i="24"/>
  <c r="G7" i="24"/>
  <c r="F7" i="24"/>
  <c r="G6" i="24"/>
  <c r="F6" i="24"/>
  <c r="G4" i="24"/>
  <c r="F4" i="24"/>
  <c r="G3" i="24"/>
  <c r="F3" i="24"/>
  <c r="G1" i="24"/>
  <c r="F1" i="24"/>
  <c r="E1" i="24"/>
  <c r="D1" i="24"/>
  <c r="C1" i="24"/>
  <c r="B1" i="24"/>
  <c r="A1" i="24"/>
  <c r="C94" i="25"/>
  <c r="K93" i="25"/>
  <c r="J93" i="25"/>
  <c r="I93" i="25"/>
  <c r="H93" i="25"/>
  <c r="E93" i="25"/>
  <c r="D93" i="25"/>
  <c r="C93" i="25"/>
  <c r="K92" i="25"/>
  <c r="J92" i="25"/>
  <c r="I92" i="25"/>
  <c r="H92" i="25"/>
  <c r="E92" i="25"/>
  <c r="D92" i="25"/>
  <c r="C92" i="25"/>
  <c r="K91" i="25"/>
  <c r="J91" i="25"/>
  <c r="I91" i="25"/>
  <c r="H91" i="25"/>
  <c r="E91" i="25"/>
  <c r="D91" i="25"/>
  <c r="C91" i="25"/>
  <c r="AL11" i="25"/>
  <c r="AK11" i="25"/>
  <c r="AJ11" i="25"/>
  <c r="K90" i="25"/>
  <c r="J90" i="25"/>
  <c r="I90" i="25"/>
  <c r="H90" i="25"/>
  <c r="E90" i="25"/>
  <c r="D90" i="25"/>
  <c r="C90" i="25"/>
  <c r="AL10" i="25"/>
  <c r="AK10" i="25"/>
  <c r="AJ10" i="25"/>
  <c r="K89" i="25"/>
  <c r="J89" i="25"/>
  <c r="I89" i="25"/>
  <c r="H89" i="25"/>
  <c r="E89" i="25"/>
  <c r="D89" i="25"/>
  <c r="C89" i="25"/>
  <c r="AL9" i="25"/>
  <c r="AK9" i="25"/>
  <c r="AJ9" i="25"/>
  <c r="K88" i="25"/>
  <c r="J88" i="25"/>
  <c r="I88" i="25"/>
  <c r="H88" i="25"/>
  <c r="E88" i="25"/>
  <c r="D88" i="25"/>
  <c r="C88" i="25"/>
  <c r="AL8" i="25"/>
  <c r="AK8" i="25"/>
  <c r="AJ8" i="25"/>
  <c r="K87" i="25"/>
  <c r="J87" i="25"/>
  <c r="I87" i="25"/>
  <c r="H87" i="25"/>
  <c r="E87" i="25"/>
  <c r="D87" i="25"/>
  <c r="C87" i="25"/>
  <c r="AI7" i="25"/>
  <c r="K86" i="25"/>
  <c r="J86" i="25"/>
  <c r="I86" i="25"/>
  <c r="H86" i="25"/>
  <c r="E86" i="25"/>
  <c r="D86" i="25"/>
  <c r="C86" i="25"/>
  <c r="K85" i="25"/>
  <c r="J85" i="25"/>
  <c r="I85" i="25"/>
  <c r="H85" i="25"/>
  <c r="E85" i="25"/>
  <c r="D85" i="25"/>
  <c r="C85" i="25"/>
  <c r="K84" i="25"/>
  <c r="J84" i="25"/>
  <c r="I84" i="25"/>
  <c r="H84" i="25"/>
  <c r="E84" i="25"/>
  <c r="D84" i="25"/>
  <c r="C84" i="25"/>
  <c r="AK4" i="25"/>
  <c r="K83" i="25"/>
  <c r="J83" i="25"/>
  <c r="I83" i="25"/>
  <c r="H83" i="25"/>
  <c r="E83" i="25"/>
  <c r="D83" i="25"/>
  <c r="C83" i="25"/>
  <c r="AK3" i="25"/>
  <c r="AI3" i="25"/>
  <c r="K82" i="25"/>
  <c r="J82" i="25"/>
  <c r="I82" i="25"/>
  <c r="H82" i="25"/>
  <c r="E82" i="25"/>
  <c r="D82" i="25"/>
  <c r="C82" i="25"/>
  <c r="AI2" i="25"/>
  <c r="K81" i="25"/>
  <c r="J81" i="25"/>
  <c r="I81" i="25"/>
  <c r="H81" i="25"/>
  <c r="D81" i="25"/>
  <c r="C81" i="25"/>
  <c r="K80" i="25"/>
  <c r="J80" i="25"/>
  <c r="I80" i="25"/>
  <c r="H80" i="25"/>
  <c r="E80" i="25"/>
  <c r="D80" i="25"/>
  <c r="C80" i="25"/>
  <c r="K79" i="25"/>
  <c r="J79" i="25"/>
  <c r="I79" i="25"/>
  <c r="H79" i="25"/>
  <c r="D79" i="25"/>
  <c r="C79" i="25"/>
  <c r="K78" i="25"/>
  <c r="J78" i="25"/>
  <c r="I78" i="25"/>
  <c r="H78" i="25"/>
  <c r="E78" i="25"/>
  <c r="D78" i="25"/>
  <c r="C78" i="25"/>
  <c r="K77" i="25"/>
  <c r="J77" i="25"/>
  <c r="I77" i="25"/>
  <c r="H77" i="25"/>
  <c r="K76" i="25"/>
  <c r="J76" i="25"/>
  <c r="I76" i="25"/>
  <c r="H76" i="25"/>
  <c r="K75" i="25"/>
  <c r="J75" i="25"/>
  <c r="I75" i="25"/>
  <c r="H75" i="25"/>
  <c r="AE12" i="25"/>
  <c r="K74" i="25"/>
  <c r="J74" i="25"/>
  <c r="I74" i="25"/>
  <c r="H74" i="25"/>
  <c r="E74" i="25"/>
  <c r="D74" i="25"/>
  <c r="C74" i="25"/>
  <c r="AG11" i="25"/>
  <c r="AE11" i="25"/>
  <c r="K73" i="25"/>
  <c r="J73" i="25"/>
  <c r="I73" i="25"/>
  <c r="H73" i="25"/>
  <c r="E73" i="25"/>
  <c r="D73" i="25"/>
  <c r="C73" i="25"/>
  <c r="B73" i="25"/>
  <c r="AE10" i="25"/>
  <c r="K72" i="25"/>
  <c r="J72" i="25"/>
  <c r="H72" i="25"/>
  <c r="E72" i="25"/>
  <c r="D72" i="25"/>
  <c r="C72" i="25"/>
  <c r="AG9" i="25"/>
  <c r="AE9" i="25"/>
  <c r="K71" i="25"/>
  <c r="J71" i="25"/>
  <c r="H71" i="25"/>
  <c r="E71" i="25"/>
  <c r="D71" i="25"/>
  <c r="C71" i="25"/>
  <c r="B71" i="25"/>
  <c r="AD8" i="25"/>
  <c r="K70" i="25"/>
  <c r="J70" i="25"/>
  <c r="E70" i="25"/>
  <c r="D70" i="25"/>
  <c r="C70" i="25"/>
  <c r="H69" i="25"/>
  <c r="E69" i="25"/>
  <c r="D69" i="25"/>
  <c r="C69" i="25"/>
  <c r="B69" i="25"/>
  <c r="E68" i="25"/>
  <c r="D68" i="25"/>
  <c r="C68" i="25"/>
  <c r="AG5" i="25"/>
  <c r="AD5" i="25"/>
  <c r="E67" i="25"/>
  <c r="D67" i="25"/>
  <c r="C67" i="25"/>
  <c r="B67" i="25"/>
  <c r="K66" i="25"/>
  <c r="J66" i="25"/>
  <c r="I66" i="25"/>
  <c r="E66" i="25"/>
  <c r="D66" i="25"/>
  <c r="C66" i="25"/>
  <c r="AD3" i="25"/>
  <c r="J65" i="25"/>
  <c r="I65" i="25"/>
  <c r="H65" i="25"/>
  <c r="E65" i="25"/>
  <c r="D65" i="25"/>
  <c r="C65" i="25"/>
  <c r="B65" i="25"/>
  <c r="AD2" i="25"/>
  <c r="K64" i="25"/>
  <c r="J64" i="25"/>
  <c r="I64" i="25"/>
  <c r="E64" i="25"/>
  <c r="D64" i="25"/>
  <c r="C64" i="25"/>
  <c r="J63" i="25"/>
  <c r="I63" i="25"/>
  <c r="H63" i="25"/>
  <c r="E63" i="25"/>
  <c r="D63" i="25"/>
  <c r="C63" i="25"/>
  <c r="B63" i="25"/>
  <c r="K62" i="25"/>
  <c r="J62" i="25"/>
  <c r="I62" i="25"/>
  <c r="E62" i="25"/>
  <c r="D62" i="25"/>
  <c r="C62" i="25"/>
  <c r="K61" i="25"/>
  <c r="J61" i="25"/>
  <c r="I61" i="25"/>
  <c r="H61" i="25"/>
  <c r="E61" i="25"/>
  <c r="D61" i="25"/>
  <c r="C61" i="25"/>
  <c r="B61" i="25"/>
  <c r="K60" i="25"/>
  <c r="J60" i="25"/>
  <c r="I60" i="25"/>
  <c r="E60" i="25"/>
  <c r="D60" i="25"/>
  <c r="C60" i="25"/>
  <c r="J59" i="25"/>
  <c r="I59" i="25"/>
  <c r="H59" i="25"/>
  <c r="E59" i="25"/>
  <c r="D59" i="25"/>
  <c r="C59" i="25"/>
  <c r="B59" i="25"/>
  <c r="AB21" i="25"/>
  <c r="AA21" i="25"/>
  <c r="Z21" i="25"/>
  <c r="K58" i="25"/>
  <c r="J58" i="25"/>
  <c r="I58" i="25"/>
  <c r="E58" i="25"/>
  <c r="D58" i="25"/>
  <c r="C58" i="25"/>
  <c r="AB20" i="25"/>
  <c r="AA20" i="25"/>
  <c r="Z20" i="25"/>
  <c r="J57" i="25"/>
  <c r="I57" i="25"/>
  <c r="H57" i="25"/>
  <c r="E57" i="25"/>
  <c r="D57" i="25"/>
  <c r="C57" i="25"/>
  <c r="B57" i="25"/>
  <c r="AB19" i="25"/>
  <c r="AA19" i="25"/>
  <c r="Z19" i="25"/>
  <c r="K56" i="25"/>
  <c r="J56" i="25"/>
  <c r="I56" i="25"/>
  <c r="E56" i="25"/>
  <c r="D56" i="25"/>
  <c r="C56" i="25"/>
  <c r="AA18" i="25"/>
  <c r="Z18" i="25"/>
  <c r="J55" i="25"/>
  <c r="I55" i="25"/>
  <c r="H55" i="25"/>
  <c r="E55" i="25"/>
  <c r="D55" i="25"/>
  <c r="C55" i="25"/>
  <c r="B55" i="25"/>
  <c r="AB17" i="25"/>
  <c r="AA17" i="25"/>
  <c r="Z17" i="25"/>
  <c r="K54" i="25"/>
  <c r="J54" i="25"/>
  <c r="I54" i="25"/>
  <c r="E54" i="25"/>
  <c r="D54" i="25"/>
  <c r="C54" i="25"/>
  <c r="AB16" i="25"/>
  <c r="AA16" i="25"/>
  <c r="Z16" i="25"/>
  <c r="J53" i="25"/>
  <c r="I53" i="25"/>
  <c r="H53" i="25"/>
  <c r="E53" i="25"/>
  <c r="D53" i="25"/>
  <c r="C53" i="25"/>
  <c r="B53" i="25"/>
  <c r="AB15" i="25"/>
  <c r="AA15" i="25"/>
  <c r="Z15" i="25"/>
  <c r="K52" i="25"/>
  <c r="J52" i="25"/>
  <c r="I52" i="25"/>
  <c r="E52" i="25"/>
  <c r="D52" i="25"/>
  <c r="C52" i="25"/>
  <c r="AB14" i="25"/>
  <c r="AA14" i="25"/>
  <c r="Z14" i="25"/>
  <c r="J51" i="25"/>
  <c r="I51" i="25"/>
  <c r="H51" i="25"/>
  <c r="E51" i="25"/>
  <c r="D51" i="25"/>
  <c r="C51" i="25"/>
  <c r="B51" i="25"/>
  <c r="Y13" i="25"/>
  <c r="K50" i="25"/>
  <c r="J50" i="25"/>
  <c r="I50" i="25"/>
  <c r="E50" i="25"/>
  <c r="D50" i="25"/>
  <c r="C50" i="25"/>
  <c r="K49" i="25"/>
  <c r="J49" i="25"/>
  <c r="I49" i="25"/>
  <c r="H49" i="25"/>
  <c r="E49" i="25"/>
  <c r="D49" i="25"/>
  <c r="C49" i="25"/>
  <c r="B49" i="25"/>
  <c r="Q48" i="25"/>
  <c r="P48" i="25"/>
  <c r="O48" i="25"/>
  <c r="K48" i="25"/>
  <c r="J48" i="25"/>
  <c r="I48" i="25"/>
  <c r="E48" i="25"/>
  <c r="D48" i="25"/>
  <c r="C48" i="25"/>
  <c r="AB10" i="25"/>
  <c r="AA10" i="25"/>
  <c r="Q47" i="25"/>
  <c r="P47" i="25"/>
  <c r="O47" i="25"/>
  <c r="J47" i="25"/>
  <c r="I47" i="25"/>
  <c r="H47" i="25"/>
  <c r="E47" i="25"/>
  <c r="D47" i="25"/>
  <c r="C47" i="25"/>
  <c r="B47" i="25"/>
  <c r="AA9" i="25"/>
  <c r="Y9" i="25"/>
  <c r="Q46" i="25"/>
  <c r="P46" i="25"/>
  <c r="O46" i="25"/>
  <c r="K46" i="25"/>
  <c r="J46" i="25"/>
  <c r="I46" i="25"/>
  <c r="E46" i="25"/>
  <c r="D46" i="25"/>
  <c r="C46" i="25"/>
  <c r="AB8" i="25"/>
  <c r="AA8" i="25"/>
  <c r="Q45" i="25"/>
  <c r="P45" i="25"/>
  <c r="O45" i="25"/>
  <c r="J45" i="25"/>
  <c r="I45" i="25"/>
  <c r="H45" i="25"/>
  <c r="E45" i="25"/>
  <c r="D45" i="25"/>
  <c r="C45" i="25"/>
  <c r="B45" i="25"/>
  <c r="AA7" i="25"/>
  <c r="Y7" i="25"/>
  <c r="Q44" i="25"/>
  <c r="P44" i="25"/>
  <c r="O44" i="25"/>
  <c r="K44" i="25"/>
  <c r="J44" i="25"/>
  <c r="I44" i="25"/>
  <c r="E44" i="25"/>
  <c r="D44" i="25"/>
  <c r="C44" i="25"/>
  <c r="AB6" i="25"/>
  <c r="AA6" i="25"/>
  <c r="Q43" i="25"/>
  <c r="P43" i="25"/>
  <c r="O43" i="25"/>
  <c r="J43" i="25"/>
  <c r="I43" i="25"/>
  <c r="H43" i="25"/>
  <c r="E43" i="25"/>
  <c r="D43" i="25"/>
  <c r="C43" i="25"/>
  <c r="B43" i="25"/>
  <c r="AA5" i="25"/>
  <c r="Y5" i="25"/>
  <c r="Q42" i="25"/>
  <c r="P42" i="25"/>
  <c r="O42" i="25"/>
  <c r="K42" i="25"/>
  <c r="J42" i="25"/>
  <c r="I42" i="25"/>
  <c r="E42" i="25"/>
  <c r="D42" i="25"/>
  <c r="C42" i="25"/>
  <c r="AB4" i="25"/>
  <c r="AA4" i="25"/>
  <c r="Q41" i="25"/>
  <c r="P41" i="25"/>
  <c r="O41" i="25"/>
  <c r="J41" i="25"/>
  <c r="I41" i="25"/>
  <c r="H41" i="25"/>
  <c r="E41" i="25"/>
  <c r="D41" i="25"/>
  <c r="C41" i="25"/>
  <c r="B41" i="25"/>
  <c r="AA3" i="25"/>
  <c r="Y3" i="25"/>
  <c r="Q40" i="25"/>
  <c r="P40" i="25"/>
  <c r="O40" i="25"/>
  <c r="K40" i="25"/>
  <c r="J40" i="25"/>
  <c r="I40" i="25"/>
  <c r="E40" i="25"/>
  <c r="D40" i="25"/>
  <c r="C40" i="25"/>
  <c r="Y2" i="25"/>
  <c r="Q39" i="25"/>
  <c r="P39" i="25"/>
  <c r="O39" i="25"/>
  <c r="J39" i="25"/>
  <c r="I39" i="25"/>
  <c r="H39" i="25"/>
  <c r="E39" i="25"/>
  <c r="D39" i="25"/>
  <c r="C39" i="25"/>
  <c r="B39" i="25"/>
  <c r="Q38" i="25"/>
  <c r="N38" i="25"/>
  <c r="K38" i="25"/>
  <c r="J38" i="25"/>
  <c r="I38" i="25"/>
  <c r="E38" i="25"/>
  <c r="D38" i="25"/>
  <c r="C38" i="25"/>
  <c r="Q37" i="25"/>
  <c r="K37" i="25"/>
  <c r="J37" i="25"/>
  <c r="I37" i="25"/>
  <c r="H37" i="25"/>
  <c r="E37" i="25"/>
  <c r="D37" i="25"/>
  <c r="C37" i="25"/>
  <c r="B37" i="25"/>
  <c r="Q36" i="25"/>
  <c r="K36" i="25"/>
  <c r="J36" i="25"/>
  <c r="I36" i="25"/>
  <c r="E36" i="25"/>
  <c r="D36" i="25"/>
  <c r="C36" i="25"/>
  <c r="Q35" i="25"/>
  <c r="J35" i="25"/>
  <c r="I35" i="25"/>
  <c r="H35" i="25"/>
  <c r="E35" i="25"/>
  <c r="D35" i="25"/>
  <c r="C35" i="25"/>
  <c r="B35" i="25"/>
  <c r="Q34" i="25"/>
  <c r="P34" i="25"/>
  <c r="K34" i="25"/>
  <c r="J34" i="25"/>
  <c r="I34" i="25"/>
  <c r="E34" i="25"/>
  <c r="D34" i="25"/>
  <c r="C34" i="25"/>
  <c r="Q33" i="25"/>
  <c r="P33" i="25"/>
  <c r="O33" i="25"/>
  <c r="N33" i="25"/>
  <c r="K33" i="25"/>
  <c r="J33" i="25"/>
  <c r="I33" i="25"/>
  <c r="H33" i="25"/>
  <c r="E33" i="25"/>
  <c r="D33" i="25"/>
  <c r="C33" i="25"/>
  <c r="B33" i="25"/>
  <c r="Q32" i="25"/>
  <c r="P32" i="25"/>
  <c r="K32" i="25"/>
  <c r="J32" i="25"/>
  <c r="I32" i="25"/>
  <c r="E32" i="25"/>
  <c r="D32" i="25"/>
  <c r="C32" i="25"/>
  <c r="P31" i="25"/>
  <c r="N31" i="25"/>
  <c r="J31" i="25"/>
  <c r="I31" i="25"/>
  <c r="H31" i="25"/>
  <c r="E31" i="25"/>
  <c r="D31" i="25"/>
  <c r="C31" i="25"/>
  <c r="B31" i="25"/>
  <c r="V30" i="25"/>
  <c r="U30" i="25"/>
  <c r="Q30" i="25"/>
  <c r="P30" i="25"/>
  <c r="K30" i="25"/>
  <c r="J30" i="25"/>
  <c r="I30" i="25"/>
  <c r="E30" i="25"/>
  <c r="D30" i="25"/>
  <c r="C30" i="25"/>
  <c r="W29" i="25"/>
  <c r="V29" i="25"/>
  <c r="U29" i="25"/>
  <c r="P29" i="25"/>
  <c r="N29" i="25"/>
  <c r="J29" i="25"/>
  <c r="I29" i="25"/>
  <c r="H29" i="25"/>
  <c r="E29" i="25"/>
  <c r="D29" i="25"/>
  <c r="C29" i="25"/>
  <c r="B29" i="25"/>
  <c r="V28" i="25"/>
  <c r="U28" i="25"/>
  <c r="Q28" i="25"/>
  <c r="P28" i="25"/>
  <c r="K28" i="25"/>
  <c r="J28" i="25"/>
  <c r="I28" i="25"/>
  <c r="E28" i="25"/>
  <c r="D28" i="25"/>
  <c r="C28" i="25"/>
  <c r="W27" i="25"/>
  <c r="V27" i="25"/>
  <c r="U27" i="25"/>
  <c r="Q27" i="25"/>
  <c r="P27" i="25"/>
  <c r="N27" i="25"/>
  <c r="J27" i="25"/>
  <c r="I27" i="25"/>
  <c r="H27" i="25"/>
  <c r="E27" i="25"/>
  <c r="D27" i="25"/>
  <c r="C27" i="25"/>
  <c r="B27" i="25"/>
  <c r="V26" i="25"/>
  <c r="U26" i="25"/>
  <c r="Q26" i="25"/>
  <c r="P26" i="25"/>
  <c r="K26" i="25"/>
  <c r="J26" i="25"/>
  <c r="I26" i="25"/>
  <c r="E26" i="25"/>
  <c r="D26" i="25"/>
  <c r="C26" i="25"/>
  <c r="V25" i="25"/>
  <c r="U25" i="25"/>
  <c r="P25" i="25"/>
  <c r="N25" i="25"/>
  <c r="J25" i="25"/>
  <c r="I25" i="25"/>
  <c r="H25" i="25"/>
  <c r="E25" i="25"/>
  <c r="D25" i="25"/>
  <c r="C25" i="25"/>
  <c r="B25" i="25"/>
  <c r="Q24" i="25"/>
  <c r="P24" i="25"/>
  <c r="K24" i="25"/>
  <c r="J24" i="25"/>
  <c r="I24" i="25"/>
  <c r="E24" i="25"/>
  <c r="D24" i="25"/>
  <c r="C24" i="25"/>
  <c r="P23" i="25"/>
  <c r="N23" i="25"/>
  <c r="K23" i="25"/>
  <c r="J23" i="25"/>
  <c r="I23" i="25"/>
  <c r="H23" i="25"/>
  <c r="E23" i="25"/>
  <c r="D23" i="25"/>
  <c r="C23" i="25"/>
  <c r="B23" i="25"/>
  <c r="T22" i="25"/>
  <c r="Q22" i="25"/>
  <c r="P22" i="25"/>
  <c r="O22" i="25"/>
  <c r="K22" i="25"/>
  <c r="J22" i="25"/>
  <c r="I22" i="25"/>
  <c r="E22" i="25"/>
  <c r="D22" i="25"/>
  <c r="C22" i="25"/>
  <c r="P21" i="25"/>
  <c r="N21" i="25"/>
  <c r="J21" i="25"/>
  <c r="I21" i="25"/>
  <c r="H21" i="25"/>
  <c r="E21" i="25"/>
  <c r="D21" i="25"/>
  <c r="C21" i="25"/>
  <c r="B21" i="25"/>
  <c r="Q20" i="25"/>
  <c r="P20" i="25"/>
  <c r="K20" i="25"/>
  <c r="J20" i="25"/>
  <c r="I20" i="25"/>
  <c r="E20" i="25"/>
  <c r="D20" i="25"/>
  <c r="C20" i="25"/>
  <c r="P19" i="25"/>
  <c r="N19" i="25"/>
  <c r="J19" i="25"/>
  <c r="I19" i="25"/>
  <c r="H19" i="25"/>
  <c r="E19" i="25"/>
  <c r="D19" i="25"/>
  <c r="C19" i="25"/>
  <c r="B19" i="25"/>
  <c r="V18" i="25"/>
  <c r="Q18" i="25"/>
  <c r="P18" i="25"/>
  <c r="O18" i="25"/>
  <c r="K18" i="25"/>
  <c r="J18" i="25"/>
  <c r="I18" i="25"/>
  <c r="E18" i="25"/>
  <c r="D18" i="25"/>
  <c r="C18" i="25"/>
  <c r="V17" i="25"/>
  <c r="T17" i="25"/>
  <c r="Q17" i="25"/>
  <c r="P17" i="25"/>
  <c r="N17" i="25"/>
  <c r="J17" i="25"/>
  <c r="I17" i="25"/>
  <c r="H17" i="25"/>
  <c r="E17" i="25"/>
  <c r="D17" i="25"/>
  <c r="C17" i="25"/>
  <c r="B17" i="25"/>
  <c r="V16" i="25"/>
  <c r="Q16" i="25"/>
  <c r="P16" i="25"/>
  <c r="K16" i="25"/>
  <c r="J16" i="25"/>
  <c r="I16" i="25"/>
  <c r="E16" i="25"/>
  <c r="D16" i="25"/>
  <c r="C16" i="25"/>
  <c r="V15" i="25"/>
  <c r="T15" i="25"/>
  <c r="Q15" i="25"/>
  <c r="P15" i="25"/>
  <c r="N15" i="25"/>
  <c r="J15" i="25"/>
  <c r="I15" i="25"/>
  <c r="H15" i="25"/>
  <c r="E15" i="25"/>
  <c r="D15" i="25"/>
  <c r="C15" i="25"/>
  <c r="B15" i="25"/>
  <c r="V14" i="25"/>
  <c r="Q14" i="25"/>
  <c r="P14" i="25"/>
  <c r="K14" i="25"/>
  <c r="J14" i="25"/>
  <c r="I14" i="25"/>
  <c r="E14" i="25"/>
  <c r="D14" i="25"/>
  <c r="C14" i="25"/>
  <c r="V13" i="25"/>
  <c r="T13" i="25"/>
  <c r="Q13" i="25"/>
  <c r="P13" i="25"/>
  <c r="O13" i="25"/>
  <c r="N13" i="25"/>
  <c r="J13" i="25"/>
  <c r="I13" i="25"/>
  <c r="H13" i="25"/>
  <c r="E13" i="25"/>
  <c r="D13" i="25"/>
  <c r="C13" i="25"/>
  <c r="B13" i="25"/>
  <c r="V12" i="25"/>
  <c r="Q12" i="25"/>
  <c r="P12" i="25"/>
  <c r="K12" i="25"/>
  <c r="J12" i="25"/>
  <c r="I12" i="25"/>
  <c r="E12" i="25"/>
  <c r="D12" i="25"/>
  <c r="C12" i="25"/>
  <c r="W11" i="25"/>
  <c r="V11" i="25"/>
  <c r="T11" i="25"/>
  <c r="P11" i="25"/>
  <c r="N11" i="25"/>
  <c r="J11" i="25"/>
  <c r="I11" i="25"/>
  <c r="H11" i="25"/>
  <c r="E11" i="25"/>
  <c r="D11" i="25"/>
  <c r="C11" i="25"/>
  <c r="B11" i="25"/>
  <c r="V10" i="25"/>
  <c r="Q10" i="25"/>
  <c r="P10" i="25"/>
  <c r="K10" i="25"/>
  <c r="J10" i="25"/>
  <c r="I10" i="25"/>
  <c r="E10" i="25"/>
  <c r="D10" i="25"/>
  <c r="C10" i="25"/>
  <c r="W9" i="25"/>
  <c r="V9" i="25"/>
  <c r="T9" i="25"/>
  <c r="P9" i="25"/>
  <c r="N9" i="25"/>
  <c r="J9" i="25"/>
  <c r="I9" i="25"/>
  <c r="H9" i="25"/>
  <c r="E9" i="25"/>
  <c r="D9" i="25"/>
  <c r="C9" i="25"/>
  <c r="B9" i="25"/>
  <c r="V8" i="25"/>
  <c r="Q8" i="25"/>
  <c r="P8" i="25"/>
  <c r="K8" i="25"/>
  <c r="J8" i="25"/>
  <c r="I8" i="25"/>
  <c r="E8" i="25"/>
  <c r="D8" i="25"/>
  <c r="C8" i="25"/>
  <c r="V7" i="25"/>
  <c r="T7" i="25"/>
  <c r="P7" i="25"/>
  <c r="N7" i="25"/>
  <c r="J7" i="25"/>
  <c r="I7" i="25"/>
  <c r="H7" i="25"/>
  <c r="E7" i="25"/>
  <c r="D7" i="25"/>
  <c r="C7" i="25"/>
  <c r="B7" i="25"/>
  <c r="V6" i="25"/>
  <c r="Q6" i="25"/>
  <c r="P6" i="25"/>
  <c r="K6" i="25"/>
  <c r="J6" i="25"/>
  <c r="I6" i="25"/>
  <c r="E6" i="25"/>
  <c r="D6" i="25"/>
  <c r="C6" i="25"/>
  <c r="V5" i="25"/>
  <c r="T5" i="25"/>
  <c r="P5" i="25"/>
  <c r="N5" i="25"/>
  <c r="J5" i="25"/>
  <c r="I5" i="25"/>
  <c r="H5" i="25"/>
  <c r="E5" i="25"/>
  <c r="D5" i="25"/>
  <c r="C5" i="25"/>
  <c r="B5" i="25"/>
  <c r="V4" i="25"/>
  <c r="Q4" i="25"/>
  <c r="P4" i="25"/>
  <c r="K4" i="25"/>
  <c r="J4" i="25"/>
  <c r="I4" i="25"/>
  <c r="H4" i="25"/>
  <c r="E4" i="25"/>
  <c r="D4" i="25"/>
  <c r="C4" i="25"/>
  <c r="V3" i="25"/>
  <c r="T3" i="25"/>
  <c r="Q3" i="25"/>
  <c r="P3" i="25"/>
  <c r="N3" i="25"/>
  <c r="J3" i="25"/>
  <c r="I3" i="25"/>
  <c r="H3" i="25"/>
  <c r="E3" i="25"/>
  <c r="D3" i="25"/>
  <c r="C3" i="25"/>
  <c r="B3" i="25"/>
  <c r="T2" i="25"/>
  <c r="N2" i="25"/>
  <c r="H2" i="25"/>
  <c r="C2" i="25"/>
  <c r="K66" i="2"/>
  <c r="J59" i="2"/>
  <c r="G59" i="2"/>
  <c r="F59" i="2"/>
  <c r="D59" i="2"/>
  <c r="B59" i="2"/>
  <c r="J58" i="2"/>
  <c r="G58" i="2"/>
  <c r="F58" i="2"/>
  <c r="D58" i="2"/>
  <c r="B58" i="2"/>
  <c r="J57" i="2"/>
  <c r="G57" i="2"/>
  <c r="F57" i="2"/>
  <c r="D57" i="2"/>
  <c r="B57" i="2"/>
  <c r="J56" i="2"/>
  <c r="G56" i="2"/>
  <c r="F56" i="2"/>
  <c r="D56" i="2"/>
  <c r="B56" i="2"/>
  <c r="J55" i="2"/>
  <c r="G55" i="2"/>
  <c r="F55" i="2"/>
  <c r="D55" i="2"/>
  <c r="B55" i="2"/>
  <c r="J54" i="2"/>
  <c r="G54" i="2"/>
  <c r="F54" i="2"/>
  <c r="D54" i="2"/>
  <c r="B54" i="2"/>
  <c r="J53" i="2"/>
  <c r="G53" i="2"/>
  <c r="F53" i="2"/>
  <c r="D53" i="2"/>
  <c r="B53" i="2"/>
  <c r="J52" i="2"/>
  <c r="G52" i="2"/>
  <c r="F52" i="2"/>
  <c r="D52" i="2"/>
  <c r="B52" i="2"/>
  <c r="J51" i="2"/>
  <c r="G51" i="2"/>
  <c r="F51" i="2"/>
  <c r="D51" i="2"/>
  <c r="B51" i="2"/>
  <c r="J50" i="2"/>
  <c r="G50" i="2"/>
  <c r="J57" i="22" s="1"/>
  <c r="F50" i="2"/>
  <c r="I57" i="22" s="1"/>
  <c r="D50" i="2"/>
  <c r="B50" i="2"/>
  <c r="J49" i="2"/>
  <c r="G49" i="2"/>
  <c r="F49" i="2"/>
  <c r="D49" i="2"/>
  <c r="B49" i="2"/>
  <c r="J48" i="2"/>
  <c r="G48" i="2"/>
  <c r="F48" i="2"/>
  <c r="D48" i="2"/>
  <c r="B48" i="2"/>
  <c r="J47" i="2"/>
  <c r="G47" i="2"/>
  <c r="F47" i="2"/>
  <c r="D47" i="2"/>
  <c r="B47" i="2"/>
  <c r="J46" i="2"/>
  <c r="G46" i="2"/>
  <c r="F46" i="2"/>
  <c r="D46" i="2"/>
  <c r="B46" i="2"/>
  <c r="J45" i="2"/>
  <c r="G45" i="2"/>
  <c r="F45" i="2"/>
  <c r="D45" i="2"/>
  <c r="B45" i="2"/>
  <c r="J44" i="2"/>
  <c r="G44" i="2"/>
  <c r="F44" i="2"/>
  <c r="D44" i="2"/>
  <c r="B44" i="2"/>
  <c r="J43" i="2"/>
  <c r="G43" i="2"/>
  <c r="F43" i="2"/>
  <c r="D43" i="2"/>
  <c r="B43" i="2"/>
  <c r="J42" i="2"/>
  <c r="G42" i="2"/>
  <c r="F42" i="2"/>
  <c r="D42" i="2"/>
  <c r="B42" i="2"/>
  <c r="J41" i="2"/>
  <c r="G41" i="2"/>
  <c r="F41" i="2"/>
  <c r="D41" i="2"/>
  <c r="B41" i="2"/>
  <c r="J40" i="2"/>
  <c r="G40" i="2"/>
  <c r="F40" i="2"/>
  <c r="D40" i="2"/>
  <c r="B40" i="2"/>
  <c r="J39" i="2"/>
  <c r="G39" i="2"/>
  <c r="F39" i="2"/>
  <c r="D39" i="2"/>
  <c r="B39" i="2"/>
  <c r="J38" i="2"/>
  <c r="G38" i="2"/>
  <c r="F38" i="2"/>
  <c r="D38" i="2"/>
  <c r="B38" i="2"/>
  <c r="J37" i="2"/>
  <c r="G37" i="2"/>
  <c r="F37" i="2"/>
  <c r="D37" i="2"/>
  <c r="B37" i="2"/>
  <c r="J36" i="2"/>
  <c r="G36" i="2"/>
  <c r="F36" i="2"/>
  <c r="D36" i="2"/>
  <c r="B36" i="2"/>
  <c r="J35" i="2"/>
  <c r="G35" i="2"/>
  <c r="F35" i="2"/>
  <c r="D35" i="2"/>
  <c r="B35" i="2"/>
  <c r="J34" i="2"/>
  <c r="G34" i="2"/>
  <c r="F34" i="2"/>
  <c r="D34" i="2"/>
  <c r="B34" i="2"/>
  <c r="J33" i="2"/>
  <c r="G33" i="2"/>
  <c r="F33" i="2"/>
  <c r="D33" i="2"/>
  <c r="B33" i="2"/>
  <c r="J32" i="2"/>
  <c r="G32" i="2"/>
  <c r="F32" i="2"/>
  <c r="D32" i="2"/>
  <c r="B32" i="2"/>
  <c r="J31" i="2"/>
  <c r="G31" i="2"/>
  <c r="F31" i="2"/>
  <c r="D31" i="2"/>
  <c r="B31" i="2"/>
  <c r="J30" i="2"/>
  <c r="G30" i="2"/>
  <c r="F30" i="2"/>
  <c r="D30" i="2"/>
  <c r="B30" i="2"/>
  <c r="J29" i="2"/>
  <c r="G29" i="2"/>
  <c r="F29" i="2"/>
  <c r="D29" i="2"/>
  <c r="B29" i="2"/>
  <c r="J28" i="2"/>
  <c r="G28" i="2"/>
  <c r="F28" i="2"/>
  <c r="D28" i="2"/>
  <c r="B28" i="2"/>
  <c r="J27" i="2"/>
  <c r="G27" i="2"/>
  <c r="F27" i="2"/>
  <c r="D27" i="2"/>
  <c r="B27" i="2"/>
  <c r="J26" i="2"/>
  <c r="G26" i="2"/>
  <c r="F26" i="2"/>
  <c r="D26" i="2"/>
  <c r="B26" i="2"/>
  <c r="J25" i="2"/>
  <c r="G25" i="2"/>
  <c r="F25" i="2"/>
  <c r="D25" i="2"/>
  <c r="B25" i="2"/>
  <c r="J24" i="2"/>
  <c r="G24" i="2"/>
  <c r="F24" i="2"/>
  <c r="D24" i="2"/>
  <c r="B24" i="2"/>
  <c r="J23" i="2"/>
  <c r="G23" i="2"/>
  <c r="J53" i="22" s="1"/>
  <c r="F23" i="2"/>
  <c r="I53" i="22" s="1"/>
  <c r="D23" i="2"/>
  <c r="B23" i="2"/>
  <c r="J22" i="2"/>
  <c r="G22" i="2"/>
  <c r="F22" i="2"/>
  <c r="D22" i="2"/>
  <c r="B22" i="2"/>
  <c r="J21" i="2"/>
  <c r="G21" i="2"/>
  <c r="F21" i="2"/>
  <c r="D21" i="2"/>
  <c r="B21" i="2"/>
  <c r="J20" i="2"/>
  <c r="G20" i="2"/>
  <c r="F20" i="2"/>
  <c r="D20" i="2"/>
  <c r="B20" i="2"/>
  <c r="J19" i="2"/>
  <c r="G19" i="2"/>
  <c r="J51" i="22" s="1"/>
  <c r="F19" i="2"/>
  <c r="I51" i="22" s="1"/>
  <c r="D19" i="2"/>
  <c r="B19" i="2"/>
  <c r="J18" i="2"/>
  <c r="G18" i="2"/>
  <c r="F18" i="2"/>
  <c r="D18" i="2"/>
  <c r="B18" i="2"/>
  <c r="J17" i="2"/>
  <c r="G17" i="2"/>
  <c r="F17" i="2"/>
  <c r="D17" i="2"/>
  <c r="B17" i="2"/>
  <c r="J16" i="2"/>
  <c r="G16" i="2"/>
  <c r="F16" i="2"/>
  <c r="D16" i="2"/>
  <c r="B16" i="2"/>
  <c r="J15" i="2"/>
  <c r="G15" i="2"/>
  <c r="F15" i="2"/>
  <c r="I26" i="22" s="1"/>
  <c r="D15" i="2"/>
  <c r="B15" i="2"/>
  <c r="J14" i="2"/>
  <c r="G14" i="2"/>
  <c r="F14" i="2"/>
  <c r="D14" i="2"/>
  <c r="B14" i="2"/>
  <c r="J13" i="2"/>
  <c r="G13" i="2"/>
  <c r="J56" i="22" s="1"/>
  <c r="F13" i="2"/>
  <c r="I56" i="22" s="1"/>
  <c r="D13" i="2"/>
  <c r="B13" i="2"/>
  <c r="J12" i="2"/>
  <c r="G12" i="2"/>
  <c r="F12" i="2"/>
  <c r="D12" i="2"/>
  <c r="B12" i="2"/>
  <c r="J11" i="2"/>
  <c r="G11" i="2"/>
  <c r="F11" i="2"/>
  <c r="D11" i="2"/>
  <c r="B11" i="2"/>
  <c r="J10" i="2"/>
  <c r="G10" i="2"/>
  <c r="F10" i="2"/>
  <c r="D10" i="2"/>
  <c r="B10" i="2"/>
  <c r="J9" i="2"/>
  <c r="G9" i="2"/>
  <c r="F9" i="2"/>
  <c r="D9" i="2"/>
  <c r="B9" i="2"/>
  <c r="J8" i="2"/>
  <c r="O63" i="22" s="1"/>
  <c r="G8" i="2"/>
  <c r="F8" i="2"/>
  <c r="D8" i="2"/>
  <c r="B8" i="2"/>
  <c r="J7" i="2"/>
  <c r="G7" i="2"/>
  <c r="F7" i="2"/>
  <c r="D7" i="2"/>
  <c r="B7" i="2"/>
  <c r="J6" i="2"/>
  <c r="G6" i="2"/>
  <c r="F6" i="2"/>
  <c r="D6" i="2"/>
  <c r="B6" i="2"/>
  <c r="J5" i="2"/>
  <c r="G5" i="2"/>
  <c r="F5" i="2"/>
  <c r="D5" i="2"/>
  <c r="B5" i="2"/>
  <c r="J4" i="2"/>
  <c r="G4" i="2"/>
  <c r="F4" i="2"/>
  <c r="D4" i="2"/>
  <c r="B4" i="2"/>
  <c r="J3" i="2"/>
  <c r="G3" i="2"/>
  <c r="F3" i="2"/>
  <c r="D3" i="2"/>
  <c r="B3" i="2"/>
  <c r="J2" i="2"/>
  <c r="G2" i="2"/>
  <c r="F2" i="2"/>
  <c r="D2" i="2"/>
  <c r="B2" i="2"/>
  <c r="P45" i="22"/>
  <c r="M45" i="22"/>
  <c r="L43" i="22"/>
  <c r="K43" i="22"/>
  <c r="B59" i="22"/>
  <c r="P54" i="22"/>
  <c r="M54" i="22"/>
  <c r="L63" i="22"/>
  <c r="K63" i="22"/>
  <c r="B58" i="22"/>
  <c r="P40" i="22"/>
  <c r="M40" i="22"/>
  <c r="L42" i="22"/>
  <c r="K42" i="22"/>
  <c r="B57" i="22"/>
  <c r="P58" i="22"/>
  <c r="M58" i="22"/>
  <c r="L62" i="22"/>
  <c r="K62" i="22"/>
  <c r="P35" i="22"/>
  <c r="M35" i="22"/>
  <c r="L40" i="22"/>
  <c r="K40" i="22"/>
  <c r="B56" i="22"/>
  <c r="P39" i="22"/>
  <c r="M39" i="22"/>
  <c r="L38" i="22"/>
  <c r="K38" i="22"/>
  <c r="B55" i="22"/>
  <c r="P49" i="22"/>
  <c r="M49" i="22"/>
  <c r="L34" i="22"/>
  <c r="K34" i="22"/>
  <c r="B54" i="22"/>
  <c r="P52" i="22"/>
  <c r="M52" i="22"/>
  <c r="L55" i="22"/>
  <c r="K55" i="22"/>
  <c r="P34" i="22"/>
  <c r="M34" i="22"/>
  <c r="L37" i="22"/>
  <c r="K37" i="22"/>
  <c r="B53" i="22"/>
  <c r="P37" i="22"/>
  <c r="M37" i="22"/>
  <c r="L49" i="22"/>
  <c r="K49" i="22"/>
  <c r="B52" i="22"/>
  <c r="P44" i="22"/>
  <c r="M44" i="22"/>
  <c r="L39" i="22"/>
  <c r="K39" i="22"/>
  <c r="B51" i="22"/>
  <c r="P48" i="22"/>
  <c r="M48" i="22"/>
  <c r="L36" i="22"/>
  <c r="K36" i="22"/>
  <c r="B50" i="22"/>
  <c r="P56" i="22"/>
  <c r="M56" i="22"/>
  <c r="L59" i="22"/>
  <c r="K59" i="22"/>
  <c r="B49" i="22"/>
  <c r="P33" i="22"/>
  <c r="M33" i="22"/>
  <c r="L23" i="22"/>
  <c r="K23" i="22"/>
  <c r="B48" i="22"/>
  <c r="P51" i="22"/>
  <c r="M51" i="22"/>
  <c r="L50" i="22"/>
  <c r="K50" i="22"/>
  <c r="B47" i="22"/>
  <c r="P59" i="22"/>
  <c r="M59" i="22"/>
  <c r="L54" i="22"/>
  <c r="K54" i="22"/>
  <c r="B46" i="22"/>
  <c r="P22" i="22"/>
  <c r="M22" i="22"/>
  <c r="L27" i="22"/>
  <c r="K27" i="22"/>
  <c r="B45" i="22"/>
  <c r="P50" i="22"/>
  <c r="M50" i="22"/>
  <c r="L60" i="22"/>
  <c r="K60" i="22"/>
  <c r="B44" i="22"/>
  <c r="P31" i="22"/>
  <c r="M31" i="22"/>
  <c r="L24" i="22"/>
  <c r="K24" i="22"/>
  <c r="B43" i="22"/>
  <c r="P55" i="22"/>
  <c r="M55" i="22"/>
  <c r="L61" i="22"/>
  <c r="K61" i="22"/>
  <c r="B42" i="22"/>
  <c r="P29" i="22"/>
  <c r="M29" i="22"/>
  <c r="L18" i="22"/>
  <c r="K18" i="22"/>
  <c r="B41" i="22"/>
  <c r="P28" i="22"/>
  <c r="M28" i="22"/>
  <c r="L28" i="22"/>
  <c r="K28" i="22"/>
  <c r="B40" i="22"/>
  <c r="P57" i="22"/>
  <c r="M57" i="22"/>
  <c r="L52" i="22"/>
  <c r="K52" i="22"/>
  <c r="B39" i="22"/>
  <c r="P53" i="22"/>
  <c r="M53" i="22"/>
  <c r="L58" i="22"/>
  <c r="K58" i="22"/>
  <c r="B38" i="22"/>
  <c r="P32" i="22"/>
  <c r="M32" i="22"/>
  <c r="L22" i="22"/>
  <c r="K22" i="22"/>
  <c r="B37" i="22"/>
  <c r="P26" i="22"/>
  <c r="M26" i="22"/>
  <c r="L26" i="22"/>
  <c r="K26" i="22"/>
  <c r="B36" i="22"/>
  <c r="B35" i="22"/>
  <c r="P27" i="22"/>
  <c r="M27" i="22"/>
  <c r="L32" i="22"/>
  <c r="K32" i="22"/>
  <c r="B34" i="22"/>
  <c r="P46" i="22"/>
  <c r="M46" i="22"/>
  <c r="L47" i="22"/>
  <c r="K47" i="22"/>
  <c r="B33" i="22"/>
  <c r="P36" i="22"/>
  <c r="M36" i="22"/>
  <c r="L44" i="22"/>
  <c r="K44" i="22"/>
  <c r="B32" i="22"/>
  <c r="P3" i="22"/>
  <c r="M3" i="22"/>
  <c r="L16" i="22"/>
  <c r="K16" i="22"/>
  <c r="B31" i="22"/>
  <c r="P47" i="22"/>
  <c r="M47" i="22"/>
  <c r="L46" i="22"/>
  <c r="K46" i="22"/>
  <c r="B30" i="22"/>
  <c r="P2" i="22"/>
  <c r="M2" i="22"/>
  <c r="L17" i="22"/>
  <c r="K17" i="22"/>
  <c r="B29" i="22"/>
  <c r="P38" i="22"/>
  <c r="M38" i="22"/>
  <c r="L41" i="22"/>
  <c r="K41" i="22"/>
  <c r="B28" i="22"/>
  <c r="B27" i="22"/>
  <c r="P42" i="22"/>
  <c r="M42" i="22"/>
  <c r="L48" i="22"/>
  <c r="K48" i="22"/>
  <c r="B26" i="22"/>
  <c r="P9" i="22"/>
  <c r="M9" i="22"/>
  <c r="L14" i="22"/>
  <c r="K14" i="22"/>
  <c r="B25" i="22"/>
  <c r="P5" i="22"/>
  <c r="M5" i="22"/>
  <c r="L9" i="22"/>
  <c r="K9" i="22"/>
  <c r="B24" i="22"/>
  <c r="P17" i="22"/>
  <c r="M17" i="22"/>
  <c r="L3" i="22"/>
  <c r="K3" i="22"/>
  <c r="B23" i="22"/>
  <c r="P43" i="22"/>
  <c r="M43" i="22"/>
  <c r="L35" i="22"/>
  <c r="K35" i="22"/>
  <c r="B22" i="22"/>
  <c r="P21" i="22"/>
  <c r="M21" i="22"/>
  <c r="L30" i="22"/>
  <c r="K30" i="22"/>
  <c r="B21" i="22"/>
  <c r="P41" i="22"/>
  <c r="M41" i="22"/>
  <c r="L45" i="22"/>
  <c r="K45" i="22"/>
  <c r="B20" i="22"/>
  <c r="P13" i="22"/>
  <c r="M13" i="22"/>
  <c r="L10" i="22"/>
  <c r="K10" i="22"/>
  <c r="B19" i="22"/>
  <c r="P7" i="22"/>
  <c r="M7" i="22"/>
  <c r="L13" i="22"/>
  <c r="K13" i="22"/>
  <c r="B18" i="22"/>
  <c r="P11" i="22"/>
  <c r="M11" i="22"/>
  <c r="L8" i="22"/>
  <c r="K8" i="22"/>
  <c r="B17" i="22"/>
  <c r="P19" i="22"/>
  <c r="M19" i="22"/>
  <c r="L21" i="22"/>
  <c r="K21" i="22"/>
  <c r="B16" i="22"/>
  <c r="P16" i="22"/>
  <c r="M16" i="22"/>
  <c r="L12" i="22"/>
  <c r="K12" i="22"/>
  <c r="B15" i="22"/>
  <c r="P24" i="22"/>
  <c r="M24" i="22"/>
  <c r="L19" i="22"/>
  <c r="K19" i="22"/>
  <c r="B14" i="22"/>
  <c r="P12" i="22"/>
  <c r="M12" i="22"/>
  <c r="L7" i="22"/>
  <c r="K7" i="22"/>
  <c r="B13" i="22"/>
  <c r="P4" i="22"/>
  <c r="L6" i="22"/>
  <c r="K6" i="22"/>
  <c r="B12" i="22"/>
  <c r="P23" i="22"/>
  <c r="M23" i="22"/>
  <c r="L31" i="22"/>
  <c r="K31" i="22"/>
  <c r="B11" i="22"/>
  <c r="P6" i="22"/>
  <c r="M6" i="22"/>
  <c r="L11" i="22"/>
  <c r="K11" i="22"/>
  <c r="B10" i="22"/>
  <c r="P25" i="22"/>
  <c r="M25" i="22"/>
  <c r="L29" i="22"/>
  <c r="K29" i="22"/>
  <c r="B9" i="22"/>
  <c r="P14" i="22"/>
  <c r="M14" i="22"/>
  <c r="L2" i="22"/>
  <c r="K2" i="22"/>
  <c r="B8" i="22"/>
  <c r="P30" i="22"/>
  <c r="M30" i="22"/>
  <c r="L20" i="22"/>
  <c r="F3" i="54" s="1"/>
  <c r="K20" i="22"/>
  <c r="E3" i="54" s="1"/>
  <c r="B7" i="22"/>
  <c r="P20" i="22"/>
  <c r="M20" i="22"/>
  <c r="L25" i="22"/>
  <c r="K25" i="22"/>
  <c r="B6" i="22"/>
  <c r="P15" i="22"/>
  <c r="M15" i="22"/>
  <c r="L15" i="22"/>
  <c r="K15" i="22"/>
  <c r="B5" i="22"/>
  <c r="P10" i="22"/>
  <c r="M10" i="22"/>
  <c r="L4" i="22"/>
  <c r="K4" i="22"/>
  <c r="B4" i="22"/>
  <c r="P8" i="22"/>
  <c r="M8" i="22"/>
  <c r="L5" i="22"/>
  <c r="K5" i="22"/>
  <c r="B3" i="22"/>
  <c r="P18" i="22"/>
  <c r="M18" i="22"/>
  <c r="L33" i="22"/>
  <c r="K33" i="22"/>
  <c r="B2" i="22"/>
  <c r="B47" i="23"/>
  <c r="A47" i="23"/>
  <c r="B46" i="23"/>
  <c r="A46" i="23"/>
  <c r="B45" i="23"/>
  <c r="A45" i="23"/>
  <c r="B44" i="23"/>
  <c r="A44" i="23"/>
  <c r="B43" i="23"/>
  <c r="A43" i="23"/>
  <c r="B42" i="23"/>
  <c r="A42" i="23"/>
  <c r="B41" i="23"/>
  <c r="A41" i="23"/>
  <c r="B40" i="23"/>
  <c r="A40" i="23"/>
  <c r="B39" i="23"/>
  <c r="A39" i="23"/>
  <c r="B38" i="23"/>
  <c r="A38" i="23"/>
  <c r="B37" i="23"/>
  <c r="A37" i="23"/>
  <c r="B36" i="23"/>
  <c r="A36" i="23"/>
  <c r="B35" i="23"/>
  <c r="A35" i="23"/>
  <c r="B34" i="23"/>
  <c r="A34" i="23"/>
  <c r="B33" i="23"/>
  <c r="A33" i="23"/>
  <c r="B32" i="23"/>
  <c r="A32" i="23"/>
  <c r="B31" i="23"/>
  <c r="B30" i="23"/>
  <c r="A30" i="23"/>
  <c r="B29" i="23"/>
  <c r="A29" i="23"/>
  <c r="B28" i="23"/>
  <c r="A28" i="23"/>
  <c r="B27" i="23"/>
  <c r="A27" i="23"/>
  <c r="B26" i="23"/>
  <c r="A26" i="23"/>
  <c r="B25" i="23"/>
  <c r="A25" i="23"/>
  <c r="B24" i="23"/>
  <c r="A24" i="23"/>
  <c r="B23" i="23"/>
  <c r="A23" i="23"/>
  <c r="B22" i="23"/>
  <c r="A22" i="23"/>
  <c r="B21" i="23"/>
  <c r="A21" i="23"/>
  <c r="B20" i="23"/>
  <c r="A20" i="23"/>
  <c r="B19" i="23"/>
  <c r="A19" i="23"/>
  <c r="B18" i="23"/>
  <c r="A18" i="23"/>
  <c r="B17" i="23"/>
  <c r="A17" i="23"/>
  <c r="B16" i="23"/>
  <c r="A16" i="23"/>
  <c r="B15" i="23"/>
  <c r="A15" i="23"/>
  <c r="B14" i="23"/>
  <c r="A14" i="23"/>
  <c r="B13" i="23"/>
  <c r="A13" i="23"/>
  <c r="B12" i="23"/>
  <c r="A12" i="23"/>
  <c r="B11" i="23"/>
  <c r="A11" i="23"/>
  <c r="B10" i="23"/>
  <c r="A10" i="23"/>
  <c r="B9" i="23"/>
  <c r="A9" i="23"/>
  <c r="B8" i="23"/>
  <c r="A8" i="23"/>
  <c r="B7" i="23"/>
  <c r="A7" i="23"/>
  <c r="B6" i="23"/>
  <c r="A6" i="23"/>
  <c r="B5" i="23"/>
  <c r="A5" i="23"/>
  <c r="B4" i="23"/>
  <c r="A4" i="23"/>
  <c r="B3" i="23"/>
  <c r="A3" i="23"/>
  <c r="B2" i="23"/>
  <c r="A2" i="23"/>
  <c r="L14" i="34" l="1"/>
  <c r="Q14" i="34" s="1"/>
  <c r="L13" i="34"/>
  <c r="L12" i="34"/>
  <c r="L16" i="34"/>
  <c r="L15" i="34"/>
  <c r="Q15" i="34"/>
  <c r="L11" i="34"/>
  <c r="Q13" i="34"/>
  <c r="L10" i="34"/>
  <c r="Q10" i="34" s="1"/>
  <c r="J38" i="22"/>
  <c r="AB10" i="13"/>
  <c r="U11" i="25" s="1"/>
  <c r="O27" i="25"/>
  <c r="O29" i="25"/>
  <c r="AH8" i="13"/>
  <c r="Z9" i="25" s="1"/>
  <c r="AB8" i="13"/>
  <c r="U9" i="25" s="1"/>
  <c r="AB2" i="13"/>
  <c r="U3" i="25" s="1"/>
  <c r="AB3" i="13"/>
  <c r="U4" i="25" s="1"/>
  <c r="O62" i="22"/>
  <c r="O60" i="22"/>
  <c r="O61" i="22"/>
  <c r="I10" i="22"/>
  <c r="I54" i="22"/>
  <c r="AK18" i="34"/>
  <c r="AK17" i="34"/>
  <c r="AK16" i="34"/>
  <c r="AK15" i="34"/>
  <c r="L8" i="34"/>
  <c r="I23" i="22"/>
  <c r="J10" i="22"/>
  <c r="J27" i="22"/>
  <c r="J39" i="22"/>
  <c r="E4" i="54"/>
  <c r="J4" i="22"/>
  <c r="J18" i="22"/>
  <c r="J41" i="22"/>
  <c r="J32" i="22"/>
  <c r="I27" i="22"/>
  <c r="O27" i="22"/>
  <c r="I32" i="22"/>
  <c r="J15" i="22"/>
  <c r="O59" i="22"/>
  <c r="A61" i="2"/>
  <c r="A60" i="2"/>
  <c r="A62" i="2"/>
  <c r="A63" i="2"/>
  <c r="J63" i="22"/>
  <c r="I15" i="22"/>
  <c r="O58" i="22"/>
  <c r="O22" i="22"/>
  <c r="J8" i="22"/>
  <c r="I3" i="22"/>
  <c r="I45" i="22"/>
  <c r="J28" i="22"/>
  <c r="J13" i="22"/>
  <c r="J45" i="22"/>
  <c r="J46" i="22"/>
  <c r="F4" i="54"/>
  <c r="L9" i="34"/>
  <c r="Q9" i="34" s="1"/>
  <c r="L24" i="6"/>
  <c r="L7" i="34"/>
  <c r="Q7" i="34" s="1"/>
  <c r="O15" i="22"/>
  <c r="F6" i="34"/>
  <c r="O13" i="22"/>
  <c r="O40" i="22"/>
  <c r="O33" i="22"/>
  <c r="O29" i="22"/>
  <c r="O21" i="22"/>
  <c r="O2" i="22"/>
  <c r="O56" i="22"/>
  <c r="O17" i="22"/>
  <c r="O32" i="25"/>
  <c r="O11" i="22"/>
  <c r="O35" i="22"/>
  <c r="O47" i="22"/>
  <c r="O10" i="22"/>
  <c r="V45" i="7"/>
  <c r="P45" i="5" s="1"/>
  <c r="V9" i="7"/>
  <c r="D9" i="23" s="1"/>
  <c r="V46" i="7"/>
  <c r="P46" i="5" s="1"/>
  <c r="V43" i="7"/>
  <c r="P43" i="5" s="1"/>
  <c r="V47" i="7"/>
  <c r="D47" i="23" s="1"/>
  <c r="V8" i="7"/>
  <c r="D8" i="23" s="1"/>
  <c r="V12" i="7"/>
  <c r="D12" i="23" s="1"/>
  <c r="V16" i="7"/>
  <c r="D16" i="23" s="1"/>
  <c r="V20" i="7"/>
  <c r="V24" i="7"/>
  <c r="V28" i="7"/>
  <c r="V32" i="7"/>
  <c r="V44" i="7"/>
  <c r="P44" i="5" s="1"/>
  <c r="V40" i="7"/>
  <c r="F40" i="3" s="1"/>
  <c r="V36" i="7"/>
  <c r="V4" i="7"/>
  <c r="D4" i="23" s="1"/>
  <c r="V3" i="7"/>
  <c r="D3" i="23" s="1"/>
  <c r="V5" i="7"/>
  <c r="D5" i="23" s="1"/>
  <c r="V13" i="7"/>
  <c r="D13" i="23" s="1"/>
  <c r="V17" i="7"/>
  <c r="D17" i="23" s="1"/>
  <c r="V21" i="7"/>
  <c r="V25" i="7"/>
  <c r="V29" i="7"/>
  <c r="F29" i="3" s="1"/>
  <c r="V33" i="7"/>
  <c r="F33" i="3" s="1"/>
  <c r="V37" i="7"/>
  <c r="V41" i="7"/>
  <c r="V14" i="7"/>
  <c r="P14" i="5" s="1"/>
  <c r="V18" i="7"/>
  <c r="D18" i="23" s="1"/>
  <c r="V22" i="7"/>
  <c r="V26" i="7"/>
  <c r="V30" i="7"/>
  <c r="F30" i="3" s="1"/>
  <c r="V34" i="7"/>
  <c r="F34" i="3" s="1"/>
  <c r="V38" i="7"/>
  <c r="V42" i="7"/>
  <c r="V10" i="7"/>
  <c r="D10" i="23" s="1"/>
  <c r="V6" i="7"/>
  <c r="D6" i="23" s="1"/>
  <c r="V7" i="7"/>
  <c r="D7" i="23" s="1"/>
  <c r="V11" i="7"/>
  <c r="D11" i="23" s="1"/>
  <c r="V15" i="7"/>
  <c r="D15" i="23" s="1"/>
  <c r="V19" i="7"/>
  <c r="D19" i="23" s="1"/>
  <c r="V23" i="7"/>
  <c r="D23" i="23" s="1"/>
  <c r="V27" i="7"/>
  <c r="D27" i="23" s="1"/>
  <c r="V31" i="7"/>
  <c r="V35" i="7"/>
  <c r="F35" i="3" s="1"/>
  <c r="V39" i="7"/>
  <c r="F39" i="3" s="1"/>
  <c r="V2" i="7"/>
  <c r="D2" i="23" s="1"/>
  <c r="J48" i="22"/>
  <c r="J52" i="22"/>
  <c r="J60" i="22"/>
  <c r="J35" i="22"/>
  <c r="J12" i="22"/>
  <c r="J37" i="22"/>
  <c r="J34" i="22"/>
  <c r="J61" i="22"/>
  <c r="O42" i="22"/>
  <c r="O37" i="22"/>
  <c r="O57" i="22"/>
  <c r="O50" i="22"/>
  <c r="O43" i="22"/>
  <c r="O34" i="22"/>
  <c r="O55" i="22"/>
  <c r="O48" i="22"/>
  <c r="O18" i="22"/>
  <c r="O23" i="22"/>
  <c r="O46" i="22"/>
  <c r="J59" i="22"/>
  <c r="J40" i="22"/>
  <c r="C5" i="54" s="1"/>
  <c r="J17" i="22"/>
  <c r="J33" i="22"/>
  <c r="J31" i="22"/>
  <c r="J50" i="22"/>
  <c r="J16" i="22"/>
  <c r="J5" i="22"/>
  <c r="J47" i="22"/>
  <c r="J42" i="22"/>
  <c r="J20" i="22"/>
  <c r="C3" i="54" s="1"/>
  <c r="J9" i="22"/>
  <c r="J43" i="22"/>
  <c r="J29" i="22"/>
  <c r="J58" i="22"/>
  <c r="J14" i="22"/>
  <c r="J21" i="22"/>
  <c r="J24" i="22"/>
  <c r="J2" i="22"/>
  <c r="J25" i="22"/>
  <c r="O3" i="22"/>
  <c r="O8" i="22"/>
  <c r="O4" i="22"/>
  <c r="O30" i="22"/>
  <c r="O24" i="22"/>
  <c r="O54" i="22"/>
  <c r="O38" i="22"/>
  <c r="O45" i="22"/>
  <c r="O32" i="22"/>
  <c r="O25" i="22"/>
  <c r="O53" i="22"/>
  <c r="O19" i="22"/>
  <c r="O31" i="22"/>
  <c r="O39" i="22"/>
  <c r="O6" i="22"/>
  <c r="O14" i="22"/>
  <c r="O7" i="22"/>
  <c r="O20" i="22"/>
  <c r="O51" i="22"/>
  <c r="O41" i="22"/>
  <c r="I49" i="22"/>
  <c r="I52" i="22"/>
  <c r="I60" i="22"/>
  <c r="I35" i="22"/>
  <c r="I37" i="22"/>
  <c r="I34" i="22"/>
  <c r="I61" i="22"/>
  <c r="I36" i="22"/>
  <c r="I33" i="22"/>
  <c r="I31" i="22"/>
  <c r="I50" i="22"/>
  <c r="I28" i="22"/>
  <c r="I16" i="22"/>
  <c r="I9" i="22"/>
  <c r="I19" i="22"/>
  <c r="I63" i="22"/>
  <c r="I43" i="22"/>
  <c r="I29" i="22"/>
  <c r="I58" i="22"/>
  <c r="I21" i="22"/>
  <c r="I24" i="22"/>
  <c r="I38" i="22"/>
  <c r="I2" i="22"/>
  <c r="I13" i="22"/>
  <c r="I25" i="22"/>
  <c r="I46" i="22"/>
  <c r="AB13" i="13"/>
  <c r="U14" i="25" s="1"/>
  <c r="O6" i="25"/>
  <c r="AH7" i="13"/>
  <c r="Z8" i="25" s="1"/>
  <c r="AB17" i="13"/>
  <c r="U18" i="25" s="1"/>
  <c r="O4" i="25"/>
  <c r="O23" i="25"/>
  <c r="O15" i="25"/>
  <c r="A2" i="2"/>
  <c r="W36" i="7"/>
  <c r="U36" i="7" s="1"/>
  <c r="N29" i="22"/>
  <c r="N12" i="22"/>
  <c r="L5" i="34"/>
  <c r="Q5" i="34" s="1"/>
  <c r="L6" i="34"/>
  <c r="Q6" i="34" s="1"/>
  <c r="I8" i="22"/>
  <c r="I6" i="22"/>
  <c r="I48" i="22"/>
  <c r="I62" i="22"/>
  <c r="I41" i="22"/>
  <c r="I4" i="22"/>
  <c r="I18" i="22"/>
  <c r="I11" i="22"/>
  <c r="I22" i="22"/>
  <c r="B43" i="24"/>
  <c r="B82" i="24"/>
  <c r="B161" i="24"/>
  <c r="B74" i="24"/>
  <c r="B146" i="24"/>
  <c r="B169" i="24"/>
  <c r="B124" i="24"/>
  <c r="B64" i="24"/>
  <c r="B9" i="24"/>
  <c r="B14" i="24"/>
  <c r="B141" i="24"/>
  <c r="B75" i="24"/>
  <c r="N46" i="22"/>
  <c r="N11" i="22"/>
  <c r="O16" i="22"/>
  <c r="O49" i="22"/>
  <c r="O26" i="22"/>
  <c r="O28" i="22"/>
  <c r="E6" i="54"/>
  <c r="J19" i="22"/>
  <c r="J30" i="22"/>
  <c r="J6" i="22"/>
  <c r="J44" i="22"/>
  <c r="C6" i="54" s="1"/>
  <c r="J22" i="22"/>
  <c r="W6" i="7"/>
  <c r="U6" i="7" s="1"/>
  <c r="W10" i="7"/>
  <c r="B160" i="24"/>
  <c r="B76" i="24"/>
  <c r="B68" i="24"/>
  <c r="B97" i="24"/>
  <c r="B11" i="24"/>
  <c r="B83" i="24"/>
  <c r="B61" i="24"/>
  <c r="B91" i="24"/>
  <c r="B167" i="24"/>
  <c r="B152" i="24"/>
  <c r="B99" i="24"/>
  <c r="B139" i="24"/>
  <c r="B133" i="24"/>
  <c r="B144" i="24"/>
  <c r="B6" i="24"/>
  <c r="B47" i="24"/>
  <c r="B45" i="24"/>
  <c r="B123" i="24"/>
  <c r="B159" i="24"/>
  <c r="B100" i="24"/>
  <c r="B59" i="24"/>
  <c r="B92" i="24"/>
  <c r="B154" i="24"/>
  <c r="B19" i="24"/>
  <c r="B84" i="24"/>
  <c r="W30" i="7"/>
  <c r="U30" i="7" s="1"/>
  <c r="W23" i="7"/>
  <c r="U23" i="7" s="1"/>
  <c r="W44" i="7"/>
  <c r="U44" i="7" s="1"/>
  <c r="W41" i="7"/>
  <c r="W9" i="7"/>
  <c r="U9" i="7" s="1"/>
  <c r="W17" i="7"/>
  <c r="W33" i="7"/>
  <c r="W14" i="7"/>
  <c r="U14" i="7" s="1"/>
  <c r="W46" i="7"/>
  <c r="U46" i="7" s="1"/>
  <c r="J62" i="22"/>
  <c r="J3" i="22"/>
  <c r="J54" i="22"/>
  <c r="J23" i="22"/>
  <c r="J26" i="22"/>
  <c r="J36" i="22"/>
  <c r="J11" i="22"/>
  <c r="O12" i="22"/>
  <c r="O44" i="22"/>
  <c r="J7" i="22"/>
  <c r="J55" i="22"/>
  <c r="J49" i="22"/>
  <c r="B112" i="24"/>
  <c r="B104" i="24"/>
  <c r="B52" i="24"/>
  <c r="B147" i="24"/>
  <c r="B134" i="24"/>
  <c r="B170" i="24"/>
  <c r="B110" i="24"/>
  <c r="B162" i="24"/>
  <c r="B126" i="24"/>
  <c r="B118" i="24"/>
  <c r="B142" i="24"/>
  <c r="N28" i="22"/>
  <c r="N24" i="22"/>
  <c r="N42" i="22"/>
  <c r="N58" i="22"/>
  <c r="N40" i="22"/>
  <c r="N16" i="22"/>
  <c r="N33" i="22"/>
  <c r="N59" i="22"/>
  <c r="E2" i="54"/>
  <c r="A6" i="2"/>
  <c r="W43" i="7"/>
  <c r="U43" i="7" s="1"/>
  <c r="B113" i="24"/>
  <c r="B66" i="24"/>
  <c r="B81" i="24"/>
  <c r="B105" i="24"/>
  <c r="B51" i="24"/>
  <c r="B31" i="24"/>
  <c r="W28" i="7"/>
  <c r="U28" i="7" s="1"/>
  <c r="W34" i="7"/>
  <c r="U34" i="7" s="1"/>
  <c r="W19" i="7"/>
  <c r="U19" i="7" s="1"/>
  <c r="W31" i="7"/>
  <c r="U31" i="7" s="1"/>
  <c r="W2" i="7"/>
  <c r="U2" i="7" s="1"/>
  <c r="W42" i="7"/>
  <c r="U42" i="7" s="1"/>
  <c r="W20" i="7"/>
  <c r="U20" i="7" s="1"/>
  <c r="W3" i="7"/>
  <c r="U3" i="7" s="1"/>
  <c r="W18" i="7"/>
  <c r="W22" i="7"/>
  <c r="W26" i="7"/>
  <c r="U26" i="7" s="1"/>
  <c r="B27" i="24"/>
  <c r="B23" i="24"/>
  <c r="B5" i="24"/>
  <c r="B102" i="24"/>
  <c r="B129" i="24"/>
  <c r="B49" i="24"/>
  <c r="B116" i="24"/>
  <c r="B145" i="24"/>
  <c r="B149" i="24"/>
  <c r="B33" i="24"/>
  <c r="B37" i="24"/>
  <c r="B60" i="24"/>
  <c r="B86" i="24"/>
  <c r="B130" i="24"/>
  <c r="B111" i="24"/>
  <c r="B132" i="24"/>
  <c r="B140" i="24"/>
  <c r="B168" i="24"/>
  <c r="B54" i="24"/>
  <c r="B143" i="24"/>
  <c r="B3" i="24"/>
  <c r="B67" i="24"/>
  <c r="B90" i="24"/>
  <c r="B98" i="24"/>
  <c r="B53" i="24"/>
  <c r="B73" i="24"/>
  <c r="B89" i="24"/>
  <c r="B137" i="24"/>
  <c r="B41" i="24"/>
  <c r="B69" i="24"/>
  <c r="B114" i="24"/>
  <c r="B87" i="24"/>
  <c r="B21" i="24"/>
  <c r="B25" i="24"/>
  <c r="B29" i="24"/>
  <c r="B55" i="24"/>
  <c r="B95" i="24"/>
  <c r="B108" i="24"/>
  <c r="B131" i="24"/>
  <c r="B153" i="24"/>
  <c r="B175" i="24"/>
  <c r="B157" i="24"/>
  <c r="B173" i="24"/>
  <c r="B7" i="24"/>
  <c r="B103" i="24"/>
  <c r="B101" i="24"/>
  <c r="B165" i="24"/>
  <c r="B136" i="24"/>
  <c r="B71" i="24"/>
  <c r="B119" i="24"/>
  <c r="B120" i="24"/>
  <c r="B121" i="24"/>
  <c r="B79" i="24"/>
  <c r="B39" i="24"/>
  <c r="B106" i="24"/>
  <c r="B127" i="24"/>
  <c r="B125" i="24"/>
  <c r="B93" i="24"/>
  <c r="B150" i="24"/>
  <c r="B16" i="24"/>
  <c r="B17" i="24"/>
  <c r="B18" i="24"/>
  <c r="B15" i="24"/>
  <c r="B62" i="24"/>
  <c r="W13" i="7"/>
  <c r="U13" i="7" s="1"/>
  <c r="W16" i="7"/>
  <c r="W24" i="7"/>
  <c r="U24" i="7" s="1"/>
  <c r="W29" i="7"/>
  <c r="U29" i="7" s="1"/>
  <c r="W38" i="7"/>
  <c r="U38" i="7" s="1"/>
  <c r="W15" i="7"/>
  <c r="U15" i="7" s="1"/>
  <c r="W35" i="7"/>
  <c r="U35" i="7" s="1"/>
  <c r="W25" i="7"/>
  <c r="U25" i="7" s="1"/>
  <c r="W27" i="7"/>
  <c r="U27" i="7" s="1"/>
  <c r="W39" i="7"/>
  <c r="U39" i="7" s="1"/>
  <c r="W12" i="7"/>
  <c r="U12" i="7" s="1"/>
  <c r="W4" i="7"/>
  <c r="U4" i="7" s="1"/>
  <c r="W7" i="7"/>
  <c r="U7" i="7" s="1"/>
  <c r="W11" i="7"/>
  <c r="U11" i="7" s="1"/>
  <c r="W5" i="7"/>
  <c r="U5" i="7" s="1"/>
  <c r="W8" i="7"/>
  <c r="W21" i="7"/>
  <c r="U21" i="7" s="1"/>
  <c r="W37" i="7"/>
  <c r="U37" i="7" s="1"/>
  <c r="I4" i="48"/>
  <c r="F36" i="48" s="1"/>
  <c r="N26" i="22" s="1"/>
  <c r="I3" i="48"/>
  <c r="F23" i="48" s="1"/>
  <c r="N17" i="22" s="1"/>
  <c r="I2" i="48"/>
  <c r="F2" i="48" s="1"/>
  <c r="N2" i="22" s="1"/>
  <c r="I5" i="48"/>
  <c r="F55" i="48" s="1"/>
  <c r="N49" i="22" s="1"/>
  <c r="U17" i="25"/>
  <c r="U16" i="25"/>
  <c r="B13" i="24"/>
  <c r="B20" i="24"/>
  <c r="B77" i="24"/>
  <c r="B85" i="24"/>
  <c r="B135" i="24"/>
  <c r="B12" i="24"/>
  <c r="B22" i="24"/>
  <c r="B117" i="24"/>
  <c r="B8" i="24"/>
  <c r="B148" i="24"/>
  <c r="B155" i="24"/>
  <c r="B163" i="24"/>
  <c r="B171" i="24"/>
  <c r="B32" i="24"/>
  <c r="B36" i="24"/>
  <c r="B46" i="24"/>
  <c r="B56" i="24"/>
  <c r="B63" i="24"/>
  <c r="B164" i="24"/>
  <c r="B70" i="24"/>
  <c r="B80" i="24"/>
  <c r="B94" i="24"/>
  <c r="B107" i="24"/>
  <c r="B138" i="24"/>
  <c r="B151" i="24"/>
  <c r="B26" i="24"/>
  <c r="B30" i="24"/>
  <c r="B40" i="24"/>
  <c r="B50" i="24"/>
  <c r="B58" i="24"/>
  <c r="B158" i="24"/>
  <c r="B172" i="24"/>
  <c r="B78" i="24"/>
  <c r="B88" i="24"/>
  <c r="B115" i="24"/>
  <c r="B128" i="24"/>
  <c r="B10" i="24"/>
  <c r="B24" i="24"/>
  <c r="B34" i="24"/>
  <c r="B44" i="24"/>
  <c r="B48" i="24"/>
  <c r="B57" i="24"/>
  <c r="B156" i="24"/>
  <c r="B166" i="24"/>
  <c r="B96" i="24"/>
  <c r="B122" i="24"/>
  <c r="B72" i="24"/>
  <c r="B109" i="24"/>
  <c r="B4" i="24"/>
  <c r="B28" i="24"/>
  <c r="B38" i="24"/>
  <c r="B42" i="24"/>
  <c r="B65" i="24"/>
  <c r="B174" i="24"/>
  <c r="A6" i="5"/>
  <c r="A5" i="24"/>
  <c r="A30" i="5"/>
  <c r="A29" i="24"/>
  <c r="A113" i="24"/>
  <c r="A77" i="24"/>
  <c r="A4" i="5"/>
  <c r="A2" i="24"/>
  <c r="A27" i="5"/>
  <c r="A26" i="24"/>
  <c r="A58" i="5"/>
  <c r="A56" i="24"/>
  <c r="A109" i="5"/>
  <c r="A107" i="24"/>
  <c r="A145" i="5"/>
  <c r="A143" i="24"/>
  <c r="A162" i="5"/>
  <c r="A161" i="24"/>
  <c r="A71" i="24"/>
  <c r="A35" i="24"/>
  <c r="A167" i="24"/>
  <c r="A101" i="24"/>
  <c r="A95" i="24"/>
  <c r="A89" i="24"/>
  <c r="A137" i="24"/>
  <c r="A83" i="24"/>
  <c r="A106" i="5"/>
  <c r="A104" i="24"/>
  <c r="A112" i="5"/>
  <c r="A110" i="24"/>
  <c r="A118" i="5"/>
  <c r="A116" i="24"/>
  <c r="A154" i="5"/>
  <c r="A152" i="24"/>
  <c r="A153" i="5"/>
  <c r="A165" i="5"/>
  <c r="A164" i="24"/>
  <c r="A125" i="24"/>
  <c r="A131" i="24"/>
  <c r="A119" i="24"/>
  <c r="A169" i="5"/>
  <c r="A148" i="5"/>
  <c r="A15" i="5"/>
  <c r="A39" i="5"/>
  <c r="A57" i="5"/>
  <c r="A28" i="5"/>
  <c r="A157" i="5"/>
  <c r="A22" i="2"/>
  <c r="J66" i="2"/>
  <c r="F2" i="54"/>
  <c r="E5" i="54"/>
  <c r="F5" i="54"/>
  <c r="A59" i="24"/>
  <c r="A61" i="5"/>
  <c r="A43" i="5"/>
  <c r="A41" i="24"/>
  <c r="A42" i="5"/>
  <c r="A20" i="24"/>
  <c r="A21" i="5"/>
  <c r="A34" i="5"/>
  <c r="A32" i="24"/>
  <c r="A46" i="5"/>
  <c r="A122" i="24"/>
  <c r="A140" i="24"/>
  <c r="A16" i="5"/>
  <c r="A63" i="5"/>
  <c r="A128" i="24"/>
  <c r="A134" i="24"/>
  <c r="A51" i="5"/>
  <c r="A166" i="5"/>
  <c r="A62" i="24"/>
  <c r="A68" i="24"/>
  <c r="A74" i="24"/>
  <c r="A80" i="24"/>
  <c r="A86" i="24"/>
  <c r="A92" i="24"/>
  <c r="A98" i="24"/>
  <c r="A3" i="5"/>
  <c r="A147" i="5"/>
  <c r="A156" i="5"/>
  <c r="A173" i="24"/>
  <c r="A19" i="5"/>
  <c r="A8" i="24"/>
  <c r="A17" i="24"/>
  <c r="A44" i="24"/>
  <c r="C2" i="54"/>
  <c r="F6" i="54"/>
  <c r="O52" i="22"/>
  <c r="A50" i="2"/>
  <c r="A42" i="2"/>
  <c r="A58" i="2"/>
  <c r="A52" i="2"/>
  <c r="A54" i="2"/>
  <c r="A46" i="2"/>
  <c r="A3" i="2"/>
  <c r="A56" i="2"/>
  <c r="A48" i="2"/>
  <c r="A10" i="2"/>
  <c r="A19" i="2"/>
  <c r="A26" i="2"/>
  <c r="A35" i="2"/>
  <c r="A41" i="2"/>
  <c r="O5" i="22"/>
  <c r="O36" i="22"/>
  <c r="A9" i="2"/>
  <c r="A16" i="2"/>
  <c r="I59" i="22"/>
  <c r="A25" i="2"/>
  <c r="A32" i="2"/>
  <c r="A43" i="2"/>
  <c r="I20" i="22"/>
  <c r="A5" i="2"/>
  <c r="A12" i="2"/>
  <c r="A21" i="2"/>
  <c r="I39" i="22"/>
  <c r="A28" i="2"/>
  <c r="A37" i="2"/>
  <c r="I47" i="22"/>
  <c r="A53" i="2"/>
  <c r="A55" i="2"/>
  <c r="A57" i="2"/>
  <c r="A59" i="2"/>
  <c r="A38" i="2"/>
  <c r="I55" i="22"/>
  <c r="I44" i="22"/>
  <c r="L4" i="54" s="1"/>
  <c r="A11" i="2"/>
  <c r="A18" i="2"/>
  <c r="I40" i="22"/>
  <c r="A27" i="2"/>
  <c r="A34" i="2"/>
  <c r="O9" i="22"/>
  <c r="A15" i="2"/>
  <c r="I17" i="22"/>
  <c r="A31" i="2"/>
  <c r="I42" i="22"/>
  <c r="A45" i="2"/>
  <c r="A47" i="2"/>
  <c r="P66" i="22"/>
  <c r="A8" i="2"/>
  <c r="A17" i="2"/>
  <c r="A24" i="2"/>
  <c r="A33" i="2"/>
  <c r="A40" i="2"/>
  <c r="A7" i="2"/>
  <c r="I7" i="22"/>
  <c r="A14" i="2"/>
  <c r="A23" i="2"/>
  <c r="I30" i="22"/>
  <c r="A30" i="2"/>
  <c r="A39" i="2"/>
  <c r="I5" i="22"/>
  <c r="A4" i="2"/>
  <c r="A13" i="2"/>
  <c r="A20" i="2"/>
  <c r="A29" i="2"/>
  <c r="A36" i="2"/>
  <c r="A44" i="2"/>
  <c r="H28" i="34"/>
  <c r="G27" i="34"/>
  <c r="F26" i="34"/>
  <c r="H24" i="34"/>
  <c r="F23" i="34"/>
  <c r="F20" i="34"/>
  <c r="G28" i="34"/>
  <c r="F27" i="34"/>
  <c r="G24" i="34"/>
  <c r="H21" i="34"/>
  <c r="AH20" i="34"/>
  <c r="G18" i="34"/>
  <c r="AB16" i="34"/>
  <c r="AK14" i="34"/>
  <c r="H13" i="34"/>
  <c r="AH12" i="34"/>
  <c r="G12" i="34"/>
  <c r="F11" i="34"/>
  <c r="AE10" i="34"/>
  <c r="AK8" i="34"/>
  <c r="F22" i="34"/>
  <c r="F19" i="34"/>
  <c r="G15" i="34"/>
  <c r="AE14" i="34"/>
  <c r="F12" i="34"/>
  <c r="AH9" i="34"/>
  <c r="AK7" i="34"/>
  <c r="H6" i="34"/>
  <c r="AH5" i="34"/>
  <c r="G5" i="34"/>
  <c r="H27" i="34"/>
  <c r="H25" i="34"/>
  <c r="AE20" i="34"/>
  <c r="AB18" i="34"/>
  <c r="AH17" i="34"/>
  <c r="AH15" i="34"/>
  <c r="F15" i="34"/>
  <c r="AB11" i="34"/>
  <c r="AK10" i="34"/>
  <c r="H10" i="34"/>
  <c r="H7" i="34"/>
  <c r="AH6" i="34"/>
  <c r="G6" i="34"/>
  <c r="F5" i="34"/>
  <c r="G25" i="34"/>
  <c r="H23" i="34"/>
  <c r="G21" i="34"/>
  <c r="AH19" i="34"/>
  <c r="H18" i="34"/>
  <c r="AE17" i="34"/>
  <c r="H16" i="34"/>
  <c r="AB14" i="34"/>
  <c r="AK13" i="34"/>
  <c r="G13" i="34"/>
  <c r="AE12" i="34"/>
  <c r="G10" i="34"/>
  <c r="AE9" i="34"/>
  <c r="H8" i="34"/>
  <c r="AH7" i="34"/>
  <c r="G7" i="34"/>
  <c r="AE5" i="34"/>
  <c r="F25" i="34"/>
  <c r="G23" i="34"/>
  <c r="F21" i="34"/>
  <c r="AB20" i="34"/>
  <c r="F18" i="34"/>
  <c r="G16" i="34"/>
  <c r="AE15" i="34"/>
  <c r="AH13" i="34"/>
  <c r="F13" i="34"/>
  <c r="AH10" i="34"/>
  <c r="F10" i="34"/>
  <c r="AB9" i="34"/>
  <c r="AH8" i="34"/>
  <c r="G8" i="34"/>
  <c r="F7" i="34"/>
  <c r="AE6" i="34"/>
  <c r="F28" i="34"/>
  <c r="H20" i="34"/>
  <c r="AE19" i="34"/>
  <c r="AB17" i="34"/>
  <c r="AH16" i="34"/>
  <c r="F16" i="34"/>
  <c r="H14" i="34"/>
  <c r="AB12" i="34"/>
  <c r="AK11" i="34"/>
  <c r="H11" i="34"/>
  <c r="H9" i="34"/>
  <c r="F8" i="34"/>
  <c r="AE7" i="34"/>
  <c r="AB5" i="34"/>
  <c r="G20" i="34"/>
  <c r="AB19" i="34"/>
  <c r="AH18" i="34"/>
  <c r="H17" i="34"/>
  <c r="AB15" i="34"/>
  <c r="G14" i="34"/>
  <c r="AE13" i="34"/>
  <c r="G11" i="34"/>
  <c r="G9" i="34"/>
  <c r="AE8" i="34"/>
  <c r="AB6" i="34"/>
  <c r="H26" i="34"/>
  <c r="F24" i="34"/>
  <c r="H22" i="34"/>
  <c r="H19" i="34"/>
  <c r="G17" i="34"/>
  <c r="AE16" i="34"/>
  <c r="AH14" i="34"/>
  <c r="F14" i="34"/>
  <c r="AH11" i="34"/>
  <c r="AB10" i="34"/>
  <c r="AK9" i="34"/>
  <c r="F9" i="34"/>
  <c r="AB7" i="34"/>
  <c r="AK5" i="34"/>
  <c r="G22" i="34"/>
  <c r="H15" i="34"/>
  <c r="H5" i="34"/>
  <c r="G19" i="34"/>
  <c r="AE18" i="34"/>
  <c r="AB13" i="34"/>
  <c r="AB8" i="34"/>
  <c r="AK12" i="34"/>
  <c r="G26" i="34"/>
  <c r="F17" i="34"/>
  <c r="H12" i="34"/>
  <c r="AE11" i="34"/>
  <c r="AK6" i="34"/>
  <c r="I12" i="22"/>
  <c r="A51" i="2"/>
  <c r="A49" i="2"/>
  <c r="B2" i="54"/>
  <c r="L6" i="54"/>
  <c r="W40" i="7"/>
  <c r="U40" i="7" s="1"/>
  <c r="C2" i="1"/>
  <c r="I14" i="22"/>
  <c r="W32" i="7"/>
  <c r="U32" i="7" s="1"/>
  <c r="W47" i="7"/>
  <c r="U47" i="7" s="1"/>
  <c r="B2" i="24"/>
  <c r="W45" i="7"/>
  <c r="U45" i="7" s="1"/>
  <c r="A9" i="5"/>
  <c r="A13" i="5"/>
  <c r="A33" i="5"/>
  <c r="A36" i="5"/>
  <c r="A40" i="5"/>
  <c r="A52" i="5"/>
  <c r="A12" i="5"/>
  <c r="A22" i="5"/>
  <c r="A60" i="5"/>
  <c r="A25" i="5"/>
  <c r="A48" i="5"/>
  <c r="A54" i="5"/>
  <c r="A55" i="5"/>
  <c r="A24" i="5"/>
  <c r="A7" i="5"/>
  <c r="A31" i="5"/>
  <c r="A49" i="5"/>
  <c r="A67" i="5"/>
  <c r="A66" i="5"/>
  <c r="A142" i="5"/>
  <c r="A159" i="5"/>
  <c r="A69" i="5"/>
  <c r="A72" i="5"/>
  <c r="A75" i="5"/>
  <c r="A78" i="5"/>
  <c r="A81" i="5"/>
  <c r="A84" i="5"/>
  <c r="A87" i="5"/>
  <c r="A90" i="5"/>
  <c r="A93" i="5"/>
  <c r="A96" i="5"/>
  <c r="A99" i="5"/>
  <c r="A102" i="5"/>
  <c r="A105" i="5"/>
  <c r="A108" i="5"/>
  <c r="A111" i="5"/>
  <c r="A114" i="5"/>
  <c r="A117" i="5"/>
  <c r="A120" i="5"/>
  <c r="A123" i="5"/>
  <c r="A126" i="5"/>
  <c r="A129" i="5"/>
  <c r="A132" i="5"/>
  <c r="A135" i="5"/>
  <c r="A138" i="5"/>
  <c r="A150" i="5"/>
  <c r="A163" i="5"/>
  <c r="A144" i="5"/>
  <c r="A151" i="5"/>
  <c r="A160" i="5"/>
  <c r="A171" i="5"/>
  <c r="A175" i="5"/>
  <c r="A172" i="5"/>
  <c r="AB9" i="13"/>
  <c r="AB5" i="13"/>
  <c r="AB7" i="13"/>
  <c r="AB6" i="13"/>
  <c r="AB4" i="13"/>
  <c r="M10" i="6"/>
  <c r="O10" i="6"/>
  <c r="AB11" i="13"/>
  <c r="K17" i="6"/>
  <c r="P17" i="6"/>
  <c r="P24" i="6"/>
  <c r="K24" i="6"/>
  <c r="L27" i="6" s="1"/>
  <c r="K10" i="6"/>
  <c r="P10" i="6"/>
  <c r="N17" i="6"/>
  <c r="Q17" i="6" s="1"/>
  <c r="L17" i="6"/>
  <c r="O17" i="6" s="1"/>
  <c r="M17" i="6"/>
  <c r="Q24" i="6"/>
  <c r="O24" i="6"/>
  <c r="U17" i="7" l="1"/>
  <c r="E17" i="3" s="1"/>
  <c r="U16" i="7"/>
  <c r="E16" i="3" s="1"/>
  <c r="U18" i="7"/>
  <c r="E18" i="3" s="1"/>
  <c r="U8" i="7"/>
  <c r="E8" i="3" s="1"/>
  <c r="U22" i="7"/>
  <c r="E22" i="3" s="1"/>
  <c r="E20" i="3"/>
  <c r="U33" i="7"/>
  <c r="E33" i="3" s="1"/>
  <c r="E2" i="3"/>
  <c r="L2" i="3" s="1"/>
  <c r="G2" i="3" s="1"/>
  <c r="E47" i="3"/>
  <c r="E23" i="3"/>
  <c r="U10" i="7"/>
  <c r="E36" i="3"/>
  <c r="U41" i="7"/>
  <c r="E41" i="3" s="1"/>
  <c r="C4" i="54"/>
  <c r="AH2" i="13"/>
  <c r="AL16" i="34"/>
  <c r="AL17" i="34"/>
  <c r="AL15" i="34"/>
  <c r="AL18" i="34"/>
  <c r="S8" i="34"/>
  <c r="O8" i="34"/>
  <c r="R8" i="34"/>
  <c r="N8" i="34"/>
  <c r="P8" i="34"/>
  <c r="Q8" i="34"/>
  <c r="N23" i="22"/>
  <c r="N36" i="22"/>
  <c r="B6" i="54"/>
  <c r="M3" i="55"/>
  <c r="O3" i="55" s="1"/>
  <c r="E22" i="34"/>
  <c r="AL5" i="34"/>
  <c r="E5" i="34"/>
  <c r="O16" i="34"/>
  <c r="R16" i="34"/>
  <c r="N16" i="34"/>
  <c r="Q16" i="34"/>
  <c r="P16" i="34"/>
  <c r="S16" i="34"/>
  <c r="AC20" i="34"/>
  <c r="AC17" i="34"/>
  <c r="P30" i="5"/>
  <c r="X30" i="5" s="1"/>
  <c r="AI14" i="34"/>
  <c r="E11" i="34"/>
  <c r="AC19" i="34"/>
  <c r="D18" i="34"/>
  <c r="D20" i="34"/>
  <c r="B4" i="54"/>
  <c r="N55" i="22"/>
  <c r="AI8" i="34"/>
  <c r="AI6" i="34"/>
  <c r="E6" i="34"/>
  <c r="L5" i="54"/>
  <c r="E23" i="34"/>
  <c r="D17" i="34"/>
  <c r="D23" i="34"/>
  <c r="AI20" i="34"/>
  <c r="AF17" i="34"/>
  <c r="E12" i="34"/>
  <c r="AI12" i="34"/>
  <c r="AH9" i="13"/>
  <c r="AC11" i="34"/>
  <c r="AC18" i="34"/>
  <c r="AI7" i="34"/>
  <c r="D19" i="34"/>
  <c r="AF12" i="34"/>
  <c r="E10" i="34"/>
  <c r="AL14" i="34"/>
  <c r="F14" i="3"/>
  <c r="E19" i="34"/>
  <c r="AI15" i="34"/>
  <c r="E16" i="34"/>
  <c r="AF18" i="34"/>
  <c r="AC13" i="34"/>
  <c r="F8" i="3"/>
  <c r="E21" i="34"/>
  <c r="E14" i="34"/>
  <c r="D14" i="23"/>
  <c r="F9" i="3"/>
  <c r="AI13" i="34"/>
  <c r="E17" i="34"/>
  <c r="S40" i="34"/>
  <c r="AI18" i="34"/>
  <c r="E18" i="34"/>
  <c r="AI11" i="34"/>
  <c r="AI19" i="34"/>
  <c r="P8" i="5"/>
  <c r="W8" i="5" s="1"/>
  <c r="P33" i="5"/>
  <c r="X33" i="5" s="1"/>
  <c r="D30" i="23"/>
  <c r="AF15" i="34"/>
  <c r="E13" i="34"/>
  <c r="R11" i="34"/>
  <c r="S11" i="34"/>
  <c r="O11" i="34"/>
  <c r="N11" i="34"/>
  <c r="Q11" i="34"/>
  <c r="P11" i="34"/>
  <c r="S12" i="34"/>
  <c r="P12" i="34"/>
  <c r="R12" i="34"/>
  <c r="N12" i="34"/>
  <c r="Q12" i="34"/>
  <c r="O12" i="34"/>
  <c r="E8" i="34"/>
  <c r="D22" i="34"/>
  <c r="E27" i="34"/>
  <c r="AF14" i="34"/>
  <c r="E20" i="34"/>
  <c r="E26" i="34"/>
  <c r="P7" i="5"/>
  <c r="V7" i="5" s="1"/>
  <c r="P19" i="5"/>
  <c r="V19" i="5" s="1"/>
  <c r="F47" i="3"/>
  <c r="P47" i="5"/>
  <c r="U47" i="5" s="1"/>
  <c r="D46" i="23"/>
  <c r="C47" i="23"/>
  <c r="F19" i="3"/>
  <c r="E28" i="34"/>
  <c r="AL6" i="34"/>
  <c r="AC8" i="34"/>
  <c r="E7" i="34"/>
  <c r="AI17" i="34"/>
  <c r="AC15" i="34"/>
  <c r="AL7" i="34"/>
  <c r="E24" i="34"/>
  <c r="AI10" i="34"/>
  <c r="AC16" i="34"/>
  <c r="D25" i="34"/>
  <c r="AF11" i="34"/>
  <c r="E9" i="34"/>
  <c r="AC14" i="34"/>
  <c r="AL12" i="34"/>
  <c r="D21" i="34"/>
  <c r="AI9" i="34"/>
  <c r="AF19" i="34"/>
  <c r="P12" i="5"/>
  <c r="W12" i="5" s="1"/>
  <c r="F7" i="3"/>
  <c r="P6" i="5"/>
  <c r="X6" i="5" s="1"/>
  <c r="F12" i="3"/>
  <c r="AF6" i="34"/>
  <c r="D8" i="34"/>
  <c r="D12" i="34"/>
  <c r="N15" i="34"/>
  <c r="D9" i="34"/>
  <c r="E15" i="34"/>
  <c r="AI5" i="34"/>
  <c r="D27" i="34"/>
  <c r="AC6" i="34"/>
  <c r="D10" i="34"/>
  <c r="E25" i="34"/>
  <c r="AC10" i="34"/>
  <c r="N14" i="34"/>
  <c r="N5" i="34"/>
  <c r="N10" i="34"/>
  <c r="B5" i="54"/>
  <c r="L2" i="54"/>
  <c r="AF13" i="34"/>
  <c r="P13" i="34"/>
  <c r="S13" i="34"/>
  <c r="R13" i="34"/>
  <c r="O13" i="34"/>
  <c r="R10" i="34"/>
  <c r="P10" i="34"/>
  <c r="S10" i="34"/>
  <c r="O10" i="34"/>
  <c r="N9" i="34"/>
  <c r="R7" i="34"/>
  <c r="S7" i="34"/>
  <c r="P7" i="34"/>
  <c r="O7" i="34"/>
  <c r="R9" i="34"/>
  <c r="O9" i="34"/>
  <c r="S9" i="34"/>
  <c r="P9" i="34"/>
  <c r="N7" i="34"/>
  <c r="N13" i="34"/>
  <c r="R5" i="34"/>
  <c r="P5" i="34"/>
  <c r="O5" i="34"/>
  <c r="S5" i="34"/>
  <c r="R15" i="34"/>
  <c r="S15" i="34"/>
  <c r="P15" i="34"/>
  <c r="O15" i="34"/>
  <c r="O14" i="34"/>
  <c r="S14" i="34"/>
  <c r="R14" i="34"/>
  <c r="P14" i="34"/>
  <c r="S6" i="34"/>
  <c r="O6" i="34"/>
  <c r="R6" i="34"/>
  <c r="P6" i="34"/>
  <c r="N6" i="34"/>
  <c r="AC9" i="34"/>
  <c r="AL13" i="34"/>
  <c r="F46" i="3"/>
  <c r="C3" i="23"/>
  <c r="E3" i="3"/>
  <c r="M3" i="3" s="1"/>
  <c r="H3" i="3" s="1"/>
  <c r="P9" i="5"/>
  <c r="W9" i="5" s="1"/>
  <c r="P39" i="5"/>
  <c r="X39" i="5" s="1"/>
  <c r="D33" i="23"/>
  <c r="D39" i="23"/>
  <c r="E45" i="3"/>
  <c r="C45" i="23"/>
  <c r="E46" i="3"/>
  <c r="C46" i="23"/>
  <c r="F27" i="3"/>
  <c r="AF7" i="34"/>
  <c r="AL8" i="34"/>
  <c r="D5" i="34"/>
  <c r="AI16" i="34"/>
  <c r="AC5" i="34"/>
  <c r="AC12" i="34"/>
  <c r="D13" i="34"/>
  <c r="AL11" i="34"/>
  <c r="AL9" i="34"/>
  <c r="AF16" i="34"/>
  <c r="AL10" i="34"/>
  <c r="D26" i="34"/>
  <c r="D28" i="34"/>
  <c r="P40" i="5"/>
  <c r="U40" i="5" s="1"/>
  <c r="P35" i="5"/>
  <c r="V35" i="5" s="1"/>
  <c r="C36" i="23"/>
  <c r="D29" i="23"/>
  <c r="F15" i="3"/>
  <c r="P29" i="5"/>
  <c r="X29" i="5" s="1"/>
  <c r="P13" i="5"/>
  <c r="W13" i="5" s="1"/>
  <c r="F13" i="3"/>
  <c r="D35" i="23"/>
  <c r="P2" i="5"/>
  <c r="X2" i="5" s="1"/>
  <c r="F2" i="3"/>
  <c r="E44" i="3"/>
  <c r="C44" i="23"/>
  <c r="E43" i="3"/>
  <c r="C43" i="23"/>
  <c r="P11" i="5"/>
  <c r="X11" i="5" s="1"/>
  <c r="P18" i="5"/>
  <c r="W18" i="5" s="1"/>
  <c r="P3" i="5"/>
  <c r="W3" i="5" s="1"/>
  <c r="F18" i="3"/>
  <c r="F3" i="3"/>
  <c r="D34" i="23"/>
  <c r="P34" i="5"/>
  <c r="V34" i="5" s="1"/>
  <c r="P27" i="5"/>
  <c r="X27" i="5" s="1"/>
  <c r="C2" i="23"/>
  <c r="C23" i="23"/>
  <c r="D40" i="23"/>
  <c r="F44" i="3"/>
  <c r="D44" i="23"/>
  <c r="F6" i="3"/>
  <c r="AC7" i="34"/>
  <c r="AF5" i="34"/>
  <c r="D7" i="34"/>
  <c r="D16" i="34"/>
  <c r="AF20" i="34"/>
  <c r="D11" i="34"/>
  <c r="AF10" i="34"/>
  <c r="AF9" i="34"/>
  <c r="D15" i="34"/>
  <c r="D6" i="34"/>
  <c r="AF8" i="34"/>
  <c r="E31" i="3"/>
  <c r="C31" i="23"/>
  <c r="P10" i="5"/>
  <c r="X10" i="5" s="1"/>
  <c r="F10" i="3"/>
  <c r="C20" i="23"/>
  <c r="C8" i="23"/>
  <c r="P4" i="5"/>
  <c r="X4" i="5" s="1"/>
  <c r="F4" i="3"/>
  <c r="E39" i="3"/>
  <c r="C39" i="23"/>
  <c r="E11" i="3"/>
  <c r="C11" i="23"/>
  <c r="E7" i="3"/>
  <c r="S7" i="3" s="1"/>
  <c r="I99" i="3" s="1"/>
  <c r="C7" i="23"/>
  <c r="E27" i="3"/>
  <c r="C27" i="23"/>
  <c r="E32" i="3"/>
  <c r="C32" i="23"/>
  <c r="E25" i="3"/>
  <c r="C25" i="23"/>
  <c r="E37" i="3"/>
  <c r="C37" i="23"/>
  <c r="E30" i="3"/>
  <c r="C30" i="23"/>
  <c r="V45" i="5"/>
  <c r="F11" i="3"/>
  <c r="F17" i="3"/>
  <c r="E28" i="3"/>
  <c r="C28" i="23"/>
  <c r="F24" i="3"/>
  <c r="P24" i="5"/>
  <c r="X24" i="5" s="1"/>
  <c r="D24" i="23"/>
  <c r="E38" i="3"/>
  <c r="C38" i="23"/>
  <c r="F20" i="3"/>
  <c r="D20" i="23"/>
  <c r="P20" i="5"/>
  <c r="X20" i="5" s="1"/>
  <c r="E26" i="3"/>
  <c r="C26" i="23"/>
  <c r="E29" i="3"/>
  <c r="C29" i="23"/>
  <c r="P16" i="5"/>
  <c r="V16" i="5" s="1"/>
  <c r="F31" i="3"/>
  <c r="P31" i="5"/>
  <c r="U31" i="5" s="1"/>
  <c r="D31" i="23"/>
  <c r="F28" i="3"/>
  <c r="P28" i="5"/>
  <c r="X28" i="5" s="1"/>
  <c r="D28" i="23"/>
  <c r="W43" i="5"/>
  <c r="P5" i="5"/>
  <c r="U5" i="5" s="1"/>
  <c r="F16" i="3"/>
  <c r="F22" i="3"/>
  <c r="P22" i="5"/>
  <c r="U22" i="5" s="1"/>
  <c r="D22" i="23"/>
  <c r="E34" i="3"/>
  <c r="C34" i="23"/>
  <c r="F26" i="3"/>
  <c r="P26" i="5"/>
  <c r="U26" i="5" s="1"/>
  <c r="D26" i="23"/>
  <c r="F5" i="3"/>
  <c r="P15" i="5"/>
  <c r="V15" i="5" s="1"/>
  <c r="F21" i="3"/>
  <c r="D21" i="23"/>
  <c r="P21" i="5"/>
  <c r="V21" i="5" s="1"/>
  <c r="F32" i="3"/>
  <c r="P32" i="5"/>
  <c r="U32" i="5" s="1"/>
  <c r="D32" i="23"/>
  <c r="E24" i="3"/>
  <c r="C24" i="23"/>
  <c r="F41" i="3"/>
  <c r="D41" i="23"/>
  <c r="P41" i="5"/>
  <c r="U41" i="5" s="1"/>
  <c r="U43" i="5"/>
  <c r="P37" i="5"/>
  <c r="X37" i="5" s="1"/>
  <c r="E42" i="3"/>
  <c r="C42" i="23"/>
  <c r="E40" i="3"/>
  <c r="C40" i="23"/>
  <c r="F38" i="3"/>
  <c r="P38" i="5"/>
  <c r="V38" i="5" s="1"/>
  <c r="D38" i="23"/>
  <c r="F23" i="3"/>
  <c r="P23" i="5"/>
  <c r="W23" i="5" s="1"/>
  <c r="P17" i="5"/>
  <c r="W17" i="5" s="1"/>
  <c r="F25" i="3"/>
  <c r="D25" i="23"/>
  <c r="P25" i="5"/>
  <c r="F36" i="3"/>
  <c r="P36" i="5"/>
  <c r="W36" i="5" s="1"/>
  <c r="D36" i="23"/>
  <c r="E35" i="3"/>
  <c r="C35" i="23"/>
  <c r="F42" i="3"/>
  <c r="P42" i="5"/>
  <c r="W42" i="5" s="1"/>
  <c r="D42" i="23"/>
  <c r="E21" i="3"/>
  <c r="C21" i="23"/>
  <c r="F50" i="48"/>
  <c r="F37" i="48"/>
  <c r="F20" i="48"/>
  <c r="B17" i="10"/>
  <c r="F34" i="48"/>
  <c r="N27" i="22" s="1"/>
  <c r="B16" i="10"/>
  <c r="F4" i="48"/>
  <c r="F53" i="48"/>
  <c r="F35" i="48"/>
  <c r="N35" i="22" s="1"/>
  <c r="F7" i="48"/>
  <c r="F38" i="48"/>
  <c r="F52" i="48"/>
  <c r="N37" i="22" s="1"/>
  <c r="F19" i="48"/>
  <c r="F54" i="48"/>
  <c r="N56" i="22" s="1"/>
  <c r="F51" i="48"/>
  <c r="F39" i="48"/>
  <c r="B18" i="10"/>
  <c r="F5" i="48"/>
  <c r="F3" i="48"/>
  <c r="N3" i="22" s="1"/>
  <c r="F6" i="48"/>
  <c r="B15" i="10"/>
  <c r="B20" i="10" s="1"/>
  <c r="F21" i="48"/>
  <c r="N21" i="22" s="1"/>
  <c r="F22" i="48"/>
  <c r="N22" i="22" s="1"/>
  <c r="F18" i="48"/>
  <c r="N7" i="22" s="1"/>
  <c r="D24" i="34"/>
  <c r="D14" i="34"/>
  <c r="O66" i="22"/>
  <c r="U8" i="25"/>
  <c r="AH6" i="13"/>
  <c r="U12" i="25"/>
  <c r="AH5" i="13"/>
  <c r="U10" i="25"/>
  <c r="E9" i="3"/>
  <c r="C9" i="23"/>
  <c r="U44" i="5"/>
  <c r="V44" i="5"/>
  <c r="U46" i="5"/>
  <c r="X45" i="5"/>
  <c r="E13" i="3"/>
  <c r="C13" i="23"/>
  <c r="AH3" i="13"/>
  <c r="U6" i="25"/>
  <c r="Q2" i="3"/>
  <c r="I2" i="3" s="1"/>
  <c r="E5" i="3"/>
  <c r="C5" i="23"/>
  <c r="W46" i="5"/>
  <c r="W45" i="5"/>
  <c r="F43" i="3"/>
  <c r="D43" i="23"/>
  <c r="E15" i="3"/>
  <c r="C15" i="23"/>
  <c r="L20" i="6"/>
  <c r="AH4" i="13"/>
  <c r="U7" i="25"/>
  <c r="X46" i="5"/>
  <c r="X14" i="5"/>
  <c r="W14" i="5"/>
  <c r="V14" i="5"/>
  <c r="U14" i="5"/>
  <c r="F45" i="3"/>
  <c r="D45" i="23"/>
  <c r="E14" i="3"/>
  <c r="C14" i="23"/>
  <c r="L3" i="54"/>
  <c r="B3" i="54"/>
  <c r="X43" i="5"/>
  <c r="U45" i="5"/>
  <c r="E6" i="3"/>
  <c r="C6" i="23"/>
  <c r="U5" i="25"/>
  <c r="Z3" i="25"/>
  <c r="F37" i="3"/>
  <c r="D37" i="23"/>
  <c r="E12" i="3"/>
  <c r="C12" i="23"/>
  <c r="V46" i="5"/>
  <c r="N10" i="6"/>
  <c r="Q10" i="6" s="1"/>
  <c r="W44" i="5"/>
  <c r="V43" i="5"/>
  <c r="E4" i="3"/>
  <c r="C4" i="23"/>
  <c r="E19" i="3"/>
  <c r="C19" i="23"/>
  <c r="X44" i="5"/>
  <c r="P2" i="3" l="1"/>
  <c r="H94" i="3" s="1"/>
  <c r="M2" i="3"/>
  <c r="H2" i="3" s="1"/>
  <c r="O2" i="3"/>
  <c r="H48" i="3" s="1"/>
  <c r="C33" i="23"/>
  <c r="N2" i="3"/>
  <c r="G94" i="3" s="1"/>
  <c r="C22" i="23"/>
  <c r="R2" i="3"/>
  <c r="I48" i="3" s="1"/>
  <c r="S2" i="3"/>
  <c r="I94" i="3" s="1"/>
  <c r="Q23" i="3"/>
  <c r="I23" i="3" s="1"/>
  <c r="C17" i="23"/>
  <c r="C16" i="23"/>
  <c r="S23" i="3"/>
  <c r="I115" i="3" s="1"/>
  <c r="L17" i="3"/>
  <c r="G63" i="3" s="1"/>
  <c r="L22" i="3"/>
  <c r="N22" i="3"/>
  <c r="G114" i="3" s="1"/>
  <c r="R114" i="5" s="1"/>
  <c r="M22" i="3"/>
  <c r="H22" i="3" s="1"/>
  <c r="R8" i="3"/>
  <c r="I54" i="3" s="1"/>
  <c r="M8" i="3"/>
  <c r="H8" i="3" s="1"/>
  <c r="L8" i="3"/>
  <c r="G54" i="3" s="1"/>
  <c r="R54" i="5" s="1"/>
  <c r="S8" i="3"/>
  <c r="I100" i="3" s="1"/>
  <c r="Q8" i="3"/>
  <c r="I8" i="3" s="1"/>
  <c r="P8" i="3"/>
  <c r="H100" i="3" s="1"/>
  <c r="N8" i="3"/>
  <c r="G100" i="3" s="1"/>
  <c r="O8" i="3"/>
  <c r="H54" i="3" s="1"/>
  <c r="S18" i="3"/>
  <c r="I110" i="3" s="1"/>
  <c r="N18" i="3"/>
  <c r="G110" i="3" s="1"/>
  <c r="R110" i="5" s="1"/>
  <c r="P16" i="3"/>
  <c r="H108" i="3" s="1"/>
  <c r="M16" i="3"/>
  <c r="H16" i="3" s="1"/>
  <c r="L36" i="3"/>
  <c r="C18" i="23"/>
  <c r="N21" i="3"/>
  <c r="S30" i="3"/>
  <c r="S27" i="3"/>
  <c r="I119" i="3" s="1"/>
  <c r="C10" i="23"/>
  <c r="P23" i="3"/>
  <c r="H115" i="3" s="1"/>
  <c r="Q24" i="3"/>
  <c r="S43" i="3"/>
  <c r="I135" i="3" s="1"/>
  <c r="Q45" i="3"/>
  <c r="I45" i="3" s="1"/>
  <c r="L20" i="3"/>
  <c r="G20" i="3" s="1"/>
  <c r="R20" i="5" s="1"/>
  <c r="C41" i="23"/>
  <c r="M47" i="3"/>
  <c r="H47" i="3" s="1"/>
  <c r="S33" i="3"/>
  <c r="I125" i="3" s="1"/>
  <c r="M33" i="3"/>
  <c r="H33" i="3" s="1"/>
  <c r="R33" i="3"/>
  <c r="I79" i="3" s="1"/>
  <c r="N33" i="3"/>
  <c r="G125" i="3" s="1"/>
  <c r="R125" i="5" s="1"/>
  <c r="P33" i="3"/>
  <c r="H125" i="3" s="1"/>
  <c r="L33" i="3"/>
  <c r="Q33" i="3"/>
  <c r="I33" i="3" s="1"/>
  <c r="O33" i="3"/>
  <c r="H79" i="3" s="1"/>
  <c r="L41" i="3"/>
  <c r="G41" i="3" s="1"/>
  <c r="R41" i="5" s="1"/>
  <c r="M41" i="3"/>
  <c r="H41" i="3" s="1"/>
  <c r="R41" i="3"/>
  <c r="I87" i="3" s="1"/>
  <c r="N41" i="3"/>
  <c r="G133" i="3" s="1"/>
  <c r="R133" i="5" s="1"/>
  <c r="S41" i="3"/>
  <c r="I133" i="3" s="1"/>
  <c r="O41" i="3"/>
  <c r="H87" i="3" s="1"/>
  <c r="Q41" i="3"/>
  <c r="I41" i="3" s="1"/>
  <c r="P41" i="3"/>
  <c r="H133" i="3" s="1"/>
  <c r="M36" i="3"/>
  <c r="H36" i="3" s="1"/>
  <c r="Q16" i="3"/>
  <c r="I16" i="3" s="1"/>
  <c r="O18" i="3"/>
  <c r="H64" i="3" s="1"/>
  <c r="P36" i="3"/>
  <c r="H128" i="3" s="1"/>
  <c r="S47" i="3"/>
  <c r="I139" i="3" s="1"/>
  <c r="M17" i="3"/>
  <c r="H17" i="3" s="1"/>
  <c r="N36" i="3"/>
  <c r="G128" i="3" s="1"/>
  <c r="R128" i="5" s="1"/>
  <c r="R23" i="3"/>
  <c r="I69" i="3" s="1"/>
  <c r="R26" i="3"/>
  <c r="I72" i="3" s="1"/>
  <c r="P47" i="3"/>
  <c r="H139" i="3" s="1"/>
  <c r="S16" i="3"/>
  <c r="I108" i="3" s="1"/>
  <c r="Q18" i="3"/>
  <c r="I18" i="3" s="1"/>
  <c r="N23" i="3"/>
  <c r="G115" i="3" s="1"/>
  <c r="R115" i="5" s="1"/>
  <c r="R47" i="3"/>
  <c r="I93" i="3" s="1"/>
  <c r="N17" i="3"/>
  <c r="G109" i="3" s="1"/>
  <c r="R109" i="5" s="1"/>
  <c r="S36" i="3"/>
  <c r="I128" i="3" s="1"/>
  <c r="P20" i="3"/>
  <c r="H112" i="3" s="1"/>
  <c r="O37" i="3"/>
  <c r="H83" i="3" s="1"/>
  <c r="R31" i="3"/>
  <c r="I77" i="3" s="1"/>
  <c r="L44" i="3"/>
  <c r="G90" i="3" s="1"/>
  <c r="R90" i="5" s="1"/>
  <c r="S20" i="3"/>
  <c r="I112" i="3" s="1"/>
  <c r="N47" i="3"/>
  <c r="G139" i="3" s="1"/>
  <c r="R139" i="5" s="1"/>
  <c r="R16" i="3"/>
  <c r="I62" i="3" s="1"/>
  <c r="P18" i="3"/>
  <c r="H110" i="3" s="1"/>
  <c r="O20" i="3"/>
  <c r="H66" i="3" s="1"/>
  <c r="L47" i="3"/>
  <c r="G47" i="3" s="1"/>
  <c r="R47" i="5" s="1"/>
  <c r="Q20" i="3"/>
  <c r="I20" i="3" s="1"/>
  <c r="O17" i="3"/>
  <c r="H63" i="3" s="1"/>
  <c r="P22" i="3"/>
  <c r="H114" i="3" s="1"/>
  <c r="Q28" i="3"/>
  <c r="N20" i="3"/>
  <c r="G112" i="3" s="1"/>
  <c r="R112" i="5" s="1"/>
  <c r="L16" i="3"/>
  <c r="G16" i="3" s="1"/>
  <c r="R16" i="5" s="1"/>
  <c r="R18" i="3"/>
  <c r="I64" i="3" s="1"/>
  <c r="R22" i="3"/>
  <c r="I68" i="3" s="1"/>
  <c r="O23" i="3"/>
  <c r="H69" i="3" s="1"/>
  <c r="P17" i="3"/>
  <c r="H109" i="3" s="1"/>
  <c r="O36" i="3"/>
  <c r="H82" i="3" s="1"/>
  <c r="Q40" i="3"/>
  <c r="L23" i="3"/>
  <c r="G69" i="3" s="1"/>
  <c r="R69" i="5" s="1"/>
  <c r="M25" i="3"/>
  <c r="H25" i="3" s="1"/>
  <c r="O47" i="3"/>
  <c r="H93" i="3" s="1"/>
  <c r="Q47" i="3"/>
  <c r="I47" i="3" s="1"/>
  <c r="S35" i="3"/>
  <c r="Q36" i="3"/>
  <c r="I36" i="3" s="1"/>
  <c r="O11" i="3"/>
  <c r="H57" i="3" s="1"/>
  <c r="N16" i="3"/>
  <c r="G108" i="3" s="1"/>
  <c r="M23" i="3"/>
  <c r="H23" i="3" s="1"/>
  <c r="P42" i="3"/>
  <c r="H134" i="3" s="1"/>
  <c r="R20" i="3"/>
  <c r="I66" i="3" s="1"/>
  <c r="Q34" i="3"/>
  <c r="I34" i="3" s="1"/>
  <c r="P38" i="3"/>
  <c r="H130" i="3" s="1"/>
  <c r="Q32" i="3"/>
  <c r="S46" i="3"/>
  <c r="I138" i="3" s="1"/>
  <c r="E10" i="3"/>
  <c r="M20" i="3"/>
  <c r="H20" i="3" s="1"/>
  <c r="R17" i="3"/>
  <c r="I63" i="3" s="1"/>
  <c r="O22" i="3"/>
  <c r="H68" i="3" s="1"/>
  <c r="L18" i="3"/>
  <c r="G64" i="3" s="1"/>
  <c r="S22" i="3"/>
  <c r="I114" i="3" s="1"/>
  <c r="Q17" i="3"/>
  <c r="I17" i="3" s="1"/>
  <c r="R36" i="3"/>
  <c r="I82" i="3" s="1"/>
  <c r="O16" i="3"/>
  <c r="H62" i="3" s="1"/>
  <c r="M18" i="3"/>
  <c r="H18" i="3" s="1"/>
  <c r="Q22" i="3"/>
  <c r="I22" i="3" s="1"/>
  <c r="S17" i="3"/>
  <c r="I109" i="3" s="1"/>
  <c r="M29" i="3"/>
  <c r="H29" i="3" s="1"/>
  <c r="Q39" i="3"/>
  <c r="I39" i="3" s="1"/>
  <c r="N45" i="3"/>
  <c r="G137" i="3" s="1"/>
  <c r="R137" i="5" s="1"/>
  <c r="Z10" i="25"/>
  <c r="AN5" i="13"/>
  <c r="P3" i="3"/>
  <c r="H95" i="3" s="1"/>
  <c r="N18" i="22"/>
  <c r="N48" i="22"/>
  <c r="N50" i="22"/>
  <c r="R45" i="3"/>
  <c r="I91" i="3" s="1"/>
  <c r="U3" i="5"/>
  <c r="L3" i="3"/>
  <c r="G3" i="3" s="1"/>
  <c r="R3" i="5" s="1"/>
  <c r="S3" i="5" s="1"/>
  <c r="Q3" i="3"/>
  <c r="I3" i="3" s="1"/>
  <c r="L46" i="3"/>
  <c r="G46" i="3" s="1"/>
  <c r="R46" i="5" s="1"/>
  <c r="R3" i="3"/>
  <c r="I49" i="3" s="1"/>
  <c r="N3" i="3"/>
  <c r="G95" i="3" s="1"/>
  <c r="R95" i="5" s="1"/>
  <c r="O3" i="3"/>
  <c r="H49" i="3" s="1"/>
  <c r="S3" i="3"/>
  <c r="I95" i="3" s="1"/>
  <c r="O45" i="3"/>
  <c r="H91" i="3" s="1"/>
  <c r="P45" i="3"/>
  <c r="H137" i="3" s="1"/>
  <c r="L45" i="3"/>
  <c r="G45" i="3" s="1"/>
  <c r="R45" i="5" s="1"/>
  <c r="V30" i="5"/>
  <c r="T76" i="5" s="1"/>
  <c r="U30" i="5"/>
  <c r="W30" i="5"/>
  <c r="X8" i="5"/>
  <c r="V33" i="5"/>
  <c r="T79" i="5" s="1"/>
  <c r="M45" i="3"/>
  <c r="H45" i="3" s="1"/>
  <c r="N13" i="22"/>
  <c r="N31" i="22"/>
  <c r="N20" i="22"/>
  <c r="N5" i="22"/>
  <c r="N41" i="22"/>
  <c r="N19" i="22"/>
  <c r="N15" i="22"/>
  <c r="N9" i="22"/>
  <c r="N30" i="22"/>
  <c r="N4" i="22"/>
  <c r="N32" i="22"/>
  <c r="N39" i="22"/>
  <c r="N8" i="22"/>
  <c r="N14" i="22"/>
  <c r="N47" i="22"/>
  <c r="N53" i="22"/>
  <c r="N45" i="22"/>
  <c r="N57" i="22"/>
  <c r="N38" i="22"/>
  <c r="N34" i="22"/>
  <c r="N51" i="22"/>
  <c r="N43" i="22"/>
  <c r="N25" i="22"/>
  <c r="N44" i="22"/>
  <c r="N54" i="22"/>
  <c r="N10" i="22"/>
  <c r="N6" i="22"/>
  <c r="N52" i="22"/>
  <c r="U8" i="5"/>
  <c r="V8" i="5"/>
  <c r="U4" i="5"/>
  <c r="X32" i="5"/>
  <c r="V4" i="5"/>
  <c r="T96" i="5" s="1"/>
  <c r="U16" i="5"/>
  <c r="L32" i="3"/>
  <c r="G32" i="3" s="1"/>
  <c r="R32" i="5" s="1"/>
  <c r="W7" i="5"/>
  <c r="U37" i="5"/>
  <c r="X7" i="5"/>
  <c r="T99" i="5" s="1"/>
  <c r="W33" i="5"/>
  <c r="U33" i="5"/>
  <c r="U7" i="5"/>
  <c r="W16" i="5"/>
  <c r="X16" i="5"/>
  <c r="T108" i="5" s="1"/>
  <c r="Q42" i="3"/>
  <c r="I42" i="3" s="1"/>
  <c r="S37" i="3"/>
  <c r="I129" i="3" s="1"/>
  <c r="W19" i="5"/>
  <c r="X38" i="5"/>
  <c r="T38" i="5" s="1"/>
  <c r="W38" i="5"/>
  <c r="Q35" i="3"/>
  <c r="I35" i="3" s="1"/>
  <c r="X19" i="5"/>
  <c r="T111" i="5" s="1"/>
  <c r="X12" i="5"/>
  <c r="U19" i="5"/>
  <c r="U29" i="5"/>
  <c r="W29" i="5"/>
  <c r="R34" i="3"/>
  <c r="I80" i="3" s="1"/>
  <c r="V29" i="5"/>
  <c r="T29" i="5" s="1"/>
  <c r="M34" i="3"/>
  <c r="H34" i="3" s="1"/>
  <c r="W4" i="5"/>
  <c r="V3" i="5"/>
  <c r="X3" i="5"/>
  <c r="Q27" i="3"/>
  <c r="I27" i="3" s="1"/>
  <c r="U2" i="5"/>
  <c r="X9" i="5"/>
  <c r="V2" i="5"/>
  <c r="T94" i="5" s="1"/>
  <c r="U9" i="5"/>
  <c r="W2" i="5"/>
  <c r="V9" i="5"/>
  <c r="S28" i="3"/>
  <c r="I120" i="3" s="1"/>
  <c r="O28" i="3"/>
  <c r="H74" i="3" s="1"/>
  <c r="X18" i="5"/>
  <c r="R28" i="3"/>
  <c r="I74" i="3" s="1"/>
  <c r="Q37" i="3"/>
  <c r="I37" i="3" s="1"/>
  <c r="N28" i="3"/>
  <c r="G120" i="3" s="1"/>
  <c r="R120" i="5" s="1"/>
  <c r="M28" i="3"/>
  <c r="H28" i="3" s="1"/>
  <c r="U18" i="5"/>
  <c r="U35" i="5"/>
  <c r="V18" i="5"/>
  <c r="L37" i="3"/>
  <c r="G37" i="3" s="1"/>
  <c r="R37" i="5" s="1"/>
  <c r="X35" i="5"/>
  <c r="T127" i="5" s="1"/>
  <c r="N30" i="3"/>
  <c r="G122" i="3" s="1"/>
  <c r="R122" i="5" s="1"/>
  <c r="O30" i="3"/>
  <c r="H76" i="3" s="1"/>
  <c r="P27" i="3"/>
  <c r="H119" i="3" s="1"/>
  <c r="U6" i="5"/>
  <c r="V6" i="5"/>
  <c r="T98" i="5" s="1"/>
  <c r="W6" i="5"/>
  <c r="V47" i="5"/>
  <c r="X47" i="5"/>
  <c r="W47" i="5"/>
  <c r="P25" i="3"/>
  <c r="H117" i="3" s="1"/>
  <c r="N40" i="3"/>
  <c r="G132" i="3" s="1"/>
  <c r="R132" i="5" s="1"/>
  <c r="P40" i="3"/>
  <c r="H132" i="3" s="1"/>
  <c r="Q44" i="3"/>
  <c r="I44" i="3" s="1"/>
  <c r="O44" i="3"/>
  <c r="H90" i="3" s="1"/>
  <c r="M44" i="3"/>
  <c r="H44" i="3" s="1"/>
  <c r="P34" i="3"/>
  <c r="H126" i="3" s="1"/>
  <c r="W35" i="5"/>
  <c r="P37" i="3"/>
  <c r="H129" i="3" s="1"/>
  <c r="S11" i="3"/>
  <c r="I103" i="3" s="1"/>
  <c r="X13" i="5"/>
  <c r="P43" i="3"/>
  <c r="H135" i="3" s="1"/>
  <c r="R43" i="3"/>
  <c r="I89" i="3" s="1"/>
  <c r="M43" i="3"/>
  <c r="H43" i="3" s="1"/>
  <c r="V13" i="5"/>
  <c r="L38" i="3"/>
  <c r="G38" i="3" s="1"/>
  <c r="R38" i="5" s="1"/>
  <c r="Q11" i="3"/>
  <c r="I11" i="3" s="1"/>
  <c r="R11" i="3"/>
  <c r="I57" i="3" s="1"/>
  <c r="R38" i="3"/>
  <c r="I84" i="3" s="1"/>
  <c r="Q43" i="3"/>
  <c r="I43" i="3" s="1"/>
  <c r="N46" i="3"/>
  <c r="G138" i="3" s="1"/>
  <c r="R138" i="5" s="1"/>
  <c r="Q46" i="3"/>
  <c r="I46" i="3" s="1"/>
  <c r="M7" i="3"/>
  <c r="H7" i="3" s="1"/>
  <c r="R46" i="3"/>
  <c r="I92" i="3" s="1"/>
  <c r="P46" i="3"/>
  <c r="H138" i="3" s="1"/>
  <c r="L24" i="3"/>
  <c r="G70" i="3" s="1"/>
  <c r="R70" i="5" s="1"/>
  <c r="V40" i="5"/>
  <c r="O46" i="3"/>
  <c r="H92" i="3" s="1"/>
  <c r="M46" i="3"/>
  <c r="H46" i="3" s="1"/>
  <c r="U12" i="5"/>
  <c r="V10" i="5"/>
  <c r="T56" i="5" s="1"/>
  <c r="W39" i="5"/>
  <c r="V12" i="5"/>
  <c r="W10" i="5"/>
  <c r="V39" i="5"/>
  <c r="T131" i="5" s="1"/>
  <c r="Q21" i="3"/>
  <c r="I21" i="3" s="1"/>
  <c r="W41" i="5"/>
  <c r="R32" i="3"/>
  <c r="I78" i="3" s="1"/>
  <c r="U34" i="5"/>
  <c r="X34" i="5"/>
  <c r="T126" i="5" s="1"/>
  <c r="U28" i="5"/>
  <c r="O42" i="3"/>
  <c r="H88" i="3" s="1"/>
  <c r="W34" i="5"/>
  <c r="S45" i="3"/>
  <c r="I137" i="3" s="1"/>
  <c r="S42" i="3"/>
  <c r="I134" i="3" s="1"/>
  <c r="X36" i="5"/>
  <c r="X26" i="5"/>
  <c r="N7" i="3"/>
  <c r="G99" i="3" s="1"/>
  <c r="R99" i="5" s="1"/>
  <c r="X17" i="5"/>
  <c r="V11" i="5"/>
  <c r="T103" i="5" s="1"/>
  <c r="W40" i="5"/>
  <c r="U39" i="5"/>
  <c r="X41" i="5"/>
  <c r="X40" i="5"/>
  <c r="R24" i="3"/>
  <c r="I70" i="3" s="1"/>
  <c r="R44" i="3"/>
  <c r="I90" i="3" s="1"/>
  <c r="O39" i="3"/>
  <c r="H85" i="3" s="1"/>
  <c r="P39" i="3"/>
  <c r="H131" i="3" s="1"/>
  <c r="N44" i="3"/>
  <c r="G136" i="3" s="1"/>
  <c r="R136" i="5" s="1"/>
  <c r="R39" i="3"/>
  <c r="I85" i="3" s="1"/>
  <c r="L39" i="3"/>
  <c r="G39" i="3" s="1"/>
  <c r="R39" i="5" s="1"/>
  <c r="S39" i="3"/>
  <c r="I131" i="3" s="1"/>
  <c r="M39" i="3"/>
  <c r="H39" i="3" s="1"/>
  <c r="P24" i="3"/>
  <c r="H116" i="3" s="1"/>
  <c r="P44" i="3"/>
  <c r="H136" i="3" s="1"/>
  <c r="S44" i="3"/>
  <c r="I136" i="3" s="1"/>
  <c r="W31" i="5"/>
  <c r="N37" i="3"/>
  <c r="G129" i="3" s="1"/>
  <c r="R129" i="5" s="1"/>
  <c r="P35" i="3"/>
  <c r="H127" i="3" s="1"/>
  <c r="U13" i="5"/>
  <c r="W11" i="5"/>
  <c r="V37" i="5"/>
  <c r="T129" i="5" s="1"/>
  <c r="X5" i="5"/>
  <c r="O35" i="3"/>
  <c r="H81" i="3" s="1"/>
  <c r="Q38" i="3"/>
  <c r="I38" i="3" s="1"/>
  <c r="N43" i="3"/>
  <c r="G135" i="3" s="1"/>
  <c r="R135" i="5" s="1"/>
  <c r="U11" i="5"/>
  <c r="V5" i="5"/>
  <c r="S38" i="3"/>
  <c r="I130" i="3" s="1"/>
  <c r="N38" i="3"/>
  <c r="G130" i="3" s="1"/>
  <c r="R130" i="5" s="1"/>
  <c r="V27" i="5"/>
  <c r="T27" i="5" s="1"/>
  <c r="Q7" i="3"/>
  <c r="I7" i="3" s="1"/>
  <c r="M11" i="3"/>
  <c r="H11" i="3" s="1"/>
  <c r="U38" i="5"/>
  <c r="R7" i="3"/>
  <c r="I53" i="3" s="1"/>
  <c r="W5" i="5"/>
  <c r="O38" i="3"/>
  <c r="H84" i="3" s="1"/>
  <c r="X21" i="5"/>
  <c r="T21" i="5" s="1"/>
  <c r="M35" i="3"/>
  <c r="H35" i="3" s="1"/>
  <c r="V26" i="5"/>
  <c r="W37" i="5"/>
  <c r="N11" i="3"/>
  <c r="G103" i="3" s="1"/>
  <c r="R103" i="5" s="1"/>
  <c r="W26" i="5"/>
  <c r="U21" i="5"/>
  <c r="P26" i="3"/>
  <c r="H118" i="3" s="1"/>
  <c r="U27" i="5"/>
  <c r="L11" i="3"/>
  <c r="G57" i="3" s="1"/>
  <c r="R57" i="5" s="1"/>
  <c r="W27" i="5"/>
  <c r="P11" i="3"/>
  <c r="H103" i="3" s="1"/>
  <c r="W21" i="5"/>
  <c r="N35" i="3"/>
  <c r="G127" i="3" s="1"/>
  <c r="R127" i="5" s="1"/>
  <c r="L43" i="3"/>
  <c r="G89" i="3" s="1"/>
  <c r="R89" i="5" s="1"/>
  <c r="R35" i="3"/>
  <c r="I81" i="3" s="1"/>
  <c r="W15" i="5"/>
  <c r="X15" i="5"/>
  <c r="T61" i="5" s="1"/>
  <c r="O43" i="3"/>
  <c r="H89" i="3" s="1"/>
  <c r="S34" i="3"/>
  <c r="I126" i="3" s="1"/>
  <c r="U15" i="5"/>
  <c r="S40" i="3"/>
  <c r="I132" i="3" s="1"/>
  <c r="N34" i="3"/>
  <c r="G126" i="3" s="1"/>
  <c r="R126" i="5" s="1"/>
  <c r="N25" i="3"/>
  <c r="G117" i="3" s="1"/>
  <c r="R117" i="5" s="1"/>
  <c r="Q29" i="3"/>
  <c r="I29" i="3" s="1"/>
  <c r="N31" i="3"/>
  <c r="G123" i="3" s="1"/>
  <c r="R123" i="5" s="1"/>
  <c r="O29" i="3"/>
  <c r="H75" i="3" s="1"/>
  <c r="L31" i="3"/>
  <c r="G31" i="3" s="1"/>
  <c r="R31" i="5" s="1"/>
  <c r="M31" i="3"/>
  <c r="H31" i="3" s="1"/>
  <c r="Q31" i="3"/>
  <c r="I31" i="3" s="1"/>
  <c r="G44" i="3"/>
  <c r="R44" i="5" s="1"/>
  <c r="P31" i="3"/>
  <c r="H123" i="3" s="1"/>
  <c r="O25" i="3"/>
  <c r="H71" i="3" s="1"/>
  <c r="L29" i="3"/>
  <c r="G29" i="3" s="1"/>
  <c r="R29" i="5" s="1"/>
  <c r="R25" i="3"/>
  <c r="I71" i="3" s="1"/>
  <c r="S31" i="3"/>
  <c r="I123" i="3" s="1"/>
  <c r="W28" i="5"/>
  <c r="V28" i="5"/>
  <c r="T120" i="5" s="1"/>
  <c r="U17" i="5"/>
  <c r="L25" i="3"/>
  <c r="G71" i="3" s="1"/>
  <c r="R71" i="5" s="1"/>
  <c r="R40" i="3"/>
  <c r="I86" i="3" s="1"/>
  <c r="O40" i="3"/>
  <c r="H86" i="3" s="1"/>
  <c r="O31" i="3"/>
  <c r="H77" i="3" s="1"/>
  <c r="V17" i="5"/>
  <c r="S25" i="3"/>
  <c r="I117" i="3" s="1"/>
  <c r="Q25" i="3"/>
  <c r="I25" i="3" s="1"/>
  <c r="R30" i="3"/>
  <c r="I76" i="3" s="1"/>
  <c r="V23" i="5"/>
  <c r="L30" i="3"/>
  <c r="G76" i="3" s="1"/>
  <c r="R76" i="5" s="1"/>
  <c r="M27" i="3"/>
  <c r="H27" i="3" s="1"/>
  <c r="Q30" i="3"/>
  <c r="I30" i="3" s="1"/>
  <c r="W22" i="5"/>
  <c r="O27" i="3"/>
  <c r="H73" i="3" s="1"/>
  <c r="M30" i="3"/>
  <c r="H30" i="3" s="1"/>
  <c r="N27" i="3"/>
  <c r="G119" i="3" s="1"/>
  <c r="R119" i="5" s="1"/>
  <c r="U10" i="5"/>
  <c r="L27" i="3"/>
  <c r="G73" i="3" s="1"/>
  <c r="R73" i="5" s="1"/>
  <c r="M42" i="3"/>
  <c r="H42" i="3" s="1"/>
  <c r="V41" i="5"/>
  <c r="T91" i="5"/>
  <c r="O24" i="3"/>
  <c r="H70" i="3" s="1"/>
  <c r="O7" i="3"/>
  <c r="H53" i="3" s="1"/>
  <c r="X23" i="5"/>
  <c r="N24" i="3"/>
  <c r="G116" i="3" s="1"/>
  <c r="R116" i="5" s="1"/>
  <c r="O21" i="3"/>
  <c r="H67" i="3" s="1"/>
  <c r="M24" i="3"/>
  <c r="H24" i="3" s="1"/>
  <c r="T137" i="5"/>
  <c r="U23" i="5"/>
  <c r="X31" i="5"/>
  <c r="V24" i="5"/>
  <c r="T24" i="5" s="1"/>
  <c r="M26" i="3"/>
  <c r="H26" i="3" s="1"/>
  <c r="P7" i="3"/>
  <c r="H99" i="3" s="1"/>
  <c r="L26" i="3"/>
  <c r="G72" i="3" s="1"/>
  <c r="R72" i="5" s="1"/>
  <c r="P21" i="3"/>
  <c r="H113" i="3" s="1"/>
  <c r="X22" i="5"/>
  <c r="S24" i="3"/>
  <c r="I116" i="3" s="1"/>
  <c r="N32" i="3"/>
  <c r="G124" i="3" s="1"/>
  <c r="R124" i="5" s="1"/>
  <c r="W24" i="5"/>
  <c r="O26" i="3"/>
  <c r="H72" i="3" s="1"/>
  <c r="U36" i="5"/>
  <c r="L7" i="3"/>
  <c r="G53" i="3" s="1"/>
  <c r="R53" i="5" s="1"/>
  <c r="S26" i="3"/>
  <c r="I118" i="3" s="1"/>
  <c r="V31" i="5"/>
  <c r="O32" i="3"/>
  <c r="H78" i="3" s="1"/>
  <c r="S21" i="3"/>
  <c r="I113" i="3" s="1"/>
  <c r="R42" i="3"/>
  <c r="I88" i="3" s="1"/>
  <c r="W20" i="5"/>
  <c r="M21" i="3"/>
  <c r="H21" i="3" s="1"/>
  <c r="R21" i="3"/>
  <c r="I67" i="3" s="1"/>
  <c r="N42" i="3"/>
  <c r="G134" i="3" s="1"/>
  <c r="R134" i="5" s="1"/>
  <c r="U24" i="5"/>
  <c r="V36" i="5"/>
  <c r="V20" i="5"/>
  <c r="T112" i="5" s="1"/>
  <c r="U20" i="5"/>
  <c r="G48" i="3"/>
  <c r="R48" i="5" s="1"/>
  <c r="T45" i="5"/>
  <c r="S29" i="3"/>
  <c r="I121" i="3" s="1"/>
  <c r="Q26" i="3"/>
  <c r="I26" i="3" s="1"/>
  <c r="N26" i="3"/>
  <c r="G118" i="3" s="1"/>
  <c r="R118" i="5" s="1"/>
  <c r="M38" i="3"/>
  <c r="H38" i="3" s="1"/>
  <c r="G66" i="3"/>
  <c r="R66" i="5" s="1"/>
  <c r="V22" i="5"/>
  <c r="X42" i="5"/>
  <c r="L35" i="3"/>
  <c r="G35" i="3" s="1"/>
  <c r="R35" i="5" s="1"/>
  <c r="I127" i="3"/>
  <c r="U42" i="5"/>
  <c r="G79" i="3"/>
  <c r="R79" i="5" s="1"/>
  <c r="G33" i="3"/>
  <c r="R33" i="5" s="1"/>
  <c r="M40" i="3"/>
  <c r="H40" i="3" s="1"/>
  <c r="I40" i="3"/>
  <c r="L40" i="3"/>
  <c r="G40" i="3" s="1"/>
  <c r="R40" i="5" s="1"/>
  <c r="I32" i="3"/>
  <c r="M32" i="3"/>
  <c r="H32" i="3" s="1"/>
  <c r="P32" i="3"/>
  <c r="H124" i="3" s="1"/>
  <c r="S32" i="3"/>
  <c r="I124" i="3" s="1"/>
  <c r="G17" i="3"/>
  <c r="R17" i="5" s="1"/>
  <c r="L21" i="3"/>
  <c r="G67" i="3" s="1"/>
  <c r="R67" i="5" s="1"/>
  <c r="G113" i="3"/>
  <c r="R113" i="5" s="1"/>
  <c r="I24" i="3"/>
  <c r="O34" i="3"/>
  <c r="H80" i="3" s="1"/>
  <c r="L34" i="3"/>
  <c r="G34" i="3" s="1"/>
  <c r="R34" i="5" s="1"/>
  <c r="X25" i="5"/>
  <c r="W25" i="5"/>
  <c r="V25" i="5"/>
  <c r="U25" i="5"/>
  <c r="L42" i="3"/>
  <c r="G88" i="3" s="1"/>
  <c r="R88" i="5" s="1"/>
  <c r="L28" i="3"/>
  <c r="G74" i="3" s="1"/>
  <c r="R74" i="5" s="1"/>
  <c r="I28" i="3"/>
  <c r="P28" i="3"/>
  <c r="H120" i="3" s="1"/>
  <c r="I122" i="3"/>
  <c r="P30" i="3"/>
  <c r="H122" i="3" s="1"/>
  <c r="R27" i="3"/>
  <c r="I73" i="3" s="1"/>
  <c r="R29" i="3"/>
  <c r="I75" i="3" s="1"/>
  <c r="N29" i="3"/>
  <c r="G121" i="3" s="1"/>
  <c r="R121" i="5" s="1"/>
  <c r="G36" i="3"/>
  <c r="R36" i="5" s="1"/>
  <c r="G82" i="3"/>
  <c r="R82" i="5" s="1"/>
  <c r="V42" i="5"/>
  <c r="G68" i="3"/>
  <c r="R68" i="5" s="1"/>
  <c r="G22" i="3"/>
  <c r="R22" i="5" s="1"/>
  <c r="V32" i="5"/>
  <c r="P29" i="3"/>
  <c r="H121" i="3" s="1"/>
  <c r="W32" i="5"/>
  <c r="M37" i="3"/>
  <c r="H37" i="3" s="1"/>
  <c r="R37" i="3"/>
  <c r="I83" i="3" s="1"/>
  <c r="N39" i="3"/>
  <c r="G131" i="3" s="1"/>
  <c r="R131" i="5" s="1"/>
  <c r="R2" i="5"/>
  <c r="R64" i="5"/>
  <c r="R63" i="5"/>
  <c r="B24" i="10"/>
  <c r="B26" i="10"/>
  <c r="N9" i="3"/>
  <c r="G101" i="3" s="1"/>
  <c r="M9" i="3"/>
  <c r="H9" i="3" s="1"/>
  <c r="L9" i="3"/>
  <c r="G9" i="3" s="1"/>
  <c r="Q9" i="3"/>
  <c r="I9" i="3" s="1"/>
  <c r="S9" i="3"/>
  <c r="I101" i="3" s="1"/>
  <c r="R9" i="3"/>
  <c r="I55" i="3" s="1"/>
  <c r="P9" i="3"/>
  <c r="H101" i="3" s="1"/>
  <c r="O9" i="3"/>
  <c r="H55" i="3" s="1"/>
  <c r="S13" i="3"/>
  <c r="I105" i="3" s="1"/>
  <c r="R13" i="3"/>
  <c r="I59" i="3" s="1"/>
  <c r="Q13" i="3"/>
  <c r="I13" i="3" s="1"/>
  <c r="P13" i="3"/>
  <c r="H105" i="3" s="1"/>
  <c r="O13" i="3"/>
  <c r="H59" i="3" s="1"/>
  <c r="M13" i="3"/>
  <c r="H13" i="3" s="1"/>
  <c r="N13" i="3"/>
  <c r="G105" i="3" s="1"/>
  <c r="L13" i="3"/>
  <c r="G59" i="3" s="1"/>
  <c r="AN4" i="13"/>
  <c r="Z7" i="25"/>
  <c r="T135" i="5"/>
  <c r="T89" i="5"/>
  <c r="T43" i="5"/>
  <c r="T138" i="5"/>
  <c r="T92" i="5"/>
  <c r="T46" i="5"/>
  <c r="R108" i="5"/>
  <c r="R14" i="3"/>
  <c r="I60" i="3" s="1"/>
  <c r="Q14" i="3"/>
  <c r="I14" i="3" s="1"/>
  <c r="P14" i="3"/>
  <c r="H106" i="3" s="1"/>
  <c r="O14" i="3"/>
  <c r="H60" i="3" s="1"/>
  <c r="N14" i="3"/>
  <c r="G106" i="3" s="1"/>
  <c r="L14" i="3"/>
  <c r="G14" i="3" s="1"/>
  <c r="S14" i="3"/>
  <c r="I106" i="3" s="1"/>
  <c r="M14" i="3"/>
  <c r="H14" i="3" s="1"/>
  <c r="L13" i="6"/>
  <c r="L12" i="3"/>
  <c r="G58" i="3" s="1"/>
  <c r="S12" i="3"/>
  <c r="I104" i="3" s="1"/>
  <c r="R12" i="3"/>
  <c r="I58" i="3" s="1"/>
  <c r="Q12" i="3"/>
  <c r="I12" i="3" s="1"/>
  <c r="P12" i="3"/>
  <c r="H104" i="3" s="1"/>
  <c r="N12" i="3"/>
  <c r="G104" i="3" s="1"/>
  <c r="O12" i="3"/>
  <c r="H58" i="3" s="1"/>
  <c r="M12" i="3"/>
  <c r="H12" i="3" s="1"/>
  <c r="R100" i="5"/>
  <c r="Q15" i="3"/>
  <c r="I15" i="3" s="1"/>
  <c r="P15" i="3"/>
  <c r="H107" i="3" s="1"/>
  <c r="O15" i="3"/>
  <c r="H61" i="3" s="1"/>
  <c r="N15" i="3"/>
  <c r="G107" i="3" s="1"/>
  <c r="M15" i="3"/>
  <c r="H15" i="3" s="1"/>
  <c r="S15" i="3"/>
  <c r="I107" i="3" s="1"/>
  <c r="R15" i="3"/>
  <c r="I61" i="3" s="1"/>
  <c r="L15" i="3"/>
  <c r="G61" i="3" s="1"/>
  <c r="G8" i="3"/>
  <c r="T90" i="5"/>
  <c r="T136" i="5"/>
  <c r="T44" i="5"/>
  <c r="Z6" i="25"/>
  <c r="M19" i="3"/>
  <c r="H19" i="3" s="1"/>
  <c r="L19" i="3"/>
  <c r="G19" i="3" s="1"/>
  <c r="S19" i="3"/>
  <c r="I111" i="3" s="1"/>
  <c r="R19" i="3"/>
  <c r="I65" i="3" s="1"/>
  <c r="Q19" i="3"/>
  <c r="I19" i="3" s="1"/>
  <c r="O19" i="3"/>
  <c r="H65" i="3" s="1"/>
  <c r="P19" i="3"/>
  <c r="H111" i="3" s="1"/>
  <c r="N19" i="3"/>
  <c r="G111" i="3" s="1"/>
  <c r="Q6" i="3"/>
  <c r="I6" i="3" s="1"/>
  <c r="P6" i="3"/>
  <c r="H98" i="3" s="1"/>
  <c r="L6" i="3"/>
  <c r="G52" i="3" s="1"/>
  <c r="S6" i="3"/>
  <c r="I98" i="3" s="1"/>
  <c r="R6" i="3"/>
  <c r="I52" i="3" s="1"/>
  <c r="O6" i="3"/>
  <c r="H52" i="3" s="1"/>
  <c r="N6" i="3"/>
  <c r="G98" i="3" s="1"/>
  <c r="M6" i="3"/>
  <c r="H6" i="3" s="1"/>
  <c r="T106" i="5"/>
  <c r="T14" i="5"/>
  <c r="T60" i="5"/>
  <c r="R5" i="3"/>
  <c r="I51" i="3" s="1"/>
  <c r="Q5" i="3"/>
  <c r="I5" i="3" s="1"/>
  <c r="M5" i="3"/>
  <c r="H5" i="3" s="1"/>
  <c r="O5" i="3"/>
  <c r="H51" i="3" s="1"/>
  <c r="N5" i="3"/>
  <c r="G97" i="3" s="1"/>
  <c r="L5" i="3"/>
  <c r="G51" i="3" s="1"/>
  <c r="S5" i="3"/>
  <c r="I97" i="3" s="1"/>
  <c r="P5" i="3"/>
  <c r="H97" i="3" s="1"/>
  <c r="AN2" i="13"/>
  <c r="Z4" i="25"/>
  <c r="S4" i="3"/>
  <c r="I96" i="3" s="1"/>
  <c r="R4" i="3"/>
  <c r="I50" i="3" s="1"/>
  <c r="N4" i="3"/>
  <c r="G96" i="3" s="1"/>
  <c r="Q4" i="3"/>
  <c r="I4" i="3" s="1"/>
  <c r="P4" i="3"/>
  <c r="H96" i="3" s="1"/>
  <c r="O4" i="3"/>
  <c r="H50" i="3" s="1"/>
  <c r="M4" i="3"/>
  <c r="H4" i="3" s="1"/>
  <c r="L4" i="3"/>
  <c r="G4" i="3" s="1"/>
  <c r="AB116" i="5" s="1"/>
  <c r="AN3" i="13"/>
  <c r="Z5" i="25"/>
  <c r="R94" i="5"/>
  <c r="G93" i="3" l="1"/>
  <c r="R93" i="5" s="1"/>
  <c r="G18" i="3"/>
  <c r="R18" i="5" s="1"/>
  <c r="G78" i="3"/>
  <c r="R78" i="5" s="1"/>
  <c r="G23" i="3"/>
  <c r="R23" i="5" s="1"/>
  <c r="G87" i="3"/>
  <c r="R87" i="5" s="1"/>
  <c r="G62" i="3"/>
  <c r="R62" i="5" s="1"/>
  <c r="O10" i="3"/>
  <c r="H56" i="3" s="1"/>
  <c r="N10" i="3"/>
  <c r="G102" i="3" s="1"/>
  <c r="R102" i="5" s="1"/>
  <c r="M10" i="3"/>
  <c r="H10" i="3" s="1"/>
  <c r="L10" i="3"/>
  <c r="S10" i="3"/>
  <c r="I102" i="3" s="1"/>
  <c r="R10" i="3"/>
  <c r="I56" i="3" s="1"/>
  <c r="Q10" i="3"/>
  <c r="I10" i="3" s="1"/>
  <c r="P10" i="3"/>
  <c r="H102" i="3" s="1"/>
  <c r="L16" i="2"/>
  <c r="M16" i="2" s="1"/>
  <c r="L63" i="2"/>
  <c r="M63" i="2" s="1"/>
  <c r="L62" i="2"/>
  <c r="M62" i="2" s="1"/>
  <c r="AT2" i="13"/>
  <c r="AT3" i="13"/>
  <c r="AJ4" i="25" s="1"/>
  <c r="AE6" i="25"/>
  <c r="L60" i="2"/>
  <c r="M60" i="2" s="1"/>
  <c r="G91" i="3"/>
  <c r="R91" i="5" s="1"/>
  <c r="G49" i="3"/>
  <c r="R49" i="5" s="1"/>
  <c r="L61" i="2"/>
  <c r="M61" i="2" s="1"/>
  <c r="G92" i="3"/>
  <c r="R92" i="5" s="1"/>
  <c r="L29" i="2"/>
  <c r="M29" i="2" s="1"/>
  <c r="L51" i="2"/>
  <c r="M51" i="2" s="1"/>
  <c r="L30" i="2"/>
  <c r="M30" i="2" s="1"/>
  <c r="L10" i="2"/>
  <c r="M10" i="2" s="1"/>
  <c r="L2" i="2"/>
  <c r="M2" i="2" s="1"/>
  <c r="L17" i="2"/>
  <c r="M17" i="2" s="1"/>
  <c r="L6" i="2"/>
  <c r="M6" i="2" s="1"/>
  <c r="L56" i="2"/>
  <c r="M56" i="2" s="1"/>
  <c r="L13" i="2"/>
  <c r="M13" i="2" s="1"/>
  <c r="L27" i="2"/>
  <c r="M27" i="2" s="1"/>
  <c r="L22" i="2"/>
  <c r="M22" i="2" s="1"/>
  <c r="L4" i="2"/>
  <c r="M4" i="2" s="1"/>
  <c r="L32" i="2"/>
  <c r="M32" i="2" s="1"/>
  <c r="L15" i="2"/>
  <c r="M15" i="2" s="1"/>
  <c r="T30" i="5"/>
  <c r="T122" i="5"/>
  <c r="L38" i="2"/>
  <c r="M38" i="2" s="1"/>
  <c r="L31" i="2"/>
  <c r="M31" i="2" s="1"/>
  <c r="L14" i="2"/>
  <c r="M14" i="2" s="1"/>
  <c r="L9" i="2"/>
  <c r="M9" i="2" s="1"/>
  <c r="L11" i="2"/>
  <c r="M11" i="2" s="1"/>
  <c r="T100" i="5"/>
  <c r="L52" i="2"/>
  <c r="M52" i="2" s="1"/>
  <c r="L28" i="2"/>
  <c r="M28" i="2" s="1"/>
  <c r="L25" i="2"/>
  <c r="M25" i="2" s="1"/>
  <c r="L5" i="2"/>
  <c r="M5" i="2" s="1"/>
  <c r="L21" i="2"/>
  <c r="M21" i="2" s="1"/>
  <c r="L26" i="2"/>
  <c r="M26" i="2" s="1"/>
  <c r="L3" i="2"/>
  <c r="M3" i="2" s="1"/>
  <c r="T125" i="5"/>
  <c r="L46" i="2"/>
  <c r="M46" i="2" s="1"/>
  <c r="L12" i="2"/>
  <c r="M12" i="2" s="1"/>
  <c r="T33" i="5"/>
  <c r="L48" i="2"/>
  <c r="M48" i="2" s="1"/>
  <c r="L47" i="2"/>
  <c r="M47" i="2" s="1"/>
  <c r="L54" i="2"/>
  <c r="M54" i="2" s="1"/>
  <c r="L7" i="2"/>
  <c r="M7" i="2" s="1"/>
  <c r="L59" i="2"/>
  <c r="M59" i="2" s="1"/>
  <c r="L55" i="2"/>
  <c r="M55" i="2" s="1"/>
  <c r="L8" i="2"/>
  <c r="M8" i="2" s="1"/>
  <c r="L18" i="2"/>
  <c r="M18" i="2" s="1"/>
  <c r="L57" i="2"/>
  <c r="M57" i="2" s="1"/>
  <c r="L45" i="2"/>
  <c r="M45" i="2" s="1"/>
  <c r="L49" i="2"/>
  <c r="M49" i="2" s="1"/>
  <c r="L50" i="2"/>
  <c r="M50" i="2" s="1"/>
  <c r="L36" i="2"/>
  <c r="M36" i="2" s="1"/>
  <c r="L34" i="2"/>
  <c r="M34" i="2" s="1"/>
  <c r="L42" i="2"/>
  <c r="M42" i="2" s="1"/>
  <c r="L40" i="2"/>
  <c r="M40" i="2" s="1"/>
  <c r="L43" i="2"/>
  <c r="M43" i="2" s="1"/>
  <c r="L41" i="2"/>
  <c r="M41" i="2" s="1"/>
  <c r="L53" i="2"/>
  <c r="M53" i="2" s="1"/>
  <c r="L35" i="2"/>
  <c r="M35" i="2" s="1"/>
  <c r="L33" i="2"/>
  <c r="M33" i="2" s="1"/>
  <c r="L24" i="2"/>
  <c r="M24" i="2" s="1"/>
  <c r="L23" i="2"/>
  <c r="M23" i="2" s="1"/>
  <c r="L39" i="2"/>
  <c r="M39" i="2" s="1"/>
  <c r="L37" i="2"/>
  <c r="M37" i="2" s="1"/>
  <c r="L44" i="2"/>
  <c r="M44" i="2" s="1"/>
  <c r="L19" i="2"/>
  <c r="M19" i="2" s="1"/>
  <c r="N66" i="22"/>
  <c r="L20" i="2"/>
  <c r="M20" i="2" s="1"/>
  <c r="L58" i="2"/>
  <c r="M58" i="2" s="1"/>
  <c r="T8" i="5"/>
  <c r="T54" i="5"/>
  <c r="AB32" i="5"/>
  <c r="AB146" i="5"/>
  <c r="G11" i="3"/>
  <c r="R11" i="5" s="1"/>
  <c r="T7" i="5"/>
  <c r="T53" i="5"/>
  <c r="T124" i="5"/>
  <c r="T4" i="5"/>
  <c r="T50" i="5"/>
  <c r="T62" i="5"/>
  <c r="T16" i="5"/>
  <c r="T65" i="5"/>
  <c r="T19" i="5"/>
  <c r="G84" i="3"/>
  <c r="R84" i="5" s="1"/>
  <c r="T75" i="5"/>
  <c r="T130" i="5"/>
  <c r="T84" i="5"/>
  <c r="T121" i="5"/>
  <c r="T58" i="5"/>
  <c r="G75" i="3"/>
  <c r="R75" i="5" s="1"/>
  <c r="T3" i="5"/>
  <c r="T95" i="5"/>
  <c r="T49" i="5"/>
  <c r="G83" i="3"/>
  <c r="R83" i="5" s="1"/>
  <c r="T55" i="5"/>
  <c r="T9" i="5"/>
  <c r="T110" i="5"/>
  <c r="T101" i="5"/>
  <c r="T81" i="5"/>
  <c r="T2" i="5"/>
  <c r="J2" i="3" s="1"/>
  <c r="T48" i="5"/>
  <c r="T35" i="5"/>
  <c r="T18" i="5"/>
  <c r="G24" i="3"/>
  <c r="R24" i="5" s="1"/>
  <c r="G77" i="3"/>
  <c r="R77" i="5" s="1"/>
  <c r="T64" i="5"/>
  <c r="T6" i="5"/>
  <c r="T52" i="5"/>
  <c r="T139" i="5"/>
  <c r="T47" i="5"/>
  <c r="T93" i="5"/>
  <c r="T105" i="5"/>
  <c r="T10" i="5"/>
  <c r="T59" i="5"/>
  <c r="T13" i="5"/>
  <c r="T102" i="5"/>
  <c r="G27" i="3"/>
  <c r="R27" i="5" s="1"/>
  <c r="G30" i="3"/>
  <c r="R30" i="5" s="1"/>
  <c r="G26" i="3"/>
  <c r="R26" i="5" s="1"/>
  <c r="G85" i="3"/>
  <c r="R85" i="5" s="1"/>
  <c r="T104" i="5"/>
  <c r="G43" i="3"/>
  <c r="R43" i="5" s="1"/>
  <c r="T34" i="5"/>
  <c r="T80" i="5"/>
  <c r="T12" i="5"/>
  <c r="T132" i="5"/>
  <c r="T128" i="5"/>
  <c r="T39" i="5"/>
  <c r="T85" i="5"/>
  <c r="T118" i="5"/>
  <c r="T57" i="5"/>
  <c r="T11" i="5"/>
  <c r="T109" i="5"/>
  <c r="G25" i="3"/>
  <c r="R25" i="5" s="1"/>
  <c r="T87" i="5"/>
  <c r="T40" i="5"/>
  <c r="T86" i="5"/>
  <c r="T73" i="5"/>
  <c r="T119" i="5"/>
  <c r="T51" i="5"/>
  <c r="T113" i="5"/>
  <c r="T72" i="5"/>
  <c r="T37" i="5"/>
  <c r="T83" i="5"/>
  <c r="T67" i="5"/>
  <c r="T5" i="5"/>
  <c r="T97" i="5"/>
  <c r="T26" i="5"/>
  <c r="T70" i="5"/>
  <c r="T68" i="5"/>
  <c r="T17" i="5"/>
  <c r="T74" i="5"/>
  <c r="T28" i="5"/>
  <c r="T15" i="5"/>
  <c r="T107" i="5"/>
  <c r="T63" i="5"/>
  <c r="T133" i="5"/>
  <c r="G7" i="3"/>
  <c r="R7" i="5" s="1"/>
  <c r="T42" i="5"/>
  <c r="T23" i="5"/>
  <c r="T78" i="5"/>
  <c r="G81" i="3"/>
  <c r="R81" i="5" s="1"/>
  <c r="T31" i="5"/>
  <c r="T41" i="5"/>
  <c r="T116" i="5"/>
  <c r="T69" i="5"/>
  <c r="T115" i="5"/>
  <c r="T123" i="5"/>
  <c r="T114" i="5"/>
  <c r="T66" i="5"/>
  <c r="T32" i="5"/>
  <c r="T20" i="5"/>
  <c r="T36" i="5"/>
  <c r="T82" i="5"/>
  <c r="T77" i="5"/>
  <c r="G28" i="3"/>
  <c r="R28" i="5" s="1"/>
  <c r="G42" i="3"/>
  <c r="R42" i="5" s="1"/>
  <c r="G21" i="3"/>
  <c r="R21" i="5" s="1"/>
  <c r="T22" i="5"/>
  <c r="G80" i="3"/>
  <c r="R80" i="5" s="1"/>
  <c r="T88" i="5"/>
  <c r="T134" i="5"/>
  <c r="G5" i="3"/>
  <c r="G13" i="3"/>
  <c r="R13" i="5" s="1"/>
  <c r="T71" i="5"/>
  <c r="T25" i="5"/>
  <c r="T117" i="5"/>
  <c r="G86" i="3"/>
  <c r="R86" i="5" s="1"/>
  <c r="G50" i="3"/>
  <c r="R50" i="5" s="1"/>
  <c r="R19" i="5"/>
  <c r="R59" i="5"/>
  <c r="R14" i="5"/>
  <c r="R105" i="5"/>
  <c r="R4" i="5"/>
  <c r="R107" i="5"/>
  <c r="R9" i="5"/>
  <c r="R52" i="5"/>
  <c r="R58" i="5"/>
  <c r="R96" i="5"/>
  <c r="R97" i="5"/>
  <c r="R111" i="5"/>
  <c r="R61" i="5"/>
  <c r="R8" i="5"/>
  <c r="R101" i="5"/>
  <c r="R51" i="5"/>
  <c r="G65" i="3"/>
  <c r="G15" i="3"/>
  <c r="G12" i="3"/>
  <c r="G60" i="3"/>
  <c r="G55" i="3"/>
  <c r="AE5" i="25"/>
  <c r="AE3" i="25"/>
  <c r="R98" i="5"/>
  <c r="R104" i="5"/>
  <c r="R106" i="5"/>
  <c r="S2" i="5"/>
  <c r="G6" i="3"/>
  <c r="AE4" i="25"/>
  <c r="G10" i="3" l="1"/>
  <c r="R10" i="5" s="1"/>
  <c r="G56" i="3"/>
  <c r="R56" i="5" s="1"/>
  <c r="Q61" i="22"/>
  <c r="R61" i="22" s="1"/>
  <c r="Q62" i="22"/>
  <c r="R62" i="22" s="1"/>
  <c r="Q63" i="22"/>
  <c r="R63" i="22" s="1"/>
  <c r="Q60" i="22"/>
  <c r="R60" i="22" s="1"/>
  <c r="F185" i="1"/>
  <c r="Q34" i="22"/>
  <c r="R34" i="22" s="1"/>
  <c r="Q18" i="22"/>
  <c r="R18" i="22" s="1"/>
  <c r="Q16" i="22"/>
  <c r="R16" i="22" s="1"/>
  <c r="Q48" i="22"/>
  <c r="R48" i="22" s="1"/>
  <c r="Q12" i="22"/>
  <c r="R12" i="22" s="1"/>
  <c r="Q6" i="22"/>
  <c r="R6" i="22" s="1"/>
  <c r="Q35" i="22"/>
  <c r="R35" i="22" s="1"/>
  <c r="Q26" i="22"/>
  <c r="R26" i="22" s="1"/>
  <c r="Q27" i="22"/>
  <c r="R27" i="22" s="1"/>
  <c r="Q10" i="22"/>
  <c r="R10" i="22" s="1"/>
  <c r="Q31" i="22"/>
  <c r="R31" i="22" s="1"/>
  <c r="Q15" i="22"/>
  <c r="R15" i="22" s="1"/>
  <c r="Q32" i="22"/>
  <c r="R32" i="22" s="1"/>
  <c r="Q36" i="22"/>
  <c r="R36" i="22" s="1"/>
  <c r="Q2" i="22"/>
  <c r="R2" i="22" s="1"/>
  <c r="Q59" i="22"/>
  <c r="R59" i="22" s="1"/>
  <c r="Q22" i="22"/>
  <c r="R22" i="22" s="1"/>
  <c r="Q29" i="22"/>
  <c r="R29" i="22" s="1"/>
  <c r="AC137" i="5"/>
  <c r="AC138" i="5"/>
  <c r="Q56" i="22"/>
  <c r="R56" i="22" s="1"/>
  <c r="Q58" i="22"/>
  <c r="R58" i="22" s="1"/>
  <c r="Q23" i="22"/>
  <c r="R23" i="22" s="1"/>
  <c r="Q11" i="22"/>
  <c r="R11" i="22" s="1"/>
  <c r="Q33" i="22"/>
  <c r="R33" i="22" s="1"/>
  <c r="AC141" i="5"/>
  <c r="AC45" i="5"/>
  <c r="AC81" i="5"/>
  <c r="AC104" i="5"/>
  <c r="AC18" i="5"/>
  <c r="AC89" i="5"/>
  <c r="AC21" i="5"/>
  <c r="AC22" i="5"/>
  <c r="AC87" i="5"/>
  <c r="AC139" i="5"/>
  <c r="AC171" i="5"/>
  <c r="AC140" i="5"/>
  <c r="AC165" i="5"/>
  <c r="AC55" i="5"/>
  <c r="AC95" i="5"/>
  <c r="AC20" i="5"/>
  <c r="Q7" i="22"/>
  <c r="R7" i="22" s="1"/>
  <c r="Q19" i="22"/>
  <c r="R19" i="22" s="1"/>
  <c r="Q13" i="22"/>
  <c r="R13" i="22" s="1"/>
  <c r="Q14" i="22"/>
  <c r="R14" i="22" s="1"/>
  <c r="Q17" i="22"/>
  <c r="R17" i="22" s="1"/>
  <c r="Q47" i="22"/>
  <c r="R47" i="22" s="1"/>
  <c r="Q42" i="22"/>
  <c r="R42" i="22" s="1"/>
  <c r="F139" i="1"/>
  <c r="F164" i="1"/>
  <c r="F20" i="1"/>
  <c r="F108" i="1"/>
  <c r="F137" i="1"/>
  <c r="F51" i="1"/>
  <c r="F111" i="1"/>
  <c r="F89" i="1"/>
  <c r="F19" i="1"/>
  <c r="F101" i="1"/>
  <c r="F32" i="1"/>
  <c r="F45" i="1"/>
  <c r="F85" i="1"/>
  <c r="F119" i="1"/>
  <c r="F158" i="1"/>
  <c r="F138" i="1"/>
  <c r="F53" i="1"/>
  <c r="F134" i="1"/>
  <c r="F12" i="1"/>
  <c r="F70" i="1"/>
  <c r="F87" i="1"/>
  <c r="F46" i="1"/>
  <c r="F104" i="1"/>
  <c r="F41" i="1"/>
  <c r="F84" i="1"/>
  <c r="F31" i="1"/>
  <c r="F170" i="1"/>
  <c r="F113" i="1"/>
  <c r="F23" i="1"/>
  <c r="F68" i="1"/>
  <c r="F174" i="1"/>
  <c r="F116" i="1"/>
  <c r="F24" i="1"/>
  <c r="F103" i="1"/>
  <c r="F61" i="1"/>
  <c r="F9" i="1"/>
  <c r="F143" i="1"/>
  <c r="F120" i="1"/>
  <c r="F78" i="1"/>
  <c r="F4" i="1"/>
  <c r="F96" i="1"/>
  <c r="F11" i="1"/>
  <c r="F148" i="1"/>
  <c r="F13" i="1"/>
  <c r="F73" i="1"/>
  <c r="F49" i="1"/>
  <c r="F10" i="1"/>
  <c r="F26" i="1"/>
  <c r="F62" i="1"/>
  <c r="F72" i="1"/>
  <c r="F105" i="1"/>
  <c r="F118" i="1"/>
  <c r="F47" i="1"/>
  <c r="F25" i="1"/>
  <c r="F124" i="1"/>
  <c r="F149" i="1"/>
  <c r="F18" i="1"/>
  <c r="F48" i="1"/>
  <c r="F65" i="1"/>
  <c r="F129" i="1"/>
  <c r="F150" i="1"/>
  <c r="F147" i="1"/>
  <c r="F39" i="1"/>
  <c r="F22" i="1"/>
  <c r="F91" i="1"/>
  <c r="F154" i="1"/>
  <c r="F94" i="1"/>
  <c r="F34" i="1"/>
  <c r="F8" i="1"/>
  <c r="F40" i="1"/>
  <c r="F117" i="1"/>
  <c r="F171" i="1"/>
  <c r="F38" i="1"/>
  <c r="F77" i="1"/>
  <c r="F115" i="1"/>
  <c r="F160" i="1"/>
  <c r="F2" i="1"/>
  <c r="F67" i="1"/>
  <c r="F167" i="1"/>
  <c r="F82" i="1"/>
  <c r="F64" i="1"/>
  <c r="F44" i="1"/>
  <c r="F52" i="1"/>
  <c r="F166" i="1"/>
  <c r="F59" i="1"/>
  <c r="F74" i="1"/>
  <c r="F37" i="1"/>
  <c r="F76" i="1"/>
  <c r="F90" i="1"/>
  <c r="F66" i="1"/>
  <c r="F131" i="1"/>
  <c r="F93" i="1"/>
  <c r="F7" i="1"/>
  <c r="F102" i="1"/>
  <c r="F80" i="1"/>
  <c r="F175" i="1"/>
  <c r="F145" i="1"/>
  <c r="F162" i="1"/>
  <c r="F6" i="1"/>
  <c r="F141" i="1"/>
  <c r="F35" i="1"/>
  <c r="F57" i="1"/>
  <c r="F151" i="1"/>
  <c r="F69" i="1"/>
  <c r="F28" i="1"/>
  <c r="F21" i="1"/>
  <c r="F114" i="1"/>
  <c r="F100" i="1"/>
  <c r="F92" i="1"/>
  <c r="F156" i="1"/>
  <c r="F107" i="1"/>
  <c r="C57" i="5"/>
  <c r="D57" i="1" s="1"/>
  <c r="C56" i="5"/>
  <c r="C56" i="24" s="1"/>
  <c r="Q24" i="22"/>
  <c r="R24" i="22" s="1"/>
  <c r="Q25" i="22"/>
  <c r="R25" i="22" s="1"/>
  <c r="C58" i="5"/>
  <c r="Q3" i="22"/>
  <c r="R3" i="22" s="1"/>
  <c r="Q44" i="22"/>
  <c r="R44" i="22" s="1"/>
  <c r="Q30" i="22"/>
  <c r="R30" i="22" s="1"/>
  <c r="Q54" i="22"/>
  <c r="R54" i="22" s="1"/>
  <c r="Q41" i="22"/>
  <c r="R41" i="22" s="1"/>
  <c r="Q46" i="22"/>
  <c r="R46" i="22" s="1"/>
  <c r="Q9" i="22"/>
  <c r="R9" i="22" s="1"/>
  <c r="Q37" i="22"/>
  <c r="R37" i="22" s="1"/>
  <c r="Q55" i="22"/>
  <c r="R55" i="22" s="1"/>
  <c r="Q45" i="22"/>
  <c r="R45" i="22" s="1"/>
  <c r="Q38" i="22"/>
  <c r="R38" i="22" s="1"/>
  <c r="Q28" i="22"/>
  <c r="R28" i="22" s="1"/>
  <c r="Q53" i="22"/>
  <c r="R53" i="22" s="1"/>
  <c r="Q21" i="22"/>
  <c r="R21" i="22" s="1"/>
  <c r="Q39" i="22"/>
  <c r="R39" i="22" s="1"/>
  <c r="Q43" i="22"/>
  <c r="R43" i="22" s="1"/>
  <c r="Q20" i="22"/>
  <c r="R20" i="22" s="1"/>
  <c r="Q5" i="22"/>
  <c r="R5" i="22" s="1"/>
  <c r="J4" i="3"/>
  <c r="Q4" i="22"/>
  <c r="R4" i="22" s="1"/>
  <c r="Q52" i="22"/>
  <c r="R52" i="22" s="1"/>
  <c r="Q49" i="22"/>
  <c r="R49" i="22" s="1"/>
  <c r="Q51" i="22"/>
  <c r="R51" i="22" s="1"/>
  <c r="Q8" i="22"/>
  <c r="R8" i="22" s="1"/>
  <c r="Q40" i="22"/>
  <c r="R40" i="22" s="1"/>
  <c r="Q50" i="22"/>
  <c r="R50" i="22" s="1"/>
  <c r="Q57" i="22"/>
  <c r="R57" i="22" s="1"/>
  <c r="AB11" i="5"/>
  <c r="AB104" i="5"/>
  <c r="AB109" i="5"/>
  <c r="AB82" i="5"/>
  <c r="AB111" i="5"/>
  <c r="AB92" i="5"/>
  <c r="AB145" i="5"/>
  <c r="AB142" i="5"/>
  <c r="AB115" i="5"/>
  <c r="AB144" i="5"/>
  <c r="AB77" i="5"/>
  <c r="AB122" i="5"/>
  <c r="AB151" i="5"/>
  <c r="AB132" i="5"/>
  <c r="AB155" i="5"/>
  <c r="AB41" i="5"/>
  <c r="AB30" i="5"/>
  <c r="AB19" i="5"/>
  <c r="AB112" i="5"/>
  <c r="AB117" i="5"/>
  <c r="AB154" i="5"/>
  <c r="AB29" i="5"/>
  <c r="AB10" i="5"/>
  <c r="AB39" i="5"/>
  <c r="AB81" i="5"/>
  <c r="AB70" i="5"/>
  <c r="AB51" i="5"/>
  <c r="AB80" i="5"/>
  <c r="AB5" i="5"/>
  <c r="AB50" i="5"/>
  <c r="AB79" i="5"/>
  <c r="AB68" i="5"/>
  <c r="AB121" i="5"/>
  <c r="AB118" i="5"/>
  <c r="AB91" i="5"/>
  <c r="AB162" i="5"/>
  <c r="AB16" i="5"/>
  <c r="AB37" i="5"/>
  <c r="AB90" i="5"/>
  <c r="AB119" i="5"/>
  <c r="AB164" i="5"/>
  <c r="AB153" i="5"/>
  <c r="AB150" i="5"/>
  <c r="AB123" i="5"/>
  <c r="AB9" i="5"/>
  <c r="AB157" i="5"/>
  <c r="AB12" i="5"/>
  <c r="AB159" i="5"/>
  <c r="AB140" i="5"/>
  <c r="AB6" i="5"/>
  <c r="AB15" i="5"/>
  <c r="AB163" i="5"/>
  <c r="AB49" i="5"/>
  <c r="AB38" i="5"/>
  <c r="AB27" i="5"/>
  <c r="AB120" i="5"/>
  <c r="AB125" i="5"/>
  <c r="AB98" i="5"/>
  <c r="AB127" i="5"/>
  <c r="AB172" i="5"/>
  <c r="AB18" i="5"/>
  <c r="AB47" i="5"/>
  <c r="AB100" i="5"/>
  <c r="AB89" i="5"/>
  <c r="AB78" i="5"/>
  <c r="AB59" i="5"/>
  <c r="AB152" i="5"/>
  <c r="AB85" i="5"/>
  <c r="AB130" i="5"/>
  <c r="AB87" i="5"/>
  <c r="AB76" i="5"/>
  <c r="AB129" i="5"/>
  <c r="AB126" i="5"/>
  <c r="AB99" i="5"/>
  <c r="AB7" i="5"/>
  <c r="AB133" i="5"/>
  <c r="AB170" i="5"/>
  <c r="AB48" i="5"/>
  <c r="AB53" i="5"/>
  <c r="AB26" i="5"/>
  <c r="AB55" i="5"/>
  <c r="AB108" i="5"/>
  <c r="AB161" i="5"/>
  <c r="AB158" i="5"/>
  <c r="AB4" i="5"/>
  <c r="AB17" i="5"/>
  <c r="AB165" i="5"/>
  <c r="AB24" i="5"/>
  <c r="AB88" i="5"/>
  <c r="AB13" i="5"/>
  <c r="AB66" i="5"/>
  <c r="AB23" i="5"/>
  <c r="AB171" i="5"/>
  <c r="AB65" i="5"/>
  <c r="AB54" i="5"/>
  <c r="AB35" i="5"/>
  <c r="AB128" i="5"/>
  <c r="AB61" i="5"/>
  <c r="AB106" i="5"/>
  <c r="AB135" i="5"/>
  <c r="AB169" i="5"/>
  <c r="AB166" i="5"/>
  <c r="AB28" i="5"/>
  <c r="AB97" i="5"/>
  <c r="AB86" i="5"/>
  <c r="AB131" i="5"/>
  <c r="AB160" i="5"/>
  <c r="AB93" i="5"/>
  <c r="AB138" i="5"/>
  <c r="AB167" i="5"/>
  <c r="AB148" i="5"/>
  <c r="AB137" i="5"/>
  <c r="AB134" i="5"/>
  <c r="AB107" i="5"/>
  <c r="AB8" i="5"/>
  <c r="AB141" i="5"/>
  <c r="AB64" i="5"/>
  <c r="AB20" i="5"/>
  <c r="AB34" i="5"/>
  <c r="AB63" i="5"/>
  <c r="AB52" i="5"/>
  <c r="AB105" i="5"/>
  <c r="AB94" i="5"/>
  <c r="AB139" i="5"/>
  <c r="AB25" i="5"/>
  <c r="AB14" i="5"/>
  <c r="AB67" i="5"/>
  <c r="AB96" i="5"/>
  <c r="AB21" i="5"/>
  <c r="AB74" i="5"/>
  <c r="AB95" i="5"/>
  <c r="AB84" i="5"/>
  <c r="AB73" i="5"/>
  <c r="AB62" i="5"/>
  <c r="AB43" i="5"/>
  <c r="AB136" i="5"/>
  <c r="AB69" i="5"/>
  <c r="AB114" i="5"/>
  <c r="AB143" i="5"/>
  <c r="AB124" i="5"/>
  <c r="AB174" i="5"/>
  <c r="AB147" i="5"/>
  <c r="AB33" i="5"/>
  <c r="AB22" i="5"/>
  <c r="AB75" i="5"/>
  <c r="AB168" i="5"/>
  <c r="AB173" i="5"/>
  <c r="AB3" i="5"/>
  <c r="AB175" i="5"/>
  <c r="AB156" i="5"/>
  <c r="AB2" i="5"/>
  <c r="AB31" i="5"/>
  <c r="AB40" i="5"/>
  <c r="AB149" i="5"/>
  <c r="AB72" i="5"/>
  <c r="AB36" i="5"/>
  <c r="AB42" i="5"/>
  <c r="AB71" i="5"/>
  <c r="AB60" i="5"/>
  <c r="AB113" i="5"/>
  <c r="AB110" i="5"/>
  <c r="AB83" i="5"/>
  <c r="J3" i="3"/>
  <c r="C145" i="5"/>
  <c r="D145" i="1" s="1"/>
  <c r="C144" i="5"/>
  <c r="D144" i="1" s="1"/>
  <c r="C143" i="5"/>
  <c r="C167" i="5"/>
  <c r="D167" i="1" s="1"/>
  <c r="C113" i="5"/>
  <c r="D113" i="1" s="1"/>
  <c r="C84" i="5"/>
  <c r="D84" i="1" s="1"/>
  <c r="C140" i="5"/>
  <c r="D140" i="1" s="1"/>
  <c r="C27" i="5"/>
  <c r="D27" i="1" s="1"/>
  <c r="C116" i="5"/>
  <c r="C45" i="5"/>
  <c r="D45" i="1" s="1"/>
  <c r="C38" i="5"/>
  <c r="D38" i="1" s="1"/>
  <c r="C118" i="5"/>
  <c r="C117" i="5"/>
  <c r="C101" i="5"/>
  <c r="C170" i="5"/>
  <c r="C170" i="24" s="1"/>
  <c r="C128" i="5"/>
  <c r="C130" i="5"/>
  <c r="D130" i="1" s="1"/>
  <c r="C14" i="5"/>
  <c r="D14" i="1" s="1"/>
  <c r="C68" i="5"/>
  <c r="D68" i="1" s="1"/>
  <c r="C103" i="5"/>
  <c r="L140" i="5"/>
  <c r="D140" i="5" s="1"/>
  <c r="E140" i="1" s="1"/>
  <c r="C18" i="5"/>
  <c r="C86" i="5"/>
  <c r="R5" i="5"/>
  <c r="S5" i="5" s="1"/>
  <c r="C76" i="5"/>
  <c r="D76" i="1" s="1"/>
  <c r="C47" i="5"/>
  <c r="C47" i="24" s="1"/>
  <c r="C102" i="5"/>
  <c r="K130" i="5"/>
  <c r="L27" i="5"/>
  <c r="D27" i="5" s="1"/>
  <c r="K170" i="5"/>
  <c r="K27" i="5"/>
  <c r="K18" i="5"/>
  <c r="L76" i="5"/>
  <c r="D76" i="5" s="1"/>
  <c r="L167" i="5"/>
  <c r="D167" i="5" s="1"/>
  <c r="K167" i="5"/>
  <c r="K68" i="5"/>
  <c r="K86" i="5"/>
  <c r="L47" i="5"/>
  <c r="D47" i="5" s="1"/>
  <c r="L68" i="5"/>
  <c r="D68" i="5" s="1"/>
  <c r="K47" i="5"/>
  <c r="K14" i="5"/>
  <c r="L170" i="5"/>
  <c r="K140" i="5"/>
  <c r="L113" i="5"/>
  <c r="D113" i="5" s="1"/>
  <c r="E113" i="1" s="1"/>
  <c r="L86" i="5"/>
  <c r="D86" i="5" s="1"/>
  <c r="E86" i="1" s="1"/>
  <c r="K76" i="5"/>
  <c r="L84" i="5"/>
  <c r="D84" i="5" s="1"/>
  <c r="K84" i="5"/>
  <c r="K45" i="5"/>
  <c r="L38" i="5"/>
  <c r="D38" i="5" s="1"/>
  <c r="E38" i="1" s="1"/>
  <c r="K38" i="5"/>
  <c r="L18" i="5"/>
  <c r="D18" i="5" s="1"/>
  <c r="D18" i="24" s="1"/>
  <c r="L130" i="5"/>
  <c r="D130" i="5" s="1"/>
  <c r="K128" i="5"/>
  <c r="L128" i="5"/>
  <c r="D128" i="5" s="1"/>
  <c r="E128" i="1" s="1"/>
  <c r="L14" i="5"/>
  <c r="D14" i="5" s="1"/>
  <c r="L45" i="5"/>
  <c r="D45" i="5" s="1"/>
  <c r="K113" i="5"/>
  <c r="L98" i="5"/>
  <c r="C35" i="5"/>
  <c r="K51" i="5"/>
  <c r="L173" i="5"/>
  <c r="C24" i="5"/>
  <c r="K5" i="5"/>
  <c r="K138" i="5"/>
  <c r="S133" i="5"/>
  <c r="L129" i="5"/>
  <c r="C41" i="5"/>
  <c r="L105" i="5"/>
  <c r="L160" i="5"/>
  <c r="S120" i="5"/>
  <c r="C54" i="5"/>
  <c r="S102" i="5"/>
  <c r="S63" i="5"/>
  <c r="S49" i="5"/>
  <c r="R55" i="5"/>
  <c r="S55" i="5" s="1"/>
  <c r="S62" i="5"/>
  <c r="S9" i="5"/>
  <c r="L137" i="5"/>
  <c r="S39" i="5"/>
  <c r="K54" i="5"/>
  <c r="C17" i="5"/>
  <c r="K69" i="5"/>
  <c r="K88" i="5"/>
  <c r="K46" i="5"/>
  <c r="K156" i="5"/>
  <c r="K100" i="5"/>
  <c r="C93" i="5"/>
  <c r="K105" i="5"/>
  <c r="C149" i="5"/>
  <c r="S123" i="5"/>
  <c r="S92" i="5"/>
  <c r="K55" i="5"/>
  <c r="L17" i="5"/>
  <c r="K80" i="5"/>
  <c r="K125" i="5"/>
  <c r="L107" i="5"/>
  <c r="K49" i="5"/>
  <c r="L56" i="5"/>
  <c r="D56" i="5" s="1"/>
  <c r="K52" i="5"/>
  <c r="L138" i="5"/>
  <c r="C89" i="5"/>
  <c r="K111" i="5"/>
  <c r="C153" i="5"/>
  <c r="L108" i="5"/>
  <c r="S86" i="5"/>
  <c r="K48" i="5"/>
  <c r="K23" i="5"/>
  <c r="C139" i="5"/>
  <c r="K160" i="5"/>
  <c r="L103" i="5"/>
  <c r="D103" i="5" s="1"/>
  <c r="L157" i="5"/>
  <c r="C158" i="5"/>
  <c r="L25" i="5"/>
  <c r="K162" i="5"/>
  <c r="S116" i="5"/>
  <c r="C2" i="5"/>
  <c r="K4" i="5"/>
  <c r="L39" i="5"/>
  <c r="C148" i="5"/>
  <c r="K161" i="5"/>
  <c r="C90" i="5"/>
  <c r="K141" i="5"/>
  <c r="L65" i="5"/>
  <c r="C175" i="5"/>
  <c r="K15" i="5"/>
  <c r="S70" i="5"/>
  <c r="S76" i="5"/>
  <c r="L15" i="5"/>
  <c r="K53" i="5"/>
  <c r="L26" i="5"/>
  <c r="L12" i="5"/>
  <c r="L117" i="5"/>
  <c r="D117" i="5" s="1"/>
  <c r="C59" i="5"/>
  <c r="L79" i="5"/>
  <c r="L171" i="5"/>
  <c r="K29" i="5"/>
  <c r="S35" i="5"/>
  <c r="S87" i="5"/>
  <c r="L41" i="5"/>
  <c r="C16" i="5"/>
  <c r="K9" i="5"/>
  <c r="K74" i="5"/>
  <c r="C106" i="5"/>
  <c r="C160" i="5"/>
  <c r="C131" i="5"/>
  <c r="R6" i="5"/>
  <c r="S98" i="5"/>
  <c r="K71" i="5"/>
  <c r="C172" i="5"/>
  <c r="K101" i="5"/>
  <c r="C43" i="5"/>
  <c r="K143" i="5"/>
  <c r="L74" i="5"/>
  <c r="C71" i="5"/>
  <c r="K36" i="5"/>
  <c r="K169" i="5"/>
  <c r="K2" i="5"/>
  <c r="L73" i="5"/>
  <c r="L156" i="5"/>
  <c r="L124" i="5"/>
  <c r="L145" i="5"/>
  <c r="D145" i="5" s="1"/>
  <c r="K6" i="5"/>
  <c r="K21" i="5"/>
  <c r="K146" i="5"/>
  <c r="C125" i="5"/>
  <c r="S105" i="5"/>
  <c r="S11" i="5"/>
  <c r="S64" i="5"/>
  <c r="S95" i="5"/>
  <c r="R60" i="5"/>
  <c r="S60" i="5" s="1"/>
  <c r="S51" i="5"/>
  <c r="S8" i="5"/>
  <c r="S96" i="5"/>
  <c r="K75" i="5"/>
  <c r="S68" i="5"/>
  <c r="K72" i="5"/>
  <c r="K28" i="5"/>
  <c r="L7" i="5"/>
  <c r="L9" i="5"/>
  <c r="K77" i="5"/>
  <c r="K112" i="5"/>
  <c r="C99" i="5"/>
  <c r="K129" i="5"/>
  <c r="S41" i="5"/>
  <c r="K122" i="5"/>
  <c r="K126" i="5"/>
  <c r="S47" i="5"/>
  <c r="S81" i="5"/>
  <c r="C33" i="5"/>
  <c r="K10" i="5"/>
  <c r="L29" i="5"/>
  <c r="C73" i="5"/>
  <c r="K137" i="5"/>
  <c r="L121" i="5"/>
  <c r="C152" i="5"/>
  <c r="L174" i="5"/>
  <c r="C4" i="5"/>
  <c r="L42" i="5"/>
  <c r="C74" i="5"/>
  <c r="K92" i="5"/>
  <c r="K60" i="5"/>
  <c r="K164" i="5"/>
  <c r="K103" i="5"/>
  <c r="C95" i="5"/>
  <c r="K135" i="5"/>
  <c r="K166" i="5"/>
  <c r="S88" i="5"/>
  <c r="C31" i="5"/>
  <c r="C64" i="5"/>
  <c r="L34" i="5"/>
  <c r="C28" i="5"/>
  <c r="K168" i="5"/>
  <c r="K104" i="5"/>
  <c r="L109" i="5"/>
  <c r="S25" i="5"/>
  <c r="S137" i="5"/>
  <c r="L21" i="5"/>
  <c r="K96" i="5"/>
  <c r="C5" i="5"/>
  <c r="K62" i="5"/>
  <c r="K172" i="5"/>
  <c r="K106" i="5"/>
  <c r="C96" i="5"/>
  <c r="K165" i="5"/>
  <c r="C94" i="5"/>
  <c r="S80" i="5"/>
  <c r="S22" i="5"/>
  <c r="C69" i="5"/>
  <c r="L37" i="5"/>
  <c r="C32" i="5"/>
  <c r="K147" i="5"/>
  <c r="L85" i="5"/>
  <c r="L136" i="5"/>
  <c r="K61" i="5"/>
  <c r="S127" i="5"/>
  <c r="C3" i="5"/>
  <c r="L54" i="5"/>
  <c r="L120" i="5"/>
  <c r="L59" i="5"/>
  <c r="C80" i="5"/>
  <c r="C137" i="5"/>
  <c r="C53" i="5"/>
  <c r="S14" i="5"/>
  <c r="K152" i="5"/>
  <c r="S82" i="5"/>
  <c r="C154" i="5"/>
  <c r="S28" i="5"/>
  <c r="S107" i="5"/>
  <c r="C168" i="5"/>
  <c r="S26" i="5"/>
  <c r="K85" i="5"/>
  <c r="K26" i="5"/>
  <c r="C29" i="5"/>
  <c r="L72" i="5"/>
  <c r="K124" i="5"/>
  <c r="C107" i="5"/>
  <c r="L92" i="5"/>
  <c r="S117" i="5"/>
  <c r="S43" i="5"/>
  <c r="K91" i="5"/>
  <c r="L48" i="5"/>
  <c r="K39" i="5"/>
  <c r="C85" i="5"/>
  <c r="L152" i="5"/>
  <c r="L127" i="5"/>
  <c r="L61" i="5"/>
  <c r="L175" i="5"/>
  <c r="L163" i="5"/>
  <c r="K58" i="5"/>
  <c r="C36" i="5"/>
  <c r="C15" i="5"/>
  <c r="K12" i="5"/>
  <c r="K83" i="5"/>
  <c r="K115" i="5"/>
  <c r="L101" i="5"/>
  <c r="D101" i="5" s="1"/>
  <c r="K70" i="5"/>
  <c r="K110" i="5"/>
  <c r="S91" i="5"/>
  <c r="C60" i="5"/>
  <c r="K116" i="5"/>
  <c r="L115" i="5"/>
  <c r="K142" i="5"/>
  <c r="C166" i="5"/>
  <c r="S32" i="5"/>
  <c r="S34" i="5"/>
  <c r="K16" i="5"/>
  <c r="L66" i="5"/>
  <c r="K118" i="5"/>
  <c r="C104" i="5"/>
  <c r="K117" i="5"/>
  <c r="K158" i="5"/>
  <c r="S130" i="5"/>
  <c r="S21" i="5"/>
  <c r="L46" i="5"/>
  <c r="C9" i="5"/>
  <c r="K64" i="5"/>
  <c r="K65" i="5"/>
  <c r="L149" i="5"/>
  <c r="L91" i="5"/>
  <c r="C82" i="5"/>
  <c r="S38" i="5"/>
  <c r="L70" i="5"/>
  <c r="K40" i="5"/>
  <c r="L32" i="5"/>
  <c r="L132" i="5"/>
  <c r="C92" i="5"/>
  <c r="L144" i="5"/>
  <c r="D144" i="5" s="1"/>
  <c r="L142" i="5"/>
  <c r="S94" i="5"/>
  <c r="S84" i="5"/>
  <c r="L135" i="5"/>
  <c r="C121" i="5"/>
  <c r="K90" i="5"/>
  <c r="K33" i="5"/>
  <c r="L4" i="5"/>
  <c r="K67" i="5"/>
  <c r="L146" i="5"/>
  <c r="C12" i="5"/>
  <c r="R12" i="5"/>
  <c r="S12" i="5" s="1"/>
  <c r="S48" i="5"/>
  <c r="S13" i="5"/>
  <c r="S106" i="5"/>
  <c r="AJ3" i="25"/>
  <c r="S53" i="5"/>
  <c r="R15" i="5"/>
  <c r="S15" i="5" s="1"/>
  <c r="S61" i="5"/>
  <c r="C70" i="5"/>
  <c r="L53" i="5"/>
  <c r="S79" i="5"/>
  <c r="S67" i="5"/>
  <c r="K57" i="5"/>
  <c r="C46" i="5"/>
  <c r="K136" i="5"/>
  <c r="C120" i="5"/>
  <c r="C173" i="5"/>
  <c r="K163" i="5"/>
  <c r="L71" i="5"/>
  <c r="L125" i="5"/>
  <c r="S20" i="5"/>
  <c r="S44" i="5"/>
  <c r="C97" i="5"/>
  <c r="L150" i="5"/>
  <c r="L133" i="5"/>
  <c r="K157" i="5"/>
  <c r="C50" i="5"/>
  <c r="L75" i="5"/>
  <c r="K127" i="5"/>
  <c r="C108" i="5"/>
  <c r="K174" i="5"/>
  <c r="K155" i="5"/>
  <c r="L131" i="5"/>
  <c r="S113" i="5"/>
  <c r="L60" i="5"/>
  <c r="K20" i="5"/>
  <c r="K94" i="5"/>
  <c r="L155" i="5"/>
  <c r="L122" i="5"/>
  <c r="C171" i="5"/>
  <c r="L43" i="5"/>
  <c r="S90" i="5"/>
  <c r="S71" i="5"/>
  <c r="C52" i="5"/>
  <c r="L31" i="5"/>
  <c r="L33" i="5"/>
  <c r="L78" i="5"/>
  <c r="C110" i="5"/>
  <c r="L169" i="5"/>
  <c r="S85" i="5"/>
  <c r="K98" i="5"/>
  <c r="S72" i="5"/>
  <c r="S114" i="5"/>
  <c r="C66" i="5"/>
  <c r="L3" i="5"/>
  <c r="L5" i="5"/>
  <c r="K107" i="5"/>
  <c r="L97" i="5"/>
  <c r="K120" i="5"/>
  <c r="C161" i="5"/>
  <c r="C163" i="5"/>
  <c r="S135" i="5"/>
  <c r="C49" i="5"/>
  <c r="C13" i="5"/>
  <c r="K42" i="5"/>
  <c r="K150" i="5"/>
  <c r="K97" i="5"/>
  <c r="C98" i="5"/>
  <c r="K99" i="5"/>
  <c r="S59" i="5"/>
  <c r="S101" i="5"/>
  <c r="S83" i="5"/>
  <c r="L11" i="5"/>
  <c r="L126" i="5"/>
  <c r="C146" i="5"/>
  <c r="L106" i="5"/>
  <c r="K73" i="5"/>
  <c r="L93" i="5"/>
  <c r="S17" i="5"/>
  <c r="S50" i="5"/>
  <c r="S100" i="5"/>
  <c r="S10" i="5"/>
  <c r="S99" i="5"/>
  <c r="S58" i="5"/>
  <c r="S125" i="5"/>
  <c r="K151" i="5"/>
  <c r="K102" i="5"/>
  <c r="S40" i="5"/>
  <c r="S69" i="5"/>
  <c r="K25" i="5"/>
  <c r="K87" i="5"/>
  <c r="K78" i="5"/>
  <c r="K63" i="5"/>
  <c r="L96" i="5"/>
  <c r="K148" i="5"/>
  <c r="C126" i="5"/>
  <c r="K145" i="5"/>
  <c r="L162" i="5"/>
  <c r="S119" i="5"/>
  <c r="S37" i="5"/>
  <c r="C30" i="5"/>
  <c r="K89" i="5"/>
  <c r="K81" i="5"/>
  <c r="C8" i="5"/>
  <c r="L111" i="5"/>
  <c r="L168" i="5"/>
  <c r="L82" i="5"/>
  <c r="L139" i="5"/>
  <c r="K108" i="5"/>
  <c r="K173" i="5"/>
  <c r="S78" i="5"/>
  <c r="K93" i="5"/>
  <c r="K59" i="5"/>
  <c r="L49" i="5"/>
  <c r="L40" i="5"/>
  <c r="L87" i="5"/>
  <c r="K139" i="5"/>
  <c r="C114" i="5"/>
  <c r="L141" i="5"/>
  <c r="C162" i="5"/>
  <c r="L166" i="5"/>
  <c r="L28" i="5"/>
  <c r="S27" i="5"/>
  <c r="C40" i="5"/>
  <c r="C19" i="5"/>
  <c r="L13" i="5"/>
  <c r="C88" i="5"/>
  <c r="L77" i="5"/>
  <c r="L134" i="5"/>
  <c r="C65" i="5"/>
  <c r="C133" i="5"/>
  <c r="S31" i="5"/>
  <c r="S36" i="5"/>
  <c r="L62" i="5"/>
  <c r="K66" i="5"/>
  <c r="C48" i="5"/>
  <c r="L90" i="5"/>
  <c r="L143" i="5"/>
  <c r="D143" i="5" s="1"/>
  <c r="L116" i="5"/>
  <c r="L80" i="5"/>
  <c r="S136" i="5"/>
  <c r="S131" i="5"/>
  <c r="C44" i="5"/>
  <c r="C23" i="5"/>
  <c r="C21" i="5"/>
  <c r="C67" i="5"/>
  <c r="K119" i="5"/>
  <c r="L104" i="5"/>
  <c r="C147" i="5"/>
  <c r="S134" i="5"/>
  <c r="L147" i="5"/>
  <c r="S112" i="5"/>
  <c r="K24" i="5"/>
  <c r="K109" i="5"/>
  <c r="C105" i="5"/>
  <c r="K123" i="5"/>
  <c r="L161" i="5"/>
  <c r="S56" i="5"/>
  <c r="C155" i="5"/>
  <c r="K41" i="5"/>
  <c r="L100" i="5"/>
  <c r="C37" i="5"/>
  <c r="L95" i="5"/>
  <c r="C135" i="5"/>
  <c r="S77" i="5"/>
  <c r="S129" i="5"/>
  <c r="S109" i="5"/>
  <c r="S108" i="5"/>
  <c r="S110" i="5"/>
  <c r="S104" i="5"/>
  <c r="S103" i="5"/>
  <c r="S7" i="5"/>
  <c r="S16" i="5"/>
  <c r="S111" i="5"/>
  <c r="S118" i="5"/>
  <c r="C61" i="5"/>
  <c r="K171" i="5"/>
  <c r="S126" i="5"/>
  <c r="K44" i="5"/>
  <c r="C20" i="5"/>
  <c r="K13" i="5"/>
  <c r="C109" i="5"/>
  <c r="L164" i="5"/>
  <c r="C75" i="5"/>
  <c r="C132" i="5"/>
  <c r="C151" i="5"/>
  <c r="K8" i="5"/>
  <c r="S45" i="5"/>
  <c r="C11" i="5"/>
  <c r="L20" i="5"/>
  <c r="K19" i="5"/>
  <c r="C124" i="5"/>
  <c r="C142" i="5"/>
  <c r="L88" i="5"/>
  <c r="L148" i="5"/>
  <c r="K132" i="5"/>
  <c r="L165" i="5"/>
  <c r="S23" i="5"/>
  <c r="S124" i="5"/>
  <c r="K3" i="5"/>
  <c r="L99" i="5"/>
  <c r="L151" i="5"/>
  <c r="C122" i="5"/>
  <c r="L159" i="5"/>
  <c r="K175" i="5"/>
  <c r="L10" i="5"/>
  <c r="S73" i="5"/>
  <c r="S115" i="5"/>
  <c r="K95" i="5"/>
  <c r="L50" i="5"/>
  <c r="K30" i="5"/>
  <c r="K32" i="5"/>
  <c r="C100" i="5"/>
  <c r="K153" i="5"/>
  <c r="L83" i="5"/>
  <c r="C164" i="5"/>
  <c r="C157" i="5"/>
  <c r="S33" i="5"/>
  <c r="S121" i="5"/>
  <c r="K79" i="5"/>
  <c r="K7" i="5"/>
  <c r="L6" i="5"/>
  <c r="C72" i="5"/>
  <c r="L102" i="5"/>
  <c r="D102" i="5" s="1"/>
  <c r="L154" i="5"/>
  <c r="C159" i="5"/>
  <c r="C123" i="5"/>
  <c r="L158" i="5"/>
  <c r="K56" i="5"/>
  <c r="L119" i="5"/>
  <c r="S93" i="5"/>
  <c r="S24" i="5"/>
  <c r="C6" i="5"/>
  <c r="K34" i="5"/>
  <c r="C79" i="5"/>
  <c r="K131" i="5"/>
  <c r="L110" i="5"/>
  <c r="C165" i="5"/>
  <c r="L112" i="5"/>
  <c r="S132" i="5"/>
  <c r="K82" i="5"/>
  <c r="L44" i="5"/>
  <c r="L23" i="5"/>
  <c r="C25" i="5"/>
  <c r="L69" i="5"/>
  <c r="K121" i="5"/>
  <c r="C111" i="5"/>
  <c r="K149" i="5"/>
  <c r="S4" i="5"/>
  <c r="S19" i="5"/>
  <c r="S97" i="5"/>
  <c r="C87" i="5"/>
  <c r="C150" i="5"/>
  <c r="L22" i="5"/>
  <c r="C83" i="5"/>
  <c r="S30" i="5"/>
  <c r="C127" i="5"/>
  <c r="S29" i="5"/>
  <c r="S18" i="5"/>
  <c r="S57" i="5"/>
  <c r="R65" i="5"/>
  <c r="S65" i="5" s="1"/>
  <c r="S54" i="5"/>
  <c r="S52" i="5"/>
  <c r="C51" i="5"/>
  <c r="S42" i="5"/>
  <c r="L19" i="5"/>
  <c r="L58" i="5"/>
  <c r="D58" i="5" s="1"/>
  <c r="K31" i="5"/>
  <c r="L30" i="5"/>
  <c r="L16" i="5"/>
  <c r="L123" i="5"/>
  <c r="C63" i="5"/>
  <c r="C81" i="5"/>
  <c r="C138" i="5"/>
  <c r="C55" i="5"/>
  <c r="S66" i="5"/>
  <c r="K22" i="5"/>
  <c r="C39" i="5"/>
  <c r="L35" i="5"/>
  <c r="C136" i="5"/>
  <c r="L153" i="5"/>
  <c r="L94" i="5"/>
  <c r="K154" i="5"/>
  <c r="S122" i="5"/>
  <c r="L2" i="5"/>
  <c r="C34" i="5"/>
  <c r="C22" i="5"/>
  <c r="L8" i="5"/>
  <c r="C112" i="5"/>
  <c r="L172" i="5"/>
  <c r="C77" i="5"/>
  <c r="C134" i="5"/>
  <c r="L63" i="5"/>
  <c r="L36" i="5"/>
  <c r="S75" i="5"/>
  <c r="S74" i="5"/>
  <c r="K17" i="5"/>
  <c r="C62" i="5"/>
  <c r="L51" i="5"/>
  <c r="K43" i="5"/>
  <c r="L114" i="5"/>
  <c r="L55" i="5"/>
  <c r="L89" i="5"/>
  <c r="K114" i="5"/>
  <c r="C7" i="5"/>
  <c r="K134" i="5"/>
  <c r="S128" i="5"/>
  <c r="S138" i="5"/>
  <c r="K50" i="5"/>
  <c r="L24" i="5"/>
  <c r="C26" i="5"/>
  <c r="K11" i="5"/>
  <c r="C115" i="5"/>
  <c r="L57" i="5"/>
  <c r="D57" i="5" s="1"/>
  <c r="C78" i="5"/>
  <c r="C129" i="5"/>
  <c r="C174" i="5"/>
  <c r="C42" i="5"/>
  <c r="C156" i="5"/>
  <c r="S139" i="5"/>
  <c r="S89" i="5"/>
  <c r="L67" i="5"/>
  <c r="L64" i="5"/>
  <c r="L52" i="5"/>
  <c r="C91" i="5"/>
  <c r="C141" i="5"/>
  <c r="K144" i="5"/>
  <c r="L118" i="5"/>
  <c r="D118" i="5" s="1"/>
  <c r="K159" i="5"/>
  <c r="S46" i="5"/>
  <c r="C10" i="5"/>
  <c r="K37" i="5"/>
  <c r="K35" i="5"/>
  <c r="L81" i="5"/>
  <c r="K133" i="5"/>
  <c r="C119" i="5"/>
  <c r="C169" i="5"/>
  <c r="F27" i="1" l="1"/>
  <c r="F163" i="1"/>
  <c r="F135" i="1"/>
  <c r="F157" i="1"/>
  <c r="F161" i="1"/>
  <c r="F33" i="1"/>
  <c r="F132" i="1"/>
  <c r="F54" i="1"/>
  <c r="F83" i="1"/>
  <c r="F79" i="1"/>
  <c r="F122" i="1"/>
  <c r="F106" i="1"/>
  <c r="F63" i="1"/>
  <c r="AC142" i="5"/>
  <c r="F130" i="1"/>
  <c r="AC98" i="5"/>
  <c r="F136" i="1"/>
  <c r="AC26" i="5"/>
  <c r="AC80" i="5"/>
  <c r="F125" i="1"/>
  <c r="F123" i="1"/>
  <c r="F110" i="1"/>
  <c r="F169" i="1"/>
  <c r="AC123" i="5"/>
  <c r="AC134" i="5"/>
  <c r="C186" i="5"/>
  <c r="D186" i="1" s="1"/>
  <c r="F60" i="1"/>
  <c r="F146" i="1"/>
  <c r="F15" i="1"/>
  <c r="F142" i="1"/>
  <c r="F127" i="1"/>
  <c r="AC44" i="5"/>
  <c r="AC74" i="5"/>
  <c r="AC9" i="5"/>
  <c r="F86" i="1"/>
  <c r="AC63" i="5"/>
  <c r="AC79" i="5"/>
  <c r="F126" i="1"/>
  <c r="F98" i="1"/>
  <c r="F75" i="1"/>
  <c r="W26" i="1" s="1"/>
  <c r="AK26" i="1" s="1"/>
  <c r="AC65" i="5"/>
  <c r="AC152" i="5"/>
  <c r="AC56" i="5"/>
  <c r="AC133" i="5"/>
  <c r="AC27" i="5"/>
  <c r="AC111" i="5"/>
  <c r="C180" i="5"/>
  <c r="D180" i="1" s="1"/>
  <c r="F50" i="1"/>
  <c r="W18" i="1" s="1"/>
  <c r="AK18" i="1" s="1"/>
  <c r="AC60" i="5"/>
  <c r="F81" i="1"/>
  <c r="AC48" i="5"/>
  <c r="AC114" i="5"/>
  <c r="AC78" i="5"/>
  <c r="F95" i="1"/>
  <c r="F97" i="1"/>
  <c r="F155" i="1"/>
  <c r="W53" i="1" s="1"/>
  <c r="AK53" i="1" s="1"/>
  <c r="AC129" i="5"/>
  <c r="F30" i="1"/>
  <c r="AC36" i="5"/>
  <c r="AC120" i="5"/>
  <c r="AC110" i="5"/>
  <c r="C185" i="5"/>
  <c r="D185" i="1" s="1"/>
  <c r="AC130" i="5"/>
  <c r="AC47" i="5"/>
  <c r="K185" i="5"/>
  <c r="F3" i="1"/>
  <c r="W2" i="1" s="1"/>
  <c r="AK2" i="1" s="1"/>
  <c r="F29" i="1"/>
  <c r="AC34" i="5"/>
  <c r="AC90" i="5"/>
  <c r="AC49" i="5"/>
  <c r="AC8" i="5"/>
  <c r="AC108" i="5"/>
  <c r="F140" i="1"/>
  <c r="W48" i="1" s="1"/>
  <c r="AK48" i="1" s="1"/>
  <c r="AC163" i="5"/>
  <c r="F183" i="1"/>
  <c r="AC180" i="5"/>
  <c r="AC30" i="5"/>
  <c r="AC50" i="5"/>
  <c r="AC51" i="5"/>
  <c r="AC183" i="5"/>
  <c r="F180" i="1"/>
  <c r="F109" i="1"/>
  <c r="W37" i="1" s="1"/>
  <c r="AK37" i="1" s="1"/>
  <c r="AC69" i="5"/>
  <c r="F36" i="1"/>
  <c r="W13" i="1" s="1"/>
  <c r="AK13" i="1" s="1"/>
  <c r="AC40" i="5"/>
  <c r="AC109" i="5"/>
  <c r="AC52" i="5"/>
  <c r="AC150" i="5"/>
  <c r="AC32" i="5"/>
  <c r="AC101" i="5"/>
  <c r="AC119" i="5"/>
  <c r="AC73" i="5"/>
  <c r="C183" i="5"/>
  <c r="D183" i="1" s="1"/>
  <c r="AC185" i="5"/>
  <c r="AC107" i="5"/>
  <c r="AC58" i="5"/>
  <c r="AC97" i="5"/>
  <c r="AC75" i="5"/>
  <c r="F133" i="1"/>
  <c r="AC83" i="5"/>
  <c r="AC13" i="5"/>
  <c r="AC38" i="5"/>
  <c r="AC112" i="5"/>
  <c r="AC77" i="5"/>
  <c r="AC35" i="5"/>
  <c r="AC64" i="5"/>
  <c r="F152" i="1"/>
  <c r="AC66" i="5"/>
  <c r="AC100" i="5"/>
  <c r="AC128" i="5"/>
  <c r="F16" i="1"/>
  <c r="F159" i="1"/>
  <c r="W54" i="1" s="1"/>
  <c r="AK54" i="1" s="1"/>
  <c r="F165" i="1"/>
  <c r="W56" i="1" s="1"/>
  <c r="AK56" i="1" s="1"/>
  <c r="AC147" i="5"/>
  <c r="AC6" i="5"/>
  <c r="AC3" i="5"/>
  <c r="AC16" i="5"/>
  <c r="AC70" i="5"/>
  <c r="AC175" i="5"/>
  <c r="AC135" i="5"/>
  <c r="F43" i="1"/>
  <c r="F144" i="1"/>
  <c r="W49" i="1" s="1"/>
  <c r="AK49" i="1" s="1"/>
  <c r="F17" i="1"/>
  <c r="W7" i="1" s="1"/>
  <c r="AK7" i="1" s="1"/>
  <c r="F173" i="1"/>
  <c r="W59" i="1" s="1"/>
  <c r="AK59" i="1" s="1"/>
  <c r="AC131" i="5"/>
  <c r="AC53" i="5"/>
  <c r="AC164" i="5"/>
  <c r="AC174" i="5"/>
  <c r="AC12" i="5"/>
  <c r="AC68" i="5"/>
  <c r="F42" i="1"/>
  <c r="F58" i="1"/>
  <c r="AC96" i="5"/>
  <c r="AC28" i="5"/>
  <c r="AC157" i="5"/>
  <c r="AC160" i="5"/>
  <c r="AC88" i="5"/>
  <c r="AC91" i="5"/>
  <c r="AC39" i="5"/>
  <c r="AC115" i="5"/>
  <c r="AC154" i="5"/>
  <c r="AC10" i="5"/>
  <c r="AC156" i="5"/>
  <c r="AC155" i="5"/>
  <c r="F55" i="1"/>
  <c r="F172" i="1"/>
  <c r="W58" i="1" s="1"/>
  <c r="AK58" i="1" s="1"/>
  <c r="F112" i="1"/>
  <c r="W38" i="1" s="1"/>
  <c r="AK38" i="1" s="1"/>
  <c r="AC94" i="5"/>
  <c r="F128" i="1"/>
  <c r="AC29" i="5"/>
  <c r="AC23" i="5"/>
  <c r="AC76" i="5"/>
  <c r="AC170" i="5"/>
  <c r="AC173" i="5"/>
  <c r="AC124" i="5"/>
  <c r="AC148" i="5"/>
  <c r="AC2" i="5"/>
  <c r="AC92" i="5"/>
  <c r="F153" i="1"/>
  <c r="F99" i="1"/>
  <c r="W34" i="1" s="1"/>
  <c r="AK34" i="1" s="1"/>
  <c r="F5" i="1"/>
  <c r="W3" i="1" s="1"/>
  <c r="AK3" i="1" s="1"/>
  <c r="AC136" i="5"/>
  <c r="AC149" i="5"/>
  <c r="AC84" i="5"/>
  <c r="AC11" i="5"/>
  <c r="AC82" i="5"/>
  <c r="AC172" i="5"/>
  <c r="AC117" i="5"/>
  <c r="AC159" i="5"/>
  <c r="AC187" i="5"/>
  <c r="F14" i="1"/>
  <c r="F121" i="1"/>
  <c r="F56" i="1"/>
  <c r="AC113" i="5"/>
  <c r="AC145" i="5"/>
  <c r="AC41" i="5"/>
  <c r="AC59" i="5"/>
  <c r="AC153" i="5"/>
  <c r="AC143" i="5"/>
  <c r="AC106" i="5"/>
  <c r="AC116" i="5"/>
  <c r="F88" i="1"/>
  <c r="W30" i="1" s="1"/>
  <c r="AK30" i="1" s="1"/>
  <c r="AC31" i="5"/>
  <c r="AC25" i="5"/>
  <c r="AC102" i="5"/>
  <c r="F168" i="1"/>
  <c r="W57" i="1" s="1"/>
  <c r="AK57" i="1" s="1"/>
  <c r="AC151" i="5"/>
  <c r="AC4" i="5"/>
  <c r="AC162" i="5"/>
  <c r="AC54" i="5"/>
  <c r="AC61" i="5"/>
  <c r="AC103" i="5"/>
  <c r="AC144" i="5"/>
  <c r="AC121" i="5"/>
  <c r="AC33" i="5"/>
  <c r="AC169" i="5"/>
  <c r="C184" i="5"/>
  <c r="D184" i="1" s="1"/>
  <c r="AC67" i="5"/>
  <c r="AC43" i="5"/>
  <c r="AC184" i="5"/>
  <c r="AC42" i="5"/>
  <c r="AC37" i="5"/>
  <c r="AC105" i="5"/>
  <c r="AC57" i="5"/>
  <c r="AC86" i="5"/>
  <c r="AC161" i="5"/>
  <c r="AC99" i="5"/>
  <c r="F71" i="1"/>
  <c r="W25" i="1" s="1"/>
  <c r="AK25" i="1" s="1"/>
  <c r="C178" i="5"/>
  <c r="D178" i="1" s="1"/>
  <c r="F186" i="1"/>
  <c r="AC168" i="5"/>
  <c r="C179" i="5"/>
  <c r="D179" i="1" s="1"/>
  <c r="F184" i="1"/>
  <c r="AC126" i="5"/>
  <c r="AC182" i="5"/>
  <c r="D5" i="6"/>
  <c r="AC15" i="5"/>
  <c r="AC177" i="5"/>
  <c r="AC85" i="5"/>
  <c r="AC71" i="5"/>
  <c r="F182" i="1"/>
  <c r="C176" i="5"/>
  <c r="D176" i="1" s="1"/>
  <c r="AC167" i="5"/>
  <c r="AC122" i="5"/>
  <c r="AC7" i="5"/>
  <c r="AC158" i="5"/>
  <c r="AC19" i="5"/>
  <c r="C182" i="5"/>
  <c r="D182" i="1" s="1"/>
  <c r="AC146" i="5"/>
  <c r="AC62" i="5"/>
  <c r="AC24" i="5"/>
  <c r="AC93" i="5"/>
  <c r="AC125" i="5"/>
  <c r="C187" i="5"/>
  <c r="D187" i="1" s="1"/>
  <c r="AC179" i="5"/>
  <c r="AC176" i="5"/>
  <c r="AC14" i="5"/>
  <c r="AC166" i="5"/>
  <c r="AC17" i="5"/>
  <c r="AC181" i="5"/>
  <c r="K183" i="5"/>
  <c r="F187" i="1"/>
  <c r="AC186" i="5"/>
  <c r="AC72" i="5"/>
  <c r="K186" i="5"/>
  <c r="C177" i="5"/>
  <c r="D177" i="1" s="1"/>
  <c r="AC178" i="5"/>
  <c r="AC132" i="5"/>
  <c r="L182" i="5"/>
  <c r="D182" i="5" s="1"/>
  <c r="E182" i="1" s="1"/>
  <c r="F181" i="1"/>
  <c r="L176" i="5"/>
  <c r="D176" i="5" s="1"/>
  <c r="E176" i="1" s="1"/>
  <c r="F179" i="1"/>
  <c r="F176" i="1"/>
  <c r="W60" i="1" s="1"/>
  <c r="AC118" i="5"/>
  <c r="AC127" i="5"/>
  <c r="E4" i="6"/>
  <c r="H3" i="6" s="1"/>
  <c r="K3" i="6" s="1"/>
  <c r="K179" i="5"/>
  <c r="F177" i="1"/>
  <c r="F178" i="1"/>
  <c r="AC5" i="5"/>
  <c r="C181" i="5"/>
  <c r="D181" i="1" s="1"/>
  <c r="K187" i="5"/>
  <c r="L180" i="5"/>
  <c r="D180" i="5" s="1"/>
  <c r="E180" i="1" s="1"/>
  <c r="X180" i="1" s="1"/>
  <c r="Z61" i="1" s="1"/>
  <c r="AC61" i="1" s="1"/>
  <c r="L187" i="5"/>
  <c r="D187" i="5" s="1"/>
  <c r="E187" i="1" s="1"/>
  <c r="L186" i="5"/>
  <c r="D186" i="5" s="1"/>
  <c r="E186" i="1" s="1"/>
  <c r="AC46" i="5"/>
  <c r="E6" i="6"/>
  <c r="J3" i="6" s="1"/>
  <c r="M3" i="6" s="1"/>
  <c r="K177" i="5"/>
  <c r="L178" i="5"/>
  <c r="D178" i="5" s="1"/>
  <c r="E178" i="1" s="1"/>
  <c r="K180" i="5"/>
  <c r="K176" i="5"/>
  <c r="L177" i="5"/>
  <c r="D177" i="5" s="1"/>
  <c r="E177" i="1" s="1"/>
  <c r="D6" i="6"/>
  <c r="K178" i="5"/>
  <c r="L185" i="5"/>
  <c r="D185" i="5" s="1"/>
  <c r="E185" i="1" s="1"/>
  <c r="X185" i="1" s="1"/>
  <c r="Y63" i="1" s="1"/>
  <c r="L183" i="5"/>
  <c r="D183" i="5" s="1"/>
  <c r="E183" i="1" s="1"/>
  <c r="X183" i="1" s="1"/>
  <c r="Z62" i="1" s="1"/>
  <c r="K182" i="5"/>
  <c r="L181" i="5"/>
  <c r="D181" i="5" s="1"/>
  <c r="E181" i="1" s="1"/>
  <c r="E5" i="6"/>
  <c r="I3" i="6" s="1"/>
  <c r="L3" i="6" s="1"/>
  <c r="L179" i="5"/>
  <c r="D179" i="5" s="1"/>
  <c r="E179" i="1" s="1"/>
  <c r="K184" i="5"/>
  <c r="L184" i="5"/>
  <c r="D184" i="5" s="1"/>
  <c r="E184" i="1" s="1"/>
  <c r="K181" i="5"/>
  <c r="D4" i="6"/>
  <c r="R19" i="34"/>
  <c r="W28" i="1"/>
  <c r="AK28" i="1" s="1"/>
  <c r="W44" i="1"/>
  <c r="AK44" i="1" s="1"/>
  <c r="W27" i="1"/>
  <c r="AK27" i="1" s="1"/>
  <c r="W16" i="1"/>
  <c r="AK16" i="1" s="1"/>
  <c r="W43" i="1"/>
  <c r="AK43" i="1" s="1"/>
  <c r="W45" i="1"/>
  <c r="AK45" i="1" s="1"/>
  <c r="W4" i="1"/>
  <c r="AK4" i="1" s="1"/>
  <c r="W29" i="1"/>
  <c r="AK29" i="1" s="1"/>
  <c r="W21" i="1"/>
  <c r="AK21" i="1" s="1"/>
  <c r="W55" i="1"/>
  <c r="AK55" i="1" s="1"/>
  <c r="W17" i="1"/>
  <c r="AK17" i="1" s="1"/>
  <c r="W9" i="1"/>
  <c r="AK9" i="1" s="1"/>
  <c r="W36" i="1"/>
  <c r="AK36" i="1" s="1"/>
  <c r="W46" i="1"/>
  <c r="AK46" i="1" s="1"/>
  <c r="W47" i="1"/>
  <c r="AK47" i="1" s="1"/>
  <c r="W42" i="1"/>
  <c r="AK42" i="1" s="1"/>
  <c r="W23" i="1"/>
  <c r="AK23" i="1" s="1"/>
  <c r="W39" i="1"/>
  <c r="AK39" i="1" s="1"/>
  <c r="W31" i="1"/>
  <c r="AK31" i="1" s="1"/>
  <c r="W32" i="1"/>
  <c r="AK32" i="1" s="1"/>
  <c r="W14" i="1"/>
  <c r="AK14" i="1" s="1"/>
  <c r="W50" i="1"/>
  <c r="AK50" i="1" s="1"/>
  <c r="W12" i="1"/>
  <c r="AK12" i="1" s="1"/>
  <c r="W51" i="1"/>
  <c r="AK51" i="1" s="1"/>
  <c r="W40" i="1"/>
  <c r="AK40" i="1" s="1"/>
  <c r="W22" i="1"/>
  <c r="AK22" i="1" s="1"/>
  <c r="W41" i="1"/>
  <c r="AK41" i="1" s="1"/>
  <c r="W8" i="1"/>
  <c r="AK8" i="1" s="1"/>
  <c r="W10" i="1"/>
  <c r="AK10" i="1" s="1"/>
  <c r="W5" i="1"/>
  <c r="AK5" i="1" s="1"/>
  <c r="W24" i="1"/>
  <c r="AK24" i="1" s="1"/>
  <c r="W15" i="1"/>
  <c r="AK15" i="1" s="1"/>
  <c r="W35" i="1"/>
  <c r="AK35" i="1" s="1"/>
  <c r="W6" i="1"/>
  <c r="AK6" i="1" s="1"/>
  <c r="D56" i="1"/>
  <c r="C57" i="24"/>
  <c r="D58" i="1"/>
  <c r="C58" i="24"/>
  <c r="E58" i="1"/>
  <c r="D58" i="24"/>
  <c r="E56" i="1"/>
  <c r="D56" i="24"/>
  <c r="E57" i="1"/>
  <c r="D57" i="24"/>
  <c r="Q66" i="22"/>
  <c r="N22" i="34"/>
  <c r="R20" i="34"/>
  <c r="C167" i="24"/>
  <c r="C84" i="24"/>
  <c r="C68" i="24"/>
  <c r="C27" i="24"/>
  <c r="D47" i="1"/>
  <c r="C145" i="24"/>
  <c r="D8" i="55"/>
  <c r="D29" i="55"/>
  <c r="D50" i="55"/>
  <c r="D36" i="55"/>
  <c r="D15" i="55"/>
  <c r="D43" i="55"/>
  <c r="D22" i="55"/>
  <c r="C144" i="24"/>
  <c r="D143" i="1"/>
  <c r="C143" i="24"/>
  <c r="D170" i="1"/>
  <c r="C113" i="24"/>
  <c r="N20" i="34"/>
  <c r="N19" i="34"/>
  <c r="C14" i="24"/>
  <c r="E143" i="1"/>
  <c r="D143" i="24"/>
  <c r="E145" i="1"/>
  <c r="D145" i="24"/>
  <c r="E144" i="1"/>
  <c r="D144" i="24"/>
  <c r="C45" i="24"/>
  <c r="D140" i="24"/>
  <c r="C76" i="24"/>
  <c r="C130" i="24"/>
  <c r="D128" i="24"/>
  <c r="C38" i="24"/>
  <c r="D117" i="1"/>
  <c r="C117" i="24"/>
  <c r="D118" i="1"/>
  <c r="C118" i="24"/>
  <c r="D116" i="1"/>
  <c r="C116" i="24"/>
  <c r="J5" i="3"/>
  <c r="C140" i="24"/>
  <c r="J24" i="3"/>
  <c r="E118" i="1"/>
  <c r="D118" i="24"/>
  <c r="E117" i="1"/>
  <c r="D117" i="24"/>
  <c r="D116" i="5"/>
  <c r="D103" i="1"/>
  <c r="C103" i="24"/>
  <c r="D86" i="1"/>
  <c r="C86" i="24"/>
  <c r="D128" i="1"/>
  <c r="C128" i="24"/>
  <c r="D18" i="1"/>
  <c r="C18" i="24"/>
  <c r="D102" i="1"/>
  <c r="C102" i="24"/>
  <c r="D101" i="1"/>
  <c r="C101" i="24"/>
  <c r="D86" i="24"/>
  <c r="D113" i="24"/>
  <c r="E103" i="1"/>
  <c r="D103" i="24"/>
  <c r="E102" i="1"/>
  <c r="D102" i="24"/>
  <c r="E101" i="1"/>
  <c r="D101" i="24"/>
  <c r="D38" i="24"/>
  <c r="D170" i="5"/>
  <c r="D170" i="24" s="1"/>
  <c r="D21" i="55"/>
  <c r="D35" i="55"/>
  <c r="D28" i="55"/>
  <c r="D14" i="55"/>
  <c r="D49" i="55"/>
  <c r="D7" i="55"/>
  <c r="D42" i="55"/>
  <c r="E18" i="1"/>
  <c r="J59" i="3"/>
  <c r="J57" i="3"/>
  <c r="J21" i="3"/>
  <c r="J108" i="3"/>
  <c r="J19" i="3"/>
  <c r="J124" i="3"/>
  <c r="J35" i="3"/>
  <c r="J42" i="3"/>
  <c r="J60" i="3"/>
  <c r="J89" i="3"/>
  <c r="J26" i="3"/>
  <c r="J127" i="3"/>
  <c r="J25" i="3"/>
  <c r="J85" i="3"/>
  <c r="J62" i="3"/>
  <c r="J70" i="3"/>
  <c r="J129" i="3"/>
  <c r="J17" i="3"/>
  <c r="J77" i="3"/>
  <c r="J123" i="3"/>
  <c r="J61" i="3"/>
  <c r="D22" i="1"/>
  <c r="C22" i="24"/>
  <c r="D20" i="1"/>
  <c r="C20" i="24"/>
  <c r="D110" i="1"/>
  <c r="C110" i="24"/>
  <c r="D75" i="5"/>
  <c r="D70" i="1"/>
  <c r="C70" i="24"/>
  <c r="D4" i="5"/>
  <c r="J110" i="3"/>
  <c r="D165" i="1"/>
  <c r="C165" i="24"/>
  <c r="D83" i="5"/>
  <c r="D23" i="1"/>
  <c r="C23" i="24"/>
  <c r="D87" i="5"/>
  <c r="D171" i="1"/>
  <c r="C171" i="24"/>
  <c r="D173" i="1"/>
  <c r="C173" i="24"/>
  <c r="D92" i="5"/>
  <c r="D96" i="1"/>
  <c r="C96" i="24"/>
  <c r="D74" i="1"/>
  <c r="C74" i="24"/>
  <c r="S6" i="5"/>
  <c r="J23" i="3"/>
  <c r="J134" i="3"/>
  <c r="J29" i="3"/>
  <c r="J92" i="3"/>
  <c r="J131" i="3"/>
  <c r="J90" i="3"/>
  <c r="J95" i="3"/>
  <c r="J34" i="3"/>
  <c r="J118" i="3"/>
  <c r="J52" i="3"/>
  <c r="J27" i="3"/>
  <c r="J18" i="3"/>
  <c r="J54" i="3"/>
  <c r="J80" i="3"/>
  <c r="D34" i="1"/>
  <c r="C34" i="24"/>
  <c r="D123" i="1"/>
  <c r="C123" i="24"/>
  <c r="D88" i="5"/>
  <c r="D100" i="5"/>
  <c r="D44" i="1"/>
  <c r="C44" i="24"/>
  <c r="D77" i="5"/>
  <c r="D40" i="5"/>
  <c r="J13" i="3"/>
  <c r="D98" i="1"/>
  <c r="C98" i="24"/>
  <c r="D78" i="5"/>
  <c r="J16" i="3"/>
  <c r="J81" i="3"/>
  <c r="D115" i="5"/>
  <c r="D163" i="5"/>
  <c r="E27" i="1"/>
  <c r="D27" i="24"/>
  <c r="D29" i="1"/>
  <c r="C29" i="24"/>
  <c r="D48" i="55"/>
  <c r="D20" i="55"/>
  <c r="D41" i="55"/>
  <c r="D34" i="55"/>
  <c r="D6" i="55"/>
  <c r="D27" i="55"/>
  <c r="D13" i="55"/>
  <c r="J8" i="3"/>
  <c r="D80" i="1"/>
  <c r="C80" i="24"/>
  <c r="D34" i="5"/>
  <c r="J44" i="3"/>
  <c r="D73" i="5"/>
  <c r="D43" i="1"/>
  <c r="C43" i="24"/>
  <c r="J6" i="3"/>
  <c r="D106" i="1"/>
  <c r="C106" i="24"/>
  <c r="D12" i="5"/>
  <c r="D175" i="1"/>
  <c r="C175" i="24"/>
  <c r="D157" i="5"/>
  <c r="D89" i="1"/>
  <c r="C89" i="24"/>
  <c r="D149" i="1"/>
  <c r="C149" i="24"/>
  <c r="J115" i="3"/>
  <c r="D41" i="1"/>
  <c r="C41" i="24"/>
  <c r="D173" i="5"/>
  <c r="D10" i="1"/>
  <c r="C10" i="24"/>
  <c r="D141" i="1"/>
  <c r="C141" i="24"/>
  <c r="D156" i="1"/>
  <c r="C156" i="24"/>
  <c r="D62" i="1"/>
  <c r="C62" i="24"/>
  <c r="D134" i="1"/>
  <c r="C134" i="24"/>
  <c r="D2" i="5"/>
  <c r="D35" i="5"/>
  <c r="D16" i="5"/>
  <c r="J104" i="3"/>
  <c r="J43" i="3"/>
  <c r="D87" i="1"/>
  <c r="C87" i="24"/>
  <c r="J48" i="3"/>
  <c r="J53" i="3"/>
  <c r="D44" i="5"/>
  <c r="D110" i="5"/>
  <c r="D159" i="1"/>
  <c r="C159" i="24"/>
  <c r="D100" i="1"/>
  <c r="C100" i="24"/>
  <c r="D142" i="1"/>
  <c r="C142" i="24"/>
  <c r="D75" i="1"/>
  <c r="C75" i="24"/>
  <c r="J126" i="3"/>
  <c r="J50" i="3"/>
  <c r="J120" i="3"/>
  <c r="D135" i="1"/>
  <c r="C135" i="24"/>
  <c r="D166" i="5"/>
  <c r="D49" i="5"/>
  <c r="D82" i="5"/>
  <c r="D106" i="5"/>
  <c r="D33" i="5"/>
  <c r="E167" i="1"/>
  <c r="D167" i="24"/>
  <c r="D50" i="1"/>
  <c r="C50" i="24"/>
  <c r="D150" i="5"/>
  <c r="D120" i="1"/>
  <c r="C120" i="24"/>
  <c r="J67" i="3"/>
  <c r="D12" i="1"/>
  <c r="C12" i="24"/>
  <c r="D142" i="5"/>
  <c r="D70" i="5"/>
  <c r="D91" i="5"/>
  <c r="D46" i="5"/>
  <c r="D104" i="1"/>
  <c r="C104" i="24"/>
  <c r="D175" i="5"/>
  <c r="J51" i="3"/>
  <c r="D59" i="5"/>
  <c r="D32" i="1"/>
  <c r="C32" i="24"/>
  <c r="D94" i="1"/>
  <c r="C94" i="24"/>
  <c r="D42" i="5"/>
  <c r="D73" i="1"/>
  <c r="C73" i="24"/>
  <c r="J79" i="3"/>
  <c r="J37" i="3"/>
  <c r="D125" i="1"/>
  <c r="C125" i="24"/>
  <c r="J105" i="3"/>
  <c r="D26" i="5"/>
  <c r="X140" i="1"/>
  <c r="Y48" i="1" s="1"/>
  <c r="J84" i="3"/>
  <c r="D81" i="1"/>
  <c r="C81" i="24"/>
  <c r="D69" i="5"/>
  <c r="D151" i="5"/>
  <c r="D166" i="1"/>
  <c r="C166" i="24"/>
  <c r="D151" i="1"/>
  <c r="C151" i="24"/>
  <c r="D97" i="5"/>
  <c r="E14" i="1"/>
  <c r="D14" i="24"/>
  <c r="D72" i="5"/>
  <c r="D28" i="1"/>
  <c r="C28" i="24"/>
  <c r="D39" i="5"/>
  <c r="D51" i="5"/>
  <c r="J49" i="3"/>
  <c r="D11" i="1"/>
  <c r="C11" i="24"/>
  <c r="J83" i="3"/>
  <c r="D62" i="5"/>
  <c r="D28" i="5"/>
  <c r="D139" i="5"/>
  <c r="D126" i="1"/>
  <c r="C126" i="24"/>
  <c r="D49" i="1"/>
  <c r="C49" i="24"/>
  <c r="J96" i="3"/>
  <c r="D9" i="1"/>
  <c r="C9" i="24"/>
  <c r="D154" i="1"/>
  <c r="C154" i="24"/>
  <c r="D119" i="1"/>
  <c r="C119" i="24"/>
  <c r="D91" i="1"/>
  <c r="C91" i="24"/>
  <c r="D42" i="1"/>
  <c r="C42" i="24"/>
  <c r="D26" i="1"/>
  <c r="C26" i="24"/>
  <c r="D77" i="1"/>
  <c r="C77" i="24"/>
  <c r="D30" i="5"/>
  <c r="D51" i="1"/>
  <c r="C51" i="24"/>
  <c r="J33" i="3"/>
  <c r="J74" i="3"/>
  <c r="J109" i="3"/>
  <c r="J100" i="3"/>
  <c r="D154" i="5"/>
  <c r="D124" i="1"/>
  <c r="C124" i="24"/>
  <c r="D164" i="5"/>
  <c r="J112" i="3"/>
  <c r="J117" i="3"/>
  <c r="J22" i="3"/>
  <c r="D155" i="1"/>
  <c r="C155" i="24"/>
  <c r="D104" i="5"/>
  <c r="D88" i="1"/>
  <c r="C88" i="24"/>
  <c r="D162" i="1"/>
  <c r="C162" i="24"/>
  <c r="D168" i="5"/>
  <c r="D162" i="5"/>
  <c r="J106" i="3"/>
  <c r="D146" i="1"/>
  <c r="C146" i="24"/>
  <c r="D163" i="1"/>
  <c r="C163" i="24"/>
  <c r="D31" i="5"/>
  <c r="D97" i="1"/>
  <c r="C97" i="24"/>
  <c r="J93" i="3"/>
  <c r="J76" i="3"/>
  <c r="J12" i="3"/>
  <c r="D61" i="5"/>
  <c r="D48" i="5"/>
  <c r="D120" i="5"/>
  <c r="D37" i="5"/>
  <c r="D64" i="1"/>
  <c r="C64" i="24"/>
  <c r="D95" i="1"/>
  <c r="C95" i="24"/>
  <c r="D4" i="1"/>
  <c r="C4" i="24"/>
  <c r="D29" i="5"/>
  <c r="D9" i="5"/>
  <c r="J9" i="3"/>
  <c r="J116" i="3"/>
  <c r="J87" i="3"/>
  <c r="D171" i="5"/>
  <c r="D65" i="5"/>
  <c r="D138" i="5"/>
  <c r="J97" i="3"/>
  <c r="J98" i="3"/>
  <c r="J38" i="3"/>
  <c r="D54" i="1"/>
  <c r="C54" i="24"/>
  <c r="D129" i="5"/>
  <c r="D65" i="1"/>
  <c r="C65" i="24"/>
  <c r="D66" i="1"/>
  <c r="C66" i="24"/>
  <c r="D85" i="1"/>
  <c r="C85" i="24"/>
  <c r="J65" i="3"/>
  <c r="D148" i="5"/>
  <c r="D134" i="5"/>
  <c r="D46" i="1"/>
  <c r="C46" i="24"/>
  <c r="D7" i="1"/>
  <c r="C7" i="24"/>
  <c r="J78" i="3"/>
  <c r="D10" i="5"/>
  <c r="D147" i="1"/>
  <c r="C147" i="24"/>
  <c r="D7" i="5"/>
  <c r="J68" i="3"/>
  <c r="D172" i="1"/>
  <c r="C172" i="24"/>
  <c r="D16" i="1"/>
  <c r="C16" i="24"/>
  <c r="E130" i="1"/>
  <c r="D130" i="24"/>
  <c r="D2" i="1"/>
  <c r="C2" i="24"/>
  <c r="D108" i="5"/>
  <c r="D17" i="5"/>
  <c r="D17" i="1"/>
  <c r="C17" i="24"/>
  <c r="J101" i="3"/>
  <c r="J88" i="3"/>
  <c r="D35" i="1"/>
  <c r="C35" i="24"/>
  <c r="D114" i="5"/>
  <c r="D22" i="5"/>
  <c r="D93" i="5"/>
  <c r="D43" i="5"/>
  <c r="D133" i="5"/>
  <c r="D63" i="1"/>
  <c r="C63" i="24"/>
  <c r="J103" i="3"/>
  <c r="D99" i="5"/>
  <c r="E45" i="1"/>
  <c r="D45" i="24"/>
  <c r="D30" i="1"/>
  <c r="C30" i="24"/>
  <c r="E76" i="1"/>
  <c r="D76" i="24"/>
  <c r="D160" i="1"/>
  <c r="C160" i="24"/>
  <c r="D169" i="1"/>
  <c r="C169" i="24"/>
  <c r="D115" i="1"/>
  <c r="C115" i="24"/>
  <c r="D136" i="1"/>
  <c r="C136" i="24"/>
  <c r="D150" i="1"/>
  <c r="C150" i="24"/>
  <c r="J10" i="3"/>
  <c r="D6" i="1"/>
  <c r="C6" i="24"/>
  <c r="D161" i="5"/>
  <c r="D174" i="1"/>
  <c r="C174" i="24"/>
  <c r="J139" i="3"/>
  <c r="D127" i="1"/>
  <c r="C127" i="24"/>
  <c r="J7" i="3"/>
  <c r="D111" i="1"/>
  <c r="C111" i="24"/>
  <c r="D119" i="5"/>
  <c r="D159" i="5"/>
  <c r="D109" i="1"/>
  <c r="C109" i="24"/>
  <c r="J114" i="3"/>
  <c r="J128" i="3"/>
  <c r="D13" i="5"/>
  <c r="D141" i="5"/>
  <c r="D111" i="5"/>
  <c r="J130" i="3"/>
  <c r="J28" i="3"/>
  <c r="D5" i="5"/>
  <c r="D169" i="5"/>
  <c r="D52" i="1"/>
  <c r="C52" i="24"/>
  <c r="D122" i="5"/>
  <c r="D60" i="5"/>
  <c r="D108" i="1"/>
  <c r="C108" i="24"/>
  <c r="J15" i="3"/>
  <c r="J45" i="3"/>
  <c r="J41" i="3"/>
  <c r="D146" i="5"/>
  <c r="D121" i="1"/>
  <c r="C121" i="24"/>
  <c r="D92" i="1"/>
  <c r="C92" i="24"/>
  <c r="D127" i="5"/>
  <c r="X128" i="1"/>
  <c r="Y44" i="1" s="1"/>
  <c r="E47" i="1"/>
  <c r="D47" i="24"/>
  <c r="D5" i="1"/>
  <c r="C5" i="24"/>
  <c r="D31" i="1"/>
  <c r="C31" i="24"/>
  <c r="D64" i="5"/>
  <c r="D89" i="5"/>
  <c r="D112" i="1"/>
  <c r="C112" i="24"/>
  <c r="D55" i="1"/>
  <c r="C55" i="24"/>
  <c r="J111" i="3"/>
  <c r="J40" i="3"/>
  <c r="J72" i="3"/>
  <c r="J102" i="3"/>
  <c r="J99" i="3"/>
  <c r="D112" i="5"/>
  <c r="D79" i="1"/>
  <c r="C79" i="24"/>
  <c r="D72" i="1"/>
  <c r="C72" i="24"/>
  <c r="D157" i="1"/>
  <c r="C157" i="24"/>
  <c r="D50" i="5"/>
  <c r="D122" i="1"/>
  <c r="C122" i="24"/>
  <c r="J138" i="3"/>
  <c r="J66" i="3"/>
  <c r="J69" i="3"/>
  <c r="D95" i="5"/>
  <c r="D80" i="5"/>
  <c r="D90" i="5"/>
  <c r="D19" i="1"/>
  <c r="C19" i="24"/>
  <c r="D114" i="1"/>
  <c r="C114" i="24"/>
  <c r="D8" i="1"/>
  <c r="C8" i="24"/>
  <c r="J47" i="3"/>
  <c r="J82" i="3"/>
  <c r="D126" i="5"/>
  <c r="E68" i="1"/>
  <c r="D68" i="24"/>
  <c r="D161" i="1"/>
  <c r="C161" i="24"/>
  <c r="D3" i="5"/>
  <c r="D155" i="5"/>
  <c r="D125" i="5"/>
  <c r="E84" i="1"/>
  <c r="D84" i="24"/>
  <c r="J86" i="3"/>
  <c r="J73" i="3"/>
  <c r="D135" i="5"/>
  <c r="D82" i="1"/>
  <c r="C82" i="24"/>
  <c r="D149" i="5"/>
  <c r="D66" i="5"/>
  <c r="D60" i="1"/>
  <c r="C60" i="24"/>
  <c r="D15" i="1"/>
  <c r="C15" i="24"/>
  <c r="D152" i="5"/>
  <c r="D107" i="1"/>
  <c r="C107" i="24"/>
  <c r="D168" i="1"/>
  <c r="C168" i="24"/>
  <c r="J91" i="3"/>
  <c r="D136" i="5"/>
  <c r="D109" i="5"/>
  <c r="D174" i="5"/>
  <c r="D33" i="1"/>
  <c r="C33" i="24"/>
  <c r="J135" i="3"/>
  <c r="X38" i="1"/>
  <c r="Y14" i="1" s="1"/>
  <c r="D41" i="5"/>
  <c r="D15" i="5"/>
  <c r="D90" i="1"/>
  <c r="C90" i="24"/>
  <c r="D139" i="1"/>
  <c r="C139" i="24"/>
  <c r="J20" i="3"/>
  <c r="J122" i="3"/>
  <c r="D98" i="5"/>
  <c r="D21" i="1"/>
  <c r="C21" i="24"/>
  <c r="D32" i="5"/>
  <c r="D153" i="5"/>
  <c r="D25" i="1"/>
  <c r="C25" i="24"/>
  <c r="D13" i="1"/>
  <c r="C13" i="24"/>
  <c r="J107" i="3"/>
  <c r="D137" i="1"/>
  <c r="C137" i="24"/>
  <c r="D156" i="5"/>
  <c r="D158" i="1"/>
  <c r="C158" i="24"/>
  <c r="D63" i="5"/>
  <c r="D123" i="5"/>
  <c r="D23" i="5"/>
  <c r="D132" i="1"/>
  <c r="C132" i="24"/>
  <c r="D52" i="5"/>
  <c r="D24" i="5"/>
  <c r="D172" i="5"/>
  <c r="D39" i="1"/>
  <c r="C39" i="24"/>
  <c r="J133" i="3"/>
  <c r="J94" i="3"/>
  <c r="D61" i="1"/>
  <c r="C61" i="24"/>
  <c r="X86" i="1"/>
  <c r="Y30" i="1" s="1"/>
  <c r="J30" i="3"/>
  <c r="D105" i="1"/>
  <c r="C105" i="24"/>
  <c r="D133" i="1"/>
  <c r="C133" i="24"/>
  <c r="D96" i="5"/>
  <c r="D81" i="5"/>
  <c r="D67" i="5"/>
  <c r="D129" i="1"/>
  <c r="C129" i="24"/>
  <c r="D55" i="5"/>
  <c r="D36" i="5"/>
  <c r="D8" i="5"/>
  <c r="D138" i="1"/>
  <c r="C138" i="24"/>
  <c r="D19" i="5"/>
  <c r="J31" i="3"/>
  <c r="D83" i="1"/>
  <c r="C83" i="24"/>
  <c r="J11" i="3"/>
  <c r="J56" i="3"/>
  <c r="J64" i="3"/>
  <c r="D158" i="5"/>
  <c r="D6" i="5"/>
  <c r="D164" i="1"/>
  <c r="C164" i="24"/>
  <c r="D165" i="5"/>
  <c r="D20" i="5"/>
  <c r="J58" i="3"/>
  <c r="J136" i="3"/>
  <c r="J121" i="3"/>
  <c r="J39" i="3"/>
  <c r="D37" i="1"/>
  <c r="C37" i="24"/>
  <c r="D147" i="5"/>
  <c r="D67" i="1"/>
  <c r="C67" i="24"/>
  <c r="D48" i="1"/>
  <c r="C48" i="24"/>
  <c r="D40" i="1"/>
  <c r="C40" i="24"/>
  <c r="J119" i="3"/>
  <c r="J46" i="3"/>
  <c r="D11" i="5"/>
  <c r="D131" i="5"/>
  <c r="D71" i="5"/>
  <c r="D53" i="5"/>
  <c r="X113" i="1"/>
  <c r="Y39" i="1" s="1"/>
  <c r="J137" i="3"/>
  <c r="J132" i="3"/>
  <c r="D132" i="5"/>
  <c r="D36" i="1"/>
  <c r="C36" i="24"/>
  <c r="J36" i="3"/>
  <c r="D54" i="5"/>
  <c r="D85" i="5"/>
  <c r="D69" i="1"/>
  <c r="C69" i="24"/>
  <c r="D21" i="5"/>
  <c r="D152" i="1"/>
  <c r="C152" i="24"/>
  <c r="J75" i="3"/>
  <c r="J63" i="3"/>
  <c r="D71" i="1"/>
  <c r="C71" i="24"/>
  <c r="D131" i="1"/>
  <c r="C131" i="24"/>
  <c r="D79" i="5"/>
  <c r="D153" i="1"/>
  <c r="C153" i="24"/>
  <c r="D107" i="5"/>
  <c r="D93" i="1"/>
  <c r="C93" i="24"/>
  <c r="J113" i="3"/>
  <c r="J14" i="3"/>
  <c r="D78" i="1"/>
  <c r="C78" i="24"/>
  <c r="D94" i="5"/>
  <c r="D53" i="1"/>
  <c r="C53" i="24"/>
  <c r="D3" i="1"/>
  <c r="C3" i="24"/>
  <c r="D121" i="5"/>
  <c r="D99" i="1"/>
  <c r="C99" i="24"/>
  <c r="J125" i="3"/>
  <c r="D124" i="5"/>
  <c r="D74" i="5"/>
  <c r="D59" i="1"/>
  <c r="C59" i="24"/>
  <c r="D148" i="1"/>
  <c r="C148" i="24"/>
  <c r="D25" i="5"/>
  <c r="J55" i="3"/>
  <c r="J71" i="3"/>
  <c r="D160" i="5"/>
  <c r="D137" i="5"/>
  <c r="J32" i="3"/>
  <c r="D105" i="5"/>
  <c r="D24" i="1"/>
  <c r="C24" i="24"/>
  <c r="W19" i="1" l="1"/>
  <c r="AK19" i="1" s="1"/>
  <c r="W33" i="1"/>
  <c r="AK33" i="1" s="1"/>
  <c r="W20" i="1"/>
  <c r="AK20" i="1" s="1"/>
  <c r="W52" i="1"/>
  <c r="AK52" i="1" s="1"/>
  <c r="W11" i="1"/>
  <c r="AK11" i="1" s="1"/>
  <c r="X179" i="1"/>
  <c r="Y61" i="1" s="1"/>
  <c r="AB61" i="1" s="1"/>
  <c r="AE61" i="1" s="1"/>
  <c r="X186" i="1"/>
  <c r="Z63" i="1" s="1"/>
  <c r="AC63" i="1" s="1"/>
  <c r="X182" i="1"/>
  <c r="Y62" i="1" s="1"/>
  <c r="AB62" i="1" s="1"/>
  <c r="AE62" i="1" s="1"/>
  <c r="X187" i="1"/>
  <c r="AA63" i="1" s="1"/>
  <c r="AD63" i="1" s="1"/>
  <c r="X181" i="1"/>
  <c r="AA61" i="1" s="1"/>
  <c r="AF61" i="1" s="1"/>
  <c r="W61" i="1"/>
  <c r="AK61" i="1" s="1"/>
  <c r="X176" i="1"/>
  <c r="Y60" i="1" s="1"/>
  <c r="AB60" i="1" s="1"/>
  <c r="W63" i="1"/>
  <c r="AK63" i="1" s="1"/>
  <c r="W62" i="1"/>
  <c r="AK62" i="1" s="1"/>
  <c r="X178" i="1"/>
  <c r="AA60" i="1" s="1"/>
  <c r="AD60" i="1" s="1"/>
  <c r="P3" i="6"/>
  <c r="X177" i="1"/>
  <c r="Z60" i="1" s="1"/>
  <c r="AC60" i="1" s="1"/>
  <c r="O3" i="6"/>
  <c r="N3" i="6"/>
  <c r="Q3" i="6" s="1"/>
  <c r="M180" i="5"/>
  <c r="G180" i="1" s="1"/>
  <c r="H180" i="1" s="1"/>
  <c r="K61" i="1" s="1"/>
  <c r="N61" i="1" s="1"/>
  <c r="M179" i="5"/>
  <c r="N179" i="5" s="1"/>
  <c r="M186" i="5"/>
  <c r="E186" i="5" s="1"/>
  <c r="M176" i="5"/>
  <c r="N176" i="5" s="1"/>
  <c r="M184" i="5"/>
  <c r="N184" i="5" s="1"/>
  <c r="M185" i="5"/>
  <c r="N185" i="5" s="1"/>
  <c r="M187" i="5"/>
  <c r="N187" i="5" s="1"/>
  <c r="M181" i="5"/>
  <c r="E181" i="5" s="1"/>
  <c r="M182" i="5"/>
  <c r="M177" i="5"/>
  <c r="M183" i="5"/>
  <c r="M178" i="5"/>
  <c r="AB63" i="1"/>
  <c r="AG63" i="1"/>
  <c r="AC62" i="1"/>
  <c r="X184" i="1"/>
  <c r="AA62" i="1" s="1"/>
  <c r="AK60" i="1"/>
  <c r="M58" i="5"/>
  <c r="N58" i="5" s="1"/>
  <c r="X118" i="1"/>
  <c r="AA40" i="1" s="1"/>
  <c r="AD40" i="1" s="1"/>
  <c r="X117" i="1"/>
  <c r="Z40" i="1" s="1"/>
  <c r="AC40" i="1" s="1"/>
  <c r="M57" i="5"/>
  <c r="G57" i="1" s="1"/>
  <c r="H57" i="1" s="1"/>
  <c r="K20" i="1" s="1"/>
  <c r="M56" i="5"/>
  <c r="G56" i="1" s="1"/>
  <c r="X144" i="1"/>
  <c r="Z49" i="1" s="1"/>
  <c r="AC49" i="1" s="1"/>
  <c r="X145" i="1"/>
  <c r="AA49" i="1" s="1"/>
  <c r="AD49" i="1" s="1"/>
  <c r="X143" i="1"/>
  <c r="Y49" i="1" s="1"/>
  <c r="AB49" i="1" s="1"/>
  <c r="X101" i="1"/>
  <c r="Y35" i="1" s="1"/>
  <c r="AB35" i="1" s="1"/>
  <c r="X102" i="1"/>
  <c r="Z35" i="1" s="1"/>
  <c r="AC35" i="1" s="1"/>
  <c r="X103" i="1"/>
  <c r="AA35" i="1" s="1"/>
  <c r="AD35" i="1" s="1"/>
  <c r="X18" i="1"/>
  <c r="Z7" i="1" s="1"/>
  <c r="AC7" i="1" s="1"/>
  <c r="X58" i="1"/>
  <c r="AA20" i="1" s="1"/>
  <c r="AD20" i="1" s="1"/>
  <c r="X56" i="1"/>
  <c r="Y20" i="1" s="1"/>
  <c r="AB20" i="1" s="1"/>
  <c r="X57" i="1"/>
  <c r="Z20" i="1" s="1"/>
  <c r="AC20" i="1" s="1"/>
  <c r="M169" i="5"/>
  <c r="E169" i="5" s="1"/>
  <c r="E169" i="24" s="1"/>
  <c r="M53" i="5"/>
  <c r="M144" i="5"/>
  <c r="M118" i="5"/>
  <c r="M34" i="5"/>
  <c r="M78" i="5"/>
  <c r="M167" i="5"/>
  <c r="G167" i="1" s="1"/>
  <c r="H167" i="1" s="1"/>
  <c r="M145" i="5"/>
  <c r="M47" i="5"/>
  <c r="G47" i="1" s="1"/>
  <c r="H47" i="1" s="1"/>
  <c r="M143" i="5"/>
  <c r="G143" i="1" s="1"/>
  <c r="H143" i="1" s="1"/>
  <c r="E50" i="55"/>
  <c r="F50" i="55" s="1"/>
  <c r="K47" i="55" s="1"/>
  <c r="E36" i="55"/>
  <c r="F36" i="55" s="1"/>
  <c r="K33" i="55" s="1"/>
  <c r="E15" i="55"/>
  <c r="F15" i="55" s="1"/>
  <c r="K12" i="55" s="1"/>
  <c r="E29" i="55"/>
  <c r="F29" i="55" s="1"/>
  <c r="K26" i="55" s="1"/>
  <c r="E43" i="55"/>
  <c r="F43" i="55" s="1"/>
  <c r="K40" i="55" s="1"/>
  <c r="E22" i="55"/>
  <c r="F22" i="55" s="1"/>
  <c r="K19" i="55" s="1"/>
  <c r="E8" i="55"/>
  <c r="F8" i="55" s="1"/>
  <c r="K5" i="55" s="1"/>
  <c r="M112" i="5"/>
  <c r="E170" i="1"/>
  <c r="M168" i="5"/>
  <c r="G168" i="1" s="1"/>
  <c r="M124" i="5"/>
  <c r="M43" i="5"/>
  <c r="M172" i="5"/>
  <c r="G172" i="1" s="1"/>
  <c r="M154" i="5"/>
  <c r="G154" i="1" s="1"/>
  <c r="M113" i="5"/>
  <c r="G113" i="1" s="1"/>
  <c r="H113" i="1" s="1"/>
  <c r="M136" i="5"/>
  <c r="M84" i="5"/>
  <c r="M130" i="5"/>
  <c r="M128" i="5"/>
  <c r="M94" i="5"/>
  <c r="M4" i="5"/>
  <c r="G4" i="1" s="1"/>
  <c r="M30" i="5"/>
  <c r="M140" i="5"/>
  <c r="G140" i="1" s="1"/>
  <c r="H140" i="1" s="1"/>
  <c r="M86" i="5"/>
  <c r="M29" i="5"/>
  <c r="M68" i="5"/>
  <c r="M101" i="5"/>
  <c r="M116" i="5"/>
  <c r="G116" i="1" s="1"/>
  <c r="M17" i="5"/>
  <c r="M93" i="5"/>
  <c r="G93" i="1" s="1"/>
  <c r="M70" i="5"/>
  <c r="M25" i="5"/>
  <c r="M12" i="5"/>
  <c r="G12" i="1" s="1"/>
  <c r="M83" i="5"/>
  <c r="G83" i="1" s="1"/>
  <c r="M102" i="5"/>
  <c r="M117" i="5"/>
  <c r="G117" i="1" s="1"/>
  <c r="H117" i="1" s="1"/>
  <c r="M24" i="5"/>
  <c r="E116" i="1"/>
  <c r="D116" i="24"/>
  <c r="M108" i="5"/>
  <c r="G108" i="1" s="1"/>
  <c r="M153" i="5"/>
  <c r="M16" i="5"/>
  <c r="G16" i="1" s="1"/>
  <c r="M27" i="5"/>
  <c r="G27" i="1" s="1"/>
  <c r="H27" i="1" s="1"/>
  <c r="M76" i="5"/>
  <c r="G76" i="1" s="1"/>
  <c r="H76" i="1" s="1"/>
  <c r="M40" i="5"/>
  <c r="G40" i="1" s="1"/>
  <c r="M105" i="5"/>
  <c r="M82" i="5"/>
  <c r="M103" i="5"/>
  <c r="G103" i="1" s="1"/>
  <c r="H103" i="1" s="1"/>
  <c r="M18" i="5"/>
  <c r="G18" i="1" s="1"/>
  <c r="H18" i="1" s="1"/>
  <c r="M146" i="5"/>
  <c r="G146" i="1" s="1"/>
  <c r="M14" i="5"/>
  <c r="G14" i="1" s="1"/>
  <c r="H14" i="1" s="1"/>
  <c r="M72" i="5"/>
  <c r="M45" i="5"/>
  <c r="G45" i="1" s="1"/>
  <c r="H45" i="1" s="1"/>
  <c r="M170" i="5"/>
  <c r="G170" i="1" s="1"/>
  <c r="M38" i="5"/>
  <c r="G38" i="1" s="1"/>
  <c r="H38" i="1" s="1"/>
  <c r="E21" i="55"/>
  <c r="F21" i="55" s="1"/>
  <c r="J19" i="55" s="1"/>
  <c r="E35" i="55"/>
  <c r="F35" i="55" s="1"/>
  <c r="J33" i="55" s="1"/>
  <c r="E28" i="55"/>
  <c r="F28" i="55" s="1"/>
  <c r="J26" i="55" s="1"/>
  <c r="E14" i="55"/>
  <c r="F14" i="55" s="1"/>
  <c r="J12" i="55" s="1"/>
  <c r="E42" i="55"/>
  <c r="F42" i="55" s="1"/>
  <c r="J40" i="55" s="1"/>
  <c r="E7" i="55"/>
  <c r="F7" i="55" s="1"/>
  <c r="J5" i="55" s="1"/>
  <c r="E49" i="55"/>
  <c r="F49" i="55" s="1"/>
  <c r="J47" i="55" s="1"/>
  <c r="E85" i="1"/>
  <c r="D85" i="24"/>
  <c r="E160" i="1"/>
  <c r="D160" i="24"/>
  <c r="E79" i="1"/>
  <c r="D79" i="24"/>
  <c r="E54" i="1"/>
  <c r="D54" i="24"/>
  <c r="E132" i="1"/>
  <c r="D132" i="24"/>
  <c r="M35" i="5"/>
  <c r="G35" i="1" s="1"/>
  <c r="M129" i="5"/>
  <c r="G129" i="1" s="1"/>
  <c r="M158" i="5"/>
  <c r="G158" i="1" s="1"/>
  <c r="M174" i="5"/>
  <c r="G174" i="1" s="1"/>
  <c r="M115" i="5"/>
  <c r="G115" i="1" s="1"/>
  <c r="M21" i="5"/>
  <c r="G21" i="1" s="1"/>
  <c r="E8" i="1"/>
  <c r="D8" i="24"/>
  <c r="E67" i="1"/>
  <c r="D67" i="24"/>
  <c r="E126" i="1"/>
  <c r="D126" i="24"/>
  <c r="E50" i="1"/>
  <c r="D50" i="24"/>
  <c r="E112" i="1"/>
  <c r="D112" i="24"/>
  <c r="E64" i="1"/>
  <c r="D64" i="24"/>
  <c r="AB44" i="1"/>
  <c r="X45" i="1"/>
  <c r="Z16" i="1" s="1"/>
  <c r="E7" i="1"/>
  <c r="D7" i="24"/>
  <c r="E134" i="1"/>
  <c r="D134" i="24"/>
  <c r="E9" i="1"/>
  <c r="D9" i="24"/>
  <c r="E61" i="1"/>
  <c r="D61" i="24"/>
  <c r="E154" i="1"/>
  <c r="D154" i="24"/>
  <c r="E30" i="1"/>
  <c r="D30" i="24"/>
  <c r="M137" i="5"/>
  <c r="G137" i="1" s="1"/>
  <c r="M44" i="5"/>
  <c r="G44" i="1" s="1"/>
  <c r="E72" i="1"/>
  <c r="D72" i="24"/>
  <c r="E26" i="1"/>
  <c r="D26" i="24"/>
  <c r="E70" i="1"/>
  <c r="D70" i="24"/>
  <c r="E33" i="1"/>
  <c r="D33" i="24"/>
  <c r="E110" i="1"/>
  <c r="D110" i="24"/>
  <c r="M156" i="5"/>
  <c r="G156" i="1" s="1"/>
  <c r="M89" i="5"/>
  <c r="G89" i="1" s="1"/>
  <c r="M46" i="5"/>
  <c r="G46" i="1" s="1"/>
  <c r="M134" i="5"/>
  <c r="G134" i="1" s="1"/>
  <c r="E100" i="1"/>
  <c r="D100" i="24"/>
  <c r="E74" i="1"/>
  <c r="D74" i="24"/>
  <c r="M79" i="5"/>
  <c r="G79" i="1" s="1"/>
  <c r="M80" i="5"/>
  <c r="G80" i="1" s="1"/>
  <c r="M28" i="5"/>
  <c r="G28" i="1" s="1"/>
  <c r="E21" i="1"/>
  <c r="D21" i="24"/>
  <c r="E6" i="1"/>
  <c r="D6" i="24"/>
  <c r="E172" i="1"/>
  <c r="D172" i="24"/>
  <c r="E23" i="1"/>
  <c r="D23" i="24"/>
  <c r="E174" i="1"/>
  <c r="D174" i="24"/>
  <c r="X84" i="1"/>
  <c r="Z29" i="1" s="1"/>
  <c r="E95" i="1"/>
  <c r="D95" i="24"/>
  <c r="E111" i="1"/>
  <c r="D111" i="24"/>
  <c r="E161" i="1"/>
  <c r="D161" i="24"/>
  <c r="E43" i="1"/>
  <c r="D43" i="24"/>
  <c r="E138" i="1"/>
  <c r="D138" i="24"/>
  <c r="E37" i="1"/>
  <c r="D37" i="24"/>
  <c r="E162" i="1"/>
  <c r="D162" i="24"/>
  <c r="E164" i="1"/>
  <c r="D164" i="24"/>
  <c r="E28" i="1"/>
  <c r="D28" i="24"/>
  <c r="E175" i="1"/>
  <c r="D175" i="24"/>
  <c r="E166" i="1"/>
  <c r="D166" i="24"/>
  <c r="M159" i="5"/>
  <c r="G159" i="1" s="1"/>
  <c r="M148" i="5"/>
  <c r="G148" i="1" s="1"/>
  <c r="M36" i="5"/>
  <c r="G36" i="1" s="1"/>
  <c r="M20" i="5"/>
  <c r="G20" i="1" s="1"/>
  <c r="M98" i="5"/>
  <c r="G98" i="1" s="1"/>
  <c r="M149" i="5"/>
  <c r="G149" i="1" s="1"/>
  <c r="M125" i="5"/>
  <c r="G125" i="1" s="1"/>
  <c r="M59" i="5"/>
  <c r="G59" i="1" s="1"/>
  <c r="M55" i="5"/>
  <c r="G55" i="1" s="1"/>
  <c r="E83" i="1"/>
  <c r="D83" i="24"/>
  <c r="E137" i="1"/>
  <c r="D137" i="24"/>
  <c r="E131" i="1"/>
  <c r="D131" i="24"/>
  <c r="E81" i="1"/>
  <c r="D81" i="24"/>
  <c r="E156" i="1"/>
  <c r="D156" i="24"/>
  <c r="E109" i="1"/>
  <c r="D109" i="24"/>
  <c r="E125" i="1"/>
  <c r="D125" i="24"/>
  <c r="M99" i="5"/>
  <c r="G99" i="1" s="1"/>
  <c r="M162" i="5"/>
  <c r="G162" i="1" s="1"/>
  <c r="M96" i="5"/>
  <c r="G96" i="1" s="1"/>
  <c r="M50" i="5"/>
  <c r="G50" i="1" s="1"/>
  <c r="M150" i="5"/>
  <c r="G150" i="1" s="1"/>
  <c r="M31" i="5"/>
  <c r="G31" i="1" s="1"/>
  <c r="M8" i="5"/>
  <c r="G8" i="1" s="1"/>
  <c r="M88" i="5"/>
  <c r="G88" i="1" s="1"/>
  <c r="E127" i="1"/>
  <c r="D127" i="24"/>
  <c r="E169" i="1"/>
  <c r="D169" i="24"/>
  <c r="E141" i="1"/>
  <c r="D141" i="24"/>
  <c r="E159" i="1"/>
  <c r="D159" i="24"/>
  <c r="E99" i="1"/>
  <c r="D99" i="24"/>
  <c r="E129" i="1"/>
  <c r="D129" i="24"/>
  <c r="E29" i="1"/>
  <c r="D29" i="24"/>
  <c r="E34" i="55"/>
  <c r="F34" i="55" s="1"/>
  <c r="I33" i="55" s="1"/>
  <c r="E41" i="55"/>
  <c r="F41" i="55" s="1"/>
  <c r="I40" i="55" s="1"/>
  <c r="E48" i="55"/>
  <c r="F48" i="55" s="1"/>
  <c r="I47" i="55" s="1"/>
  <c r="E27" i="55"/>
  <c r="F27" i="55" s="1"/>
  <c r="I26" i="55" s="1"/>
  <c r="E6" i="55"/>
  <c r="F6" i="55" s="1"/>
  <c r="I5" i="55" s="1"/>
  <c r="E20" i="55"/>
  <c r="F20" i="55" s="1"/>
  <c r="I19" i="55" s="1"/>
  <c r="E13" i="55"/>
  <c r="F13" i="55" s="1"/>
  <c r="I12" i="55" s="1"/>
  <c r="E31" i="1"/>
  <c r="D31" i="24"/>
  <c r="E104" i="1"/>
  <c r="D104" i="24"/>
  <c r="E51" i="1"/>
  <c r="D51" i="24"/>
  <c r="E151" i="1"/>
  <c r="D151" i="24"/>
  <c r="M23" i="5"/>
  <c r="G23" i="1" s="1"/>
  <c r="M163" i="5"/>
  <c r="G163" i="1" s="1"/>
  <c r="M22" i="5"/>
  <c r="G22" i="1" s="1"/>
  <c r="M160" i="5"/>
  <c r="G160" i="1" s="1"/>
  <c r="M175" i="5"/>
  <c r="G175" i="1" s="1"/>
  <c r="M126" i="5"/>
  <c r="G126" i="1" s="1"/>
  <c r="M133" i="5"/>
  <c r="G133" i="1" s="1"/>
  <c r="M37" i="5"/>
  <c r="G37" i="1" s="1"/>
  <c r="M100" i="5"/>
  <c r="G100" i="1" s="1"/>
  <c r="E150" i="1"/>
  <c r="D150" i="24"/>
  <c r="E44" i="1"/>
  <c r="D44" i="24"/>
  <c r="X27" i="1"/>
  <c r="Z10" i="1" s="1"/>
  <c r="E88" i="1"/>
  <c r="D88" i="24"/>
  <c r="E75" i="1"/>
  <c r="D75" i="24"/>
  <c r="E121" i="1"/>
  <c r="D121" i="24"/>
  <c r="E147" i="1"/>
  <c r="D147" i="24"/>
  <c r="E20" i="1"/>
  <c r="D20" i="24"/>
  <c r="E36" i="1"/>
  <c r="D36" i="24"/>
  <c r="AB30" i="1"/>
  <c r="E24" i="1"/>
  <c r="D24" i="24"/>
  <c r="AB14" i="1"/>
  <c r="E135" i="1"/>
  <c r="D135" i="24"/>
  <c r="X68" i="1"/>
  <c r="Y24" i="1" s="1"/>
  <c r="M9" i="5"/>
  <c r="G9" i="1" s="1"/>
  <c r="M111" i="5"/>
  <c r="G111" i="1" s="1"/>
  <c r="M121" i="5"/>
  <c r="G121" i="1" s="1"/>
  <c r="M173" i="5"/>
  <c r="G173" i="1" s="1"/>
  <c r="M52" i="5"/>
  <c r="G52" i="1" s="1"/>
  <c r="M165" i="5"/>
  <c r="G165" i="1" s="1"/>
  <c r="M63" i="5"/>
  <c r="G63" i="1" s="1"/>
  <c r="M67" i="5"/>
  <c r="G67" i="1" s="1"/>
  <c r="E146" i="1"/>
  <c r="D146" i="24"/>
  <c r="X76" i="1"/>
  <c r="AA26" i="1" s="1"/>
  <c r="E93" i="1"/>
  <c r="D93" i="24"/>
  <c r="M132" i="5"/>
  <c r="G132" i="1" s="1"/>
  <c r="M107" i="5"/>
  <c r="G107" i="1" s="1"/>
  <c r="M85" i="5"/>
  <c r="G85" i="1" s="1"/>
  <c r="M151" i="5"/>
  <c r="G151" i="1" s="1"/>
  <c r="M122" i="5"/>
  <c r="G122" i="1" s="1"/>
  <c r="M71" i="5"/>
  <c r="G71" i="1" s="1"/>
  <c r="M147" i="5"/>
  <c r="G147" i="1" s="1"/>
  <c r="M166" i="5"/>
  <c r="G166" i="1" s="1"/>
  <c r="M171" i="5"/>
  <c r="G171" i="1" s="1"/>
  <c r="E108" i="1"/>
  <c r="D108" i="24"/>
  <c r="E65" i="1"/>
  <c r="D65" i="24"/>
  <c r="M91" i="5"/>
  <c r="G91" i="1" s="1"/>
  <c r="M48" i="5"/>
  <c r="G48" i="1" s="1"/>
  <c r="M155" i="5"/>
  <c r="G155" i="1" s="1"/>
  <c r="E168" i="1"/>
  <c r="D168" i="24"/>
  <c r="E62" i="1"/>
  <c r="D62" i="24"/>
  <c r="E142" i="1"/>
  <c r="D142" i="24"/>
  <c r="E106" i="1"/>
  <c r="D106" i="24"/>
  <c r="E16" i="1"/>
  <c r="D16" i="24"/>
  <c r="E12" i="1"/>
  <c r="D12" i="24"/>
  <c r="E73" i="1"/>
  <c r="D73" i="24"/>
  <c r="E34" i="1"/>
  <c r="D34" i="24"/>
  <c r="E163" i="1"/>
  <c r="D163" i="24"/>
  <c r="E40" i="1"/>
  <c r="D40" i="24"/>
  <c r="M15" i="5"/>
  <c r="G15" i="1" s="1"/>
  <c r="M127" i="5"/>
  <c r="G127" i="1" s="1"/>
  <c r="E124" i="1"/>
  <c r="D124" i="24"/>
  <c r="E94" i="1"/>
  <c r="D94" i="24"/>
  <c r="E107" i="1"/>
  <c r="D107" i="24"/>
  <c r="E105" i="1"/>
  <c r="D105" i="24"/>
  <c r="E25" i="1"/>
  <c r="D25" i="24"/>
  <c r="AB39" i="1"/>
  <c r="E158" i="1"/>
  <c r="D158" i="24"/>
  <c r="E123" i="1"/>
  <c r="D123" i="24"/>
  <c r="E15" i="1"/>
  <c r="D15" i="24"/>
  <c r="E136" i="1"/>
  <c r="D136" i="24"/>
  <c r="E66" i="1"/>
  <c r="D66" i="24"/>
  <c r="E155" i="1"/>
  <c r="D155" i="24"/>
  <c r="E89" i="1"/>
  <c r="D89" i="24"/>
  <c r="E60" i="1"/>
  <c r="D60" i="24"/>
  <c r="E148" i="1"/>
  <c r="D148" i="24"/>
  <c r="E120" i="1"/>
  <c r="D120" i="24"/>
  <c r="E69" i="1"/>
  <c r="D69" i="24"/>
  <c r="AB48" i="1"/>
  <c r="E59" i="1"/>
  <c r="D59" i="24"/>
  <c r="E35" i="1"/>
  <c r="D35" i="24"/>
  <c r="E173" i="1"/>
  <c r="D173" i="24"/>
  <c r="E77" i="1"/>
  <c r="D77" i="24"/>
  <c r="E53" i="1"/>
  <c r="D53" i="24"/>
  <c r="E11" i="1"/>
  <c r="D11" i="24"/>
  <c r="E165" i="1"/>
  <c r="D165" i="24"/>
  <c r="E19" i="1"/>
  <c r="D19" i="24"/>
  <c r="E55" i="1"/>
  <c r="D55" i="24"/>
  <c r="E96" i="1"/>
  <c r="D96" i="24"/>
  <c r="M26" i="5"/>
  <c r="G26" i="1" s="1"/>
  <c r="M152" i="5"/>
  <c r="G152" i="1" s="1"/>
  <c r="M119" i="5"/>
  <c r="G119" i="1" s="1"/>
  <c r="E153" i="1"/>
  <c r="D153" i="24"/>
  <c r="E90" i="1"/>
  <c r="D90" i="24"/>
  <c r="E5" i="1"/>
  <c r="D5" i="24"/>
  <c r="E13" i="1"/>
  <c r="D13" i="24"/>
  <c r="E119" i="1"/>
  <c r="D119" i="24"/>
  <c r="E22" i="1"/>
  <c r="D22" i="24"/>
  <c r="E39" i="1"/>
  <c r="D39" i="24"/>
  <c r="X14" i="1"/>
  <c r="Y6" i="1" s="1"/>
  <c r="E42" i="1"/>
  <c r="D42" i="24"/>
  <c r="E46" i="1"/>
  <c r="D46" i="24"/>
  <c r="E82" i="1"/>
  <c r="D82" i="24"/>
  <c r="E115" i="1"/>
  <c r="D115" i="24"/>
  <c r="E78" i="1"/>
  <c r="D78" i="24"/>
  <c r="M109" i="5"/>
  <c r="G109" i="1" s="1"/>
  <c r="M75" i="5"/>
  <c r="G75" i="1" s="1"/>
  <c r="M6" i="5"/>
  <c r="G6" i="1" s="1"/>
  <c r="M73" i="5"/>
  <c r="G73" i="1" s="1"/>
  <c r="M10" i="5"/>
  <c r="G10" i="1" s="1"/>
  <c r="M81" i="5"/>
  <c r="G81" i="1" s="1"/>
  <c r="M13" i="5"/>
  <c r="G13" i="1" s="1"/>
  <c r="E52" i="1"/>
  <c r="D52" i="24"/>
  <c r="E63" i="1"/>
  <c r="D63" i="24"/>
  <c r="E32" i="1"/>
  <c r="D32" i="24"/>
  <c r="E41" i="1"/>
  <c r="D41" i="24"/>
  <c r="E149" i="1"/>
  <c r="D149" i="24"/>
  <c r="E3" i="1"/>
  <c r="D3" i="24"/>
  <c r="E80" i="1"/>
  <c r="D80" i="24"/>
  <c r="M54" i="5"/>
  <c r="G54" i="1" s="1"/>
  <c r="M95" i="5"/>
  <c r="G95" i="1" s="1"/>
  <c r="M139" i="5"/>
  <c r="G139" i="1" s="1"/>
  <c r="E122" i="1"/>
  <c r="D122" i="24"/>
  <c r="E133" i="1"/>
  <c r="D133" i="24"/>
  <c r="E17" i="1"/>
  <c r="D17" i="24"/>
  <c r="E10" i="1"/>
  <c r="D10" i="24"/>
  <c r="M42" i="5"/>
  <c r="G42" i="1" s="1"/>
  <c r="M65" i="5"/>
  <c r="G65" i="1" s="1"/>
  <c r="E171" i="1"/>
  <c r="D171" i="24"/>
  <c r="M90" i="5"/>
  <c r="G90" i="1" s="1"/>
  <c r="M114" i="5"/>
  <c r="G114" i="1" s="1"/>
  <c r="M157" i="5"/>
  <c r="G157" i="1" s="1"/>
  <c r="M66" i="5"/>
  <c r="G66" i="1" s="1"/>
  <c r="E48" i="1"/>
  <c r="D48" i="24"/>
  <c r="E91" i="1"/>
  <c r="D91" i="24"/>
  <c r="X167" i="1"/>
  <c r="Y57" i="1" s="1"/>
  <c r="E2" i="1"/>
  <c r="D2" i="24"/>
  <c r="M62" i="5"/>
  <c r="G62" i="1" s="1"/>
  <c r="M74" i="5"/>
  <c r="G74" i="1" s="1"/>
  <c r="E87" i="1"/>
  <c r="D87" i="24"/>
  <c r="M142" i="5"/>
  <c r="G142" i="1" s="1"/>
  <c r="M32" i="5"/>
  <c r="G32" i="1" s="1"/>
  <c r="M135" i="5"/>
  <c r="G135" i="1" s="1"/>
  <c r="E71" i="1"/>
  <c r="D71" i="24"/>
  <c r="M11" i="5"/>
  <c r="G11" i="1" s="1"/>
  <c r="M3" i="5"/>
  <c r="G3" i="1" s="1"/>
  <c r="M138" i="5"/>
  <c r="G138" i="1" s="1"/>
  <c r="M49" i="5"/>
  <c r="G49" i="1" s="1"/>
  <c r="M33" i="5"/>
  <c r="G33" i="1" s="1"/>
  <c r="E98" i="1"/>
  <c r="D98" i="24"/>
  <c r="E152" i="1"/>
  <c r="D152" i="24"/>
  <c r="X47" i="1"/>
  <c r="Y17" i="1" s="1"/>
  <c r="M77" i="5"/>
  <c r="G77" i="1" s="1"/>
  <c r="M123" i="5"/>
  <c r="G123" i="1" s="1"/>
  <c r="M39" i="5"/>
  <c r="G39" i="1" s="1"/>
  <c r="M106" i="5"/>
  <c r="G106" i="1" s="1"/>
  <c r="M69" i="5"/>
  <c r="G69" i="1" s="1"/>
  <c r="M64" i="5"/>
  <c r="G64" i="1" s="1"/>
  <c r="E114" i="1"/>
  <c r="D114" i="24"/>
  <c r="X130" i="1"/>
  <c r="AA44" i="1" s="1"/>
  <c r="M161" i="5"/>
  <c r="G161" i="1" s="1"/>
  <c r="M92" i="5"/>
  <c r="G92" i="1" s="1"/>
  <c r="M19" i="5"/>
  <c r="G19" i="1" s="1"/>
  <c r="M5" i="5"/>
  <c r="G5" i="1" s="1"/>
  <c r="M141" i="5"/>
  <c r="G141" i="1" s="1"/>
  <c r="M61" i="5"/>
  <c r="G61" i="1" s="1"/>
  <c r="M41" i="5"/>
  <c r="G41" i="1" s="1"/>
  <c r="M164" i="5"/>
  <c r="G164" i="1" s="1"/>
  <c r="M87" i="5"/>
  <c r="G87" i="1" s="1"/>
  <c r="M104" i="5"/>
  <c r="G104" i="1" s="1"/>
  <c r="M110" i="5"/>
  <c r="G110" i="1" s="1"/>
  <c r="M2" i="5"/>
  <c r="G2" i="1" s="1"/>
  <c r="E139" i="1"/>
  <c r="D139" i="24"/>
  <c r="E97" i="1"/>
  <c r="D97" i="24"/>
  <c r="E49" i="1"/>
  <c r="D49" i="24"/>
  <c r="E157" i="1"/>
  <c r="D157" i="24"/>
  <c r="M7" i="5"/>
  <c r="G7" i="1" s="1"/>
  <c r="M60" i="5"/>
  <c r="G60" i="1" s="1"/>
  <c r="M120" i="5"/>
  <c r="G120" i="1" s="1"/>
  <c r="M131" i="5"/>
  <c r="G131" i="1" s="1"/>
  <c r="M51" i="5"/>
  <c r="G51" i="1" s="1"/>
  <c r="M97" i="5"/>
  <c r="G97" i="1" s="1"/>
  <c r="E92" i="1"/>
  <c r="D92" i="24"/>
  <c r="E4" i="1"/>
  <c r="D4" i="24"/>
  <c r="AF63" i="1" l="1"/>
  <c r="AD61" i="1"/>
  <c r="AG61" i="1" s="1"/>
  <c r="AE63" i="1"/>
  <c r="AH63" i="1" s="1"/>
  <c r="AH61" i="1"/>
  <c r="AE60" i="1"/>
  <c r="AH60" i="1" s="1"/>
  <c r="AG60" i="1"/>
  <c r="AF60" i="1"/>
  <c r="L6" i="6"/>
  <c r="E180" i="5"/>
  <c r="G179" i="1"/>
  <c r="H179" i="1" s="1"/>
  <c r="J61" i="1" s="1"/>
  <c r="M61" i="1" s="1"/>
  <c r="P61" i="1" s="1"/>
  <c r="E179" i="5"/>
  <c r="N180" i="5"/>
  <c r="N186" i="5"/>
  <c r="G186" i="1"/>
  <c r="H186" i="1" s="1"/>
  <c r="G176" i="1"/>
  <c r="H176" i="1" s="1"/>
  <c r="J60" i="1" s="1"/>
  <c r="M60" i="1" s="1"/>
  <c r="E176" i="5"/>
  <c r="E184" i="5"/>
  <c r="G184" i="1"/>
  <c r="H184" i="1" s="1"/>
  <c r="L62" i="1" s="1"/>
  <c r="O62" i="1" s="1"/>
  <c r="G185" i="1"/>
  <c r="H185" i="1" s="1"/>
  <c r="J63" i="1" s="1"/>
  <c r="M63" i="1" s="1"/>
  <c r="E187" i="5"/>
  <c r="G187" i="1"/>
  <c r="H187" i="1" s="1"/>
  <c r="L63" i="1" s="1"/>
  <c r="E185" i="5"/>
  <c r="G181" i="1"/>
  <c r="H181" i="1" s="1"/>
  <c r="L61" i="1" s="1"/>
  <c r="O61" i="1" s="1"/>
  <c r="N181" i="5"/>
  <c r="E183" i="5"/>
  <c r="G183" i="1"/>
  <c r="H183" i="1" s="1"/>
  <c r="K62" i="1" s="1"/>
  <c r="N183" i="5"/>
  <c r="N177" i="5"/>
  <c r="E177" i="5"/>
  <c r="G177" i="1"/>
  <c r="N182" i="5"/>
  <c r="E182" i="5"/>
  <c r="G182" i="1"/>
  <c r="E178" i="5"/>
  <c r="G178" i="1"/>
  <c r="H178" i="1" s="1"/>
  <c r="L60" i="1" s="1"/>
  <c r="N178" i="5"/>
  <c r="AH62" i="1"/>
  <c r="AD62" i="1"/>
  <c r="AG62" i="1" s="1"/>
  <c r="AF62" i="1"/>
  <c r="E58" i="5"/>
  <c r="E58" i="24" s="1"/>
  <c r="G58" i="1"/>
  <c r="H58" i="1" s="1"/>
  <c r="L20" i="1" s="1"/>
  <c r="O20" i="1" s="1"/>
  <c r="H52" i="1"/>
  <c r="L18" i="1" s="1"/>
  <c r="H4" i="1"/>
  <c r="L2" i="1" s="1"/>
  <c r="H37" i="1"/>
  <c r="L13" i="1" s="1"/>
  <c r="AF40" i="1"/>
  <c r="H168" i="1"/>
  <c r="K57" i="1" s="1"/>
  <c r="H108" i="1"/>
  <c r="K37" i="1" s="1"/>
  <c r="H16" i="1"/>
  <c r="L6" i="1" s="1"/>
  <c r="H171" i="1"/>
  <c r="H133" i="1"/>
  <c r="L45" i="1" s="1"/>
  <c r="H40" i="1"/>
  <c r="L14" i="1" s="1"/>
  <c r="H12" i="1"/>
  <c r="K5" i="1" s="1"/>
  <c r="AG35" i="1"/>
  <c r="H20" i="1"/>
  <c r="AG49" i="1"/>
  <c r="H158" i="1"/>
  <c r="J54" i="1" s="1"/>
  <c r="AG20" i="1"/>
  <c r="H44" i="1"/>
  <c r="J16" i="1" s="1"/>
  <c r="H90" i="1"/>
  <c r="K31" i="1" s="1"/>
  <c r="H148" i="1"/>
  <c r="L50" i="1" s="1"/>
  <c r="H10" i="1"/>
  <c r="L4" i="1" s="1"/>
  <c r="H146" i="1"/>
  <c r="J50" i="1" s="1"/>
  <c r="H122" i="1"/>
  <c r="H172" i="1"/>
  <c r="L58" i="1" s="1"/>
  <c r="H149" i="1"/>
  <c r="J51" i="1" s="1"/>
  <c r="E57" i="5"/>
  <c r="E57" i="24" s="1"/>
  <c r="H46" i="1"/>
  <c r="L16" i="1" s="1"/>
  <c r="H28" i="1"/>
  <c r="L10" i="1" s="1"/>
  <c r="H83" i="1"/>
  <c r="J29" i="1" s="1"/>
  <c r="H104" i="1"/>
  <c r="H125" i="1"/>
  <c r="J43" i="1" s="1"/>
  <c r="AF35" i="1"/>
  <c r="H126" i="1"/>
  <c r="K43" i="1" s="1"/>
  <c r="H127" i="1"/>
  <c r="L43" i="1" s="1"/>
  <c r="G118" i="1"/>
  <c r="H118" i="1" s="1"/>
  <c r="L40" i="1" s="1"/>
  <c r="O40" i="1" s="1"/>
  <c r="H116" i="1"/>
  <c r="J40" i="1" s="1"/>
  <c r="H106" i="1"/>
  <c r="L36" i="1" s="1"/>
  <c r="N105" i="5"/>
  <c r="G105" i="1"/>
  <c r="H105" i="1" s="1"/>
  <c r="K36" i="1" s="1"/>
  <c r="H74" i="1"/>
  <c r="H79" i="1"/>
  <c r="L27" i="1" s="1"/>
  <c r="H114" i="1"/>
  <c r="AF20" i="1"/>
  <c r="H91" i="1"/>
  <c r="L31" i="1" s="1"/>
  <c r="H107" i="1"/>
  <c r="H75" i="1"/>
  <c r="K26" i="1" s="1"/>
  <c r="H115" i="1"/>
  <c r="L39" i="1" s="1"/>
  <c r="X170" i="1"/>
  <c r="Y58" i="1" s="1"/>
  <c r="AB58" i="1" s="1"/>
  <c r="H170" i="1"/>
  <c r="J58" i="1" s="1"/>
  <c r="M58" i="1" s="1"/>
  <c r="E78" i="5"/>
  <c r="E78" i="24" s="1"/>
  <c r="G78" i="1"/>
  <c r="H78" i="1" s="1"/>
  <c r="K27" i="1" s="1"/>
  <c r="H77" i="1"/>
  <c r="N112" i="5"/>
  <c r="G112" i="1"/>
  <c r="H112" i="1" s="1"/>
  <c r="L38" i="1" s="1"/>
  <c r="H111" i="1"/>
  <c r="K38" i="1" s="1"/>
  <c r="H110" i="1"/>
  <c r="H163" i="1"/>
  <c r="L55" i="1" s="1"/>
  <c r="H151" i="1"/>
  <c r="L51" i="1" s="1"/>
  <c r="H36" i="1"/>
  <c r="K13" i="1" s="1"/>
  <c r="H56" i="1"/>
  <c r="J20" i="1" s="1"/>
  <c r="N57" i="5"/>
  <c r="H13" i="1"/>
  <c r="L5" i="1" s="1"/>
  <c r="H164" i="1"/>
  <c r="J56" i="1" s="1"/>
  <c r="H100" i="1"/>
  <c r="L34" i="1" s="1"/>
  <c r="H67" i="1"/>
  <c r="L23" i="1" s="1"/>
  <c r="H35" i="1"/>
  <c r="E56" i="5"/>
  <c r="E56" i="24" s="1"/>
  <c r="H41" i="1"/>
  <c r="H73" i="1"/>
  <c r="L25" i="1" s="1"/>
  <c r="N56" i="5"/>
  <c r="H157" i="1"/>
  <c r="L53" i="1" s="1"/>
  <c r="H131" i="1"/>
  <c r="H66" i="1"/>
  <c r="K23" i="1" s="1"/>
  <c r="H50" i="1"/>
  <c r="J18" i="1" s="1"/>
  <c r="H15" i="1"/>
  <c r="H22" i="1"/>
  <c r="L8" i="1" s="1"/>
  <c r="H21" i="1"/>
  <c r="K8" i="1" s="1"/>
  <c r="H39" i="1"/>
  <c r="H59" i="1"/>
  <c r="J21" i="1" s="1"/>
  <c r="H60" i="1"/>
  <c r="K21" i="1" s="1"/>
  <c r="H61" i="1"/>
  <c r="L21" i="1" s="1"/>
  <c r="H165" i="1"/>
  <c r="K56" i="1" s="1"/>
  <c r="H166" i="1"/>
  <c r="L56" i="1" s="1"/>
  <c r="H71" i="1"/>
  <c r="J25" i="1" s="1"/>
  <c r="N72" i="5"/>
  <c r="G72" i="1"/>
  <c r="H72" i="1" s="1"/>
  <c r="K25" i="1" s="1"/>
  <c r="G144" i="1"/>
  <c r="H144" i="1" s="1"/>
  <c r="K49" i="1" s="1"/>
  <c r="N49" i="1" s="1"/>
  <c r="G145" i="1"/>
  <c r="H145" i="1" s="1"/>
  <c r="L49" i="1" s="1"/>
  <c r="O49" i="1" s="1"/>
  <c r="AF49" i="1"/>
  <c r="H64" i="1"/>
  <c r="L22" i="1" s="1"/>
  <c r="H62" i="1"/>
  <c r="H63" i="1"/>
  <c r="K22" i="1" s="1"/>
  <c r="H87" i="1"/>
  <c r="K30" i="1" s="1"/>
  <c r="H88" i="1"/>
  <c r="L30" i="1" s="1"/>
  <c r="G86" i="1"/>
  <c r="H86" i="1" s="1"/>
  <c r="J30" i="1" s="1"/>
  <c r="M30" i="1" s="1"/>
  <c r="H147" i="1"/>
  <c r="H142" i="1"/>
  <c r="L48" i="1" s="1"/>
  <c r="H141" i="1"/>
  <c r="H51" i="1"/>
  <c r="K18" i="1" s="1"/>
  <c r="H109" i="1"/>
  <c r="L37" i="1" s="1"/>
  <c r="H174" i="1"/>
  <c r="K59" i="1" s="1"/>
  <c r="H173" i="1"/>
  <c r="H175" i="1"/>
  <c r="L59" i="1" s="1"/>
  <c r="H26" i="1"/>
  <c r="J10" i="1" s="1"/>
  <c r="H81" i="1"/>
  <c r="K28" i="1" s="1"/>
  <c r="H80" i="1"/>
  <c r="J28" i="1" s="1"/>
  <c r="N82" i="5"/>
  <c r="G82" i="1"/>
  <c r="H82" i="1" s="1"/>
  <c r="L28" i="1" s="1"/>
  <c r="H9" i="1"/>
  <c r="K4" i="1" s="1"/>
  <c r="H8" i="1"/>
  <c r="J4" i="1" s="1"/>
  <c r="H69" i="1"/>
  <c r="G68" i="1"/>
  <c r="H68" i="1" s="1"/>
  <c r="J24" i="1" s="1"/>
  <c r="M24" i="1" s="1"/>
  <c r="N70" i="5"/>
  <c r="G70" i="1"/>
  <c r="H70" i="1" s="1"/>
  <c r="L24" i="1" s="1"/>
  <c r="H11" i="1"/>
  <c r="H55" i="1"/>
  <c r="N53" i="5"/>
  <c r="G53" i="1"/>
  <c r="H53" i="1" s="1"/>
  <c r="J19" i="1" s="1"/>
  <c r="H54" i="1"/>
  <c r="K19" i="1" s="1"/>
  <c r="H33" i="1"/>
  <c r="K12" i="1" s="1"/>
  <c r="H32" i="1"/>
  <c r="N34" i="5"/>
  <c r="G34" i="1"/>
  <c r="H34" i="1" s="1"/>
  <c r="L12" i="1" s="1"/>
  <c r="H160" i="1"/>
  <c r="L54" i="1" s="1"/>
  <c r="H159" i="1"/>
  <c r="K54" i="1" s="1"/>
  <c r="G102" i="1"/>
  <c r="H102" i="1" s="1"/>
  <c r="K35" i="1" s="1"/>
  <c r="N35" i="1" s="1"/>
  <c r="N101" i="5"/>
  <c r="G101" i="1"/>
  <c r="H101" i="1" s="1"/>
  <c r="J35" i="1" s="1"/>
  <c r="H161" i="1"/>
  <c r="H162" i="1"/>
  <c r="K55" i="1" s="1"/>
  <c r="H7" i="1"/>
  <c r="L3" i="1" s="1"/>
  <c r="H6" i="1"/>
  <c r="K3" i="1" s="1"/>
  <c r="H5" i="1"/>
  <c r="J3" i="1" s="1"/>
  <c r="H19" i="1"/>
  <c r="N17" i="5"/>
  <c r="G17" i="1"/>
  <c r="H17" i="1" s="1"/>
  <c r="J7" i="1" s="1"/>
  <c r="H150" i="1"/>
  <c r="K51" i="1" s="1"/>
  <c r="N169" i="5"/>
  <c r="G169" i="1"/>
  <c r="H169" i="1" s="1"/>
  <c r="L57" i="1" s="1"/>
  <c r="N94" i="5"/>
  <c r="G94" i="1"/>
  <c r="H94" i="1" s="1"/>
  <c r="L32" i="1" s="1"/>
  <c r="H92" i="1"/>
  <c r="H93" i="1"/>
  <c r="K32" i="1" s="1"/>
  <c r="H97" i="1"/>
  <c r="L33" i="1" s="1"/>
  <c r="H96" i="1"/>
  <c r="K33" i="1" s="1"/>
  <c r="H95" i="1"/>
  <c r="H129" i="1"/>
  <c r="N128" i="5"/>
  <c r="G128" i="1"/>
  <c r="H128" i="1" s="1"/>
  <c r="J44" i="1" s="1"/>
  <c r="M44" i="1" s="1"/>
  <c r="E130" i="5"/>
  <c r="E130" i="24" s="1"/>
  <c r="G130" i="1"/>
  <c r="H130" i="1" s="1"/>
  <c r="L44" i="1" s="1"/>
  <c r="O44" i="1" s="1"/>
  <c r="H123" i="1"/>
  <c r="K42" i="1" s="1"/>
  <c r="N124" i="5"/>
  <c r="G124" i="1"/>
  <c r="H124" i="1" s="1"/>
  <c r="L42" i="1" s="1"/>
  <c r="N136" i="5"/>
  <c r="G136" i="1"/>
  <c r="H136" i="1" s="1"/>
  <c r="L46" i="1" s="1"/>
  <c r="H135" i="1"/>
  <c r="K46" i="1" s="1"/>
  <c r="H134" i="1"/>
  <c r="H139" i="1"/>
  <c r="L47" i="1" s="1"/>
  <c r="H137" i="1"/>
  <c r="H138" i="1"/>
  <c r="K47" i="1" s="1"/>
  <c r="H120" i="1"/>
  <c r="K41" i="1" s="1"/>
  <c r="H119" i="1"/>
  <c r="H121" i="1"/>
  <c r="L41" i="1" s="1"/>
  <c r="N153" i="5"/>
  <c r="G153" i="1"/>
  <c r="H153" i="1" s="1"/>
  <c r="K52" i="1" s="1"/>
  <c r="H154" i="1"/>
  <c r="L52" i="1" s="1"/>
  <c r="H152" i="1"/>
  <c r="H98" i="1"/>
  <c r="H99" i="1"/>
  <c r="K34" i="1" s="1"/>
  <c r="H65" i="1"/>
  <c r="H132" i="1"/>
  <c r="K45" i="1" s="1"/>
  <c r="H49" i="1"/>
  <c r="L17" i="1" s="1"/>
  <c r="H48" i="1"/>
  <c r="N24" i="5"/>
  <c r="G24" i="1"/>
  <c r="H24" i="1" s="1"/>
  <c r="K9" i="1" s="1"/>
  <c r="H23" i="1"/>
  <c r="N25" i="5"/>
  <c r="G25" i="1"/>
  <c r="H25" i="1" s="1"/>
  <c r="L9" i="1" s="1"/>
  <c r="H89" i="1"/>
  <c r="J31" i="1" s="1"/>
  <c r="H85" i="1"/>
  <c r="E84" i="5"/>
  <c r="E84" i="24" s="1"/>
  <c r="G84" i="1"/>
  <c r="H84" i="1" s="1"/>
  <c r="K29" i="1" s="1"/>
  <c r="N29" i="1" s="1"/>
  <c r="N30" i="5"/>
  <c r="G30" i="1"/>
  <c r="H30" i="1" s="1"/>
  <c r="K11" i="1" s="1"/>
  <c r="H31" i="1"/>
  <c r="L11" i="1" s="1"/>
  <c r="N29" i="5"/>
  <c r="G29" i="1"/>
  <c r="H29" i="1" s="1"/>
  <c r="J11" i="1" s="1"/>
  <c r="H3" i="1"/>
  <c r="K2" i="1" s="1"/>
  <c r="H2" i="1"/>
  <c r="H156" i="1"/>
  <c r="K53" i="1" s="1"/>
  <c r="H155" i="1"/>
  <c r="H42" i="1"/>
  <c r="K15" i="1" s="1"/>
  <c r="N43" i="5"/>
  <c r="G43" i="1"/>
  <c r="H43" i="1" s="1"/>
  <c r="L15" i="1" s="1"/>
  <c r="N172" i="5"/>
  <c r="AE20" i="1"/>
  <c r="AH20" i="1" s="1"/>
  <c r="N20" i="1"/>
  <c r="N47" i="5"/>
  <c r="J17" i="1"/>
  <c r="M17" i="1" s="1"/>
  <c r="E53" i="5"/>
  <c r="E53" i="24" s="1"/>
  <c r="E34" i="5"/>
  <c r="E34" i="24" s="1"/>
  <c r="N78" i="5"/>
  <c r="E136" i="5"/>
  <c r="E136" i="24" s="1"/>
  <c r="E70" i="5"/>
  <c r="E70" i="24" s="1"/>
  <c r="E43" i="5"/>
  <c r="E43" i="24" s="1"/>
  <c r="N4" i="5"/>
  <c r="E82" i="5"/>
  <c r="E82" i="24" s="1"/>
  <c r="E144" i="5"/>
  <c r="E144" i="24" s="1"/>
  <c r="N144" i="5"/>
  <c r="E118" i="5"/>
  <c r="E118" i="24" s="1"/>
  <c r="N118" i="5"/>
  <c r="E47" i="5"/>
  <c r="E47" i="24" s="1"/>
  <c r="E153" i="5"/>
  <c r="E153" i="24" s="1"/>
  <c r="J57" i="1"/>
  <c r="M57" i="1" s="1"/>
  <c r="E167" i="5"/>
  <c r="E167" i="24" s="1"/>
  <c r="N167" i="5"/>
  <c r="E145" i="5"/>
  <c r="E145" i="24" s="1"/>
  <c r="E143" i="5"/>
  <c r="E143" i="24" s="1"/>
  <c r="N143" i="5"/>
  <c r="N145" i="5"/>
  <c r="E4" i="5"/>
  <c r="E4" i="24" s="1"/>
  <c r="O5" i="55"/>
  <c r="R5" i="55" s="1"/>
  <c r="O19" i="55"/>
  <c r="Q40" i="55"/>
  <c r="O40" i="55"/>
  <c r="S40" i="55"/>
  <c r="O26" i="55"/>
  <c r="R26" i="55" s="1"/>
  <c r="Q12" i="55"/>
  <c r="O12" i="55"/>
  <c r="R12" i="55" s="1"/>
  <c r="S12" i="55"/>
  <c r="O33" i="55"/>
  <c r="R33" i="55" s="1"/>
  <c r="S33" i="55"/>
  <c r="Q33" i="55"/>
  <c r="O47" i="55"/>
  <c r="E112" i="5"/>
  <c r="E112" i="24" s="1"/>
  <c r="N168" i="5"/>
  <c r="E172" i="5"/>
  <c r="E172" i="24" s="1"/>
  <c r="N16" i="5"/>
  <c r="E16" i="5"/>
  <c r="E16" i="24" s="1"/>
  <c r="E124" i="5"/>
  <c r="E124" i="24" s="1"/>
  <c r="E101" i="5"/>
  <c r="E101" i="24" s="1"/>
  <c r="N116" i="5"/>
  <c r="E94" i="5"/>
  <c r="E94" i="24" s="1"/>
  <c r="E93" i="5"/>
  <c r="E93" i="24" s="1"/>
  <c r="E30" i="5"/>
  <c r="E30" i="24" s="1"/>
  <c r="N154" i="5"/>
  <c r="E168" i="5"/>
  <c r="E168" i="24" s="1"/>
  <c r="E154" i="5"/>
  <c r="E154" i="24" s="1"/>
  <c r="E25" i="5"/>
  <c r="E25" i="24" s="1"/>
  <c r="AE49" i="1"/>
  <c r="AH49" i="1" s="1"/>
  <c r="N84" i="5"/>
  <c r="E17" i="5"/>
  <c r="E17" i="24" s="1"/>
  <c r="N113" i="5"/>
  <c r="E113" i="5"/>
  <c r="E113" i="24" s="1"/>
  <c r="J39" i="1"/>
  <c r="M39" i="1" s="1"/>
  <c r="E29" i="5"/>
  <c r="E29" i="24" s="1"/>
  <c r="E128" i="5"/>
  <c r="E128" i="24" s="1"/>
  <c r="N130" i="5"/>
  <c r="N93" i="5"/>
  <c r="N68" i="5"/>
  <c r="E116" i="5"/>
  <c r="E116" i="24" s="1"/>
  <c r="E68" i="5"/>
  <c r="E68" i="24" s="1"/>
  <c r="N86" i="5"/>
  <c r="J48" i="1"/>
  <c r="M48" i="1" s="1"/>
  <c r="E140" i="5"/>
  <c r="E140" i="24" s="1"/>
  <c r="N140" i="5"/>
  <c r="E86" i="5"/>
  <c r="E86" i="24" s="1"/>
  <c r="N146" i="5"/>
  <c r="E24" i="5"/>
  <c r="E24" i="24" s="1"/>
  <c r="E72" i="5"/>
  <c r="E72" i="24" s="1"/>
  <c r="E12" i="5"/>
  <c r="E12" i="24" s="1"/>
  <c r="N12" i="5"/>
  <c r="E83" i="5"/>
  <c r="E83" i="24" s="1"/>
  <c r="E146" i="5"/>
  <c r="E146" i="24" s="1"/>
  <c r="N102" i="5"/>
  <c r="N83" i="5"/>
  <c r="N117" i="5"/>
  <c r="E117" i="5"/>
  <c r="E117" i="24" s="1"/>
  <c r="E102" i="5"/>
  <c r="E102" i="24" s="1"/>
  <c r="X116" i="1"/>
  <c r="Y40" i="1" s="1"/>
  <c r="E108" i="5"/>
  <c r="E108" i="24" s="1"/>
  <c r="N108" i="5"/>
  <c r="E105" i="5"/>
  <c r="E105" i="24" s="1"/>
  <c r="J6" i="1"/>
  <c r="M6" i="1" s="1"/>
  <c r="E14" i="5"/>
  <c r="E14" i="24" s="1"/>
  <c r="N14" i="5"/>
  <c r="E40" i="5"/>
  <c r="E40" i="24" s="1"/>
  <c r="N76" i="5"/>
  <c r="E76" i="5"/>
  <c r="E76" i="24" s="1"/>
  <c r="L26" i="1"/>
  <c r="N27" i="5"/>
  <c r="K10" i="1"/>
  <c r="E27" i="5"/>
  <c r="E27" i="24" s="1"/>
  <c r="E38" i="5"/>
  <c r="E38" i="24" s="1"/>
  <c r="N38" i="5"/>
  <c r="J14" i="1"/>
  <c r="M14" i="1" s="1"/>
  <c r="N170" i="5"/>
  <c r="E170" i="5"/>
  <c r="E170" i="24" s="1"/>
  <c r="K7" i="1"/>
  <c r="N7" i="1" s="1"/>
  <c r="E18" i="5"/>
  <c r="E18" i="24" s="1"/>
  <c r="N18" i="5"/>
  <c r="K16" i="1"/>
  <c r="N45" i="5"/>
  <c r="E45" i="5"/>
  <c r="E45" i="24" s="1"/>
  <c r="L35" i="1"/>
  <c r="E103" i="5"/>
  <c r="E103" i="24" s="1"/>
  <c r="N103" i="5"/>
  <c r="N40" i="5"/>
  <c r="AE35" i="1"/>
  <c r="AH35" i="1" s="1"/>
  <c r="P26" i="55"/>
  <c r="S26" i="55" s="1"/>
  <c r="M26" i="55"/>
  <c r="Q26" i="55" s="1"/>
  <c r="M19" i="55"/>
  <c r="Q19" i="55" s="1"/>
  <c r="P47" i="55"/>
  <c r="S47" i="55" s="1"/>
  <c r="M47" i="55"/>
  <c r="Q47" i="55" s="1"/>
  <c r="M5" i="55"/>
  <c r="Q5" i="55" s="1"/>
  <c r="M40" i="55"/>
  <c r="M12" i="55"/>
  <c r="M33" i="55"/>
  <c r="P33" i="55"/>
  <c r="E75" i="5"/>
  <c r="E75" i="24" s="1"/>
  <c r="N75" i="5"/>
  <c r="AB6" i="1"/>
  <c r="X136" i="1"/>
  <c r="AA46" i="1" s="1"/>
  <c r="E151" i="5"/>
  <c r="E151" i="24" s="1"/>
  <c r="N151" i="5"/>
  <c r="E111" i="5"/>
  <c r="E111" i="24" s="1"/>
  <c r="N111" i="5"/>
  <c r="E22" i="5"/>
  <c r="E22" i="24" s="1"/>
  <c r="N22" i="5"/>
  <c r="X51" i="1"/>
  <c r="Z18" i="1" s="1"/>
  <c r="L26" i="55"/>
  <c r="X169" i="1"/>
  <c r="AA57" i="1" s="1"/>
  <c r="E50" i="5"/>
  <c r="E50" i="24" s="1"/>
  <c r="N50" i="5"/>
  <c r="E59" i="5"/>
  <c r="E59" i="24" s="1"/>
  <c r="N59" i="5"/>
  <c r="X175" i="1"/>
  <c r="AA59" i="1" s="1"/>
  <c r="X161" i="1"/>
  <c r="Y55" i="1" s="1"/>
  <c r="X95" i="1"/>
  <c r="Y33" i="1" s="1"/>
  <c r="X172" i="1"/>
  <c r="AA58" i="1" s="1"/>
  <c r="E80" i="5"/>
  <c r="E80" i="24" s="1"/>
  <c r="N80" i="5"/>
  <c r="E89" i="5"/>
  <c r="E89" i="24" s="1"/>
  <c r="N89" i="5"/>
  <c r="E21" i="5"/>
  <c r="E21" i="24" s="1"/>
  <c r="N21" i="5"/>
  <c r="X132" i="1"/>
  <c r="Z45" i="1" s="1"/>
  <c r="X97" i="1"/>
  <c r="AA33" i="1" s="1"/>
  <c r="E87" i="5"/>
  <c r="E87" i="24" s="1"/>
  <c r="N87" i="5"/>
  <c r="E19" i="5"/>
  <c r="E19" i="24" s="1"/>
  <c r="N19" i="5"/>
  <c r="AD44" i="1"/>
  <c r="AG44" i="1" s="1"/>
  <c r="X152" i="1"/>
  <c r="Y52" i="1" s="1"/>
  <c r="E3" i="5"/>
  <c r="E3" i="24" s="1"/>
  <c r="N3" i="5"/>
  <c r="E74" i="5"/>
  <c r="E74" i="24" s="1"/>
  <c r="N74" i="5"/>
  <c r="X91" i="1"/>
  <c r="AA31" i="1" s="1"/>
  <c r="X48" i="1"/>
  <c r="Z17" i="1" s="1"/>
  <c r="E42" i="5"/>
  <c r="E42" i="24" s="1"/>
  <c r="N42" i="5"/>
  <c r="E13" i="5"/>
  <c r="E13" i="24" s="1"/>
  <c r="N13" i="5"/>
  <c r="E109" i="5"/>
  <c r="E109" i="24" s="1"/>
  <c r="N109" i="5"/>
  <c r="X82" i="1"/>
  <c r="AA28" i="1" s="1"/>
  <c r="X119" i="1"/>
  <c r="Y41" i="1" s="1"/>
  <c r="X96" i="1"/>
  <c r="Z33" i="1" s="1"/>
  <c r="X165" i="1"/>
  <c r="Z56" i="1" s="1"/>
  <c r="X77" i="1"/>
  <c r="Y27" i="1" s="1"/>
  <c r="X59" i="1"/>
  <c r="Y21" i="1" s="1"/>
  <c r="X155" i="1"/>
  <c r="Y53" i="1" s="1"/>
  <c r="X107" i="1"/>
  <c r="Y37" i="1" s="1"/>
  <c r="X40" i="1"/>
  <c r="AA14" i="1" s="1"/>
  <c r="X12" i="1"/>
  <c r="Z5" i="1" s="1"/>
  <c r="X62" i="1"/>
  <c r="Y22" i="1" s="1"/>
  <c r="E85" i="5"/>
  <c r="E85" i="24" s="1"/>
  <c r="N85" i="5"/>
  <c r="X146" i="1"/>
  <c r="Y50" i="1" s="1"/>
  <c r="E9" i="5"/>
  <c r="E9" i="24" s="1"/>
  <c r="N9" i="5"/>
  <c r="X36" i="1"/>
  <c r="Z13" i="1" s="1"/>
  <c r="X121" i="1"/>
  <c r="AA41" i="1" s="1"/>
  <c r="X150" i="1"/>
  <c r="Z51" i="1" s="1"/>
  <c r="E163" i="5"/>
  <c r="E163" i="24" s="1"/>
  <c r="N163" i="5"/>
  <c r="R47" i="55"/>
  <c r="L47" i="55"/>
  <c r="E96" i="5"/>
  <c r="E96" i="24" s="1"/>
  <c r="N96" i="5"/>
  <c r="X109" i="1"/>
  <c r="AA37" i="1" s="1"/>
  <c r="X131" i="1"/>
  <c r="Y45" i="1" s="1"/>
  <c r="E125" i="5"/>
  <c r="E125" i="24" s="1"/>
  <c r="N125" i="5"/>
  <c r="E79" i="5"/>
  <c r="E79" i="24" s="1"/>
  <c r="N79" i="5"/>
  <c r="E156" i="5"/>
  <c r="E156" i="24" s="1"/>
  <c r="N156" i="5"/>
  <c r="X26" i="1"/>
  <c r="Y10" i="1" s="1"/>
  <c r="X30" i="1"/>
  <c r="Z11" i="1" s="1"/>
  <c r="E115" i="5"/>
  <c r="E115" i="24" s="1"/>
  <c r="N115" i="5"/>
  <c r="X85" i="1"/>
  <c r="AA29" i="1" s="1"/>
  <c r="E5" i="5"/>
  <c r="E5" i="24" s="1"/>
  <c r="N5" i="5"/>
  <c r="E54" i="5"/>
  <c r="E54" i="24" s="1"/>
  <c r="N54" i="5"/>
  <c r="E62" i="5"/>
  <c r="E62" i="24" s="1"/>
  <c r="N62" i="5"/>
  <c r="E66" i="5"/>
  <c r="E66" i="24" s="1"/>
  <c r="N66" i="5"/>
  <c r="X133" i="1"/>
  <c r="AA45" i="1" s="1"/>
  <c r="X80" i="1"/>
  <c r="Y28" i="1" s="1"/>
  <c r="E81" i="5"/>
  <c r="E81" i="24" s="1"/>
  <c r="N81" i="5"/>
  <c r="X60" i="1"/>
  <c r="Z21" i="1" s="1"/>
  <c r="X65" i="1"/>
  <c r="Y23" i="1" s="1"/>
  <c r="X108" i="1"/>
  <c r="Z37" i="1" s="1"/>
  <c r="E107" i="5"/>
  <c r="E107" i="24" s="1"/>
  <c r="N107" i="5"/>
  <c r="E67" i="5"/>
  <c r="E67" i="24" s="1"/>
  <c r="N67" i="5"/>
  <c r="E100" i="5"/>
  <c r="E100" i="24" s="1"/>
  <c r="N100" i="5"/>
  <c r="E23" i="5"/>
  <c r="E23" i="24" s="1"/>
  <c r="N23" i="5"/>
  <c r="X104" i="1"/>
  <c r="Y36" i="1" s="1"/>
  <c r="L40" i="55"/>
  <c r="R40" i="55"/>
  <c r="X99" i="1"/>
  <c r="Z34" i="1" s="1"/>
  <c r="X127" i="1"/>
  <c r="AA43" i="1" s="1"/>
  <c r="E162" i="5"/>
  <c r="E162" i="24" s="1"/>
  <c r="N162" i="5"/>
  <c r="E149" i="5"/>
  <c r="E149" i="24" s="1"/>
  <c r="N149" i="5"/>
  <c r="E36" i="5"/>
  <c r="E36" i="24" s="1"/>
  <c r="N36" i="5"/>
  <c r="X37" i="1"/>
  <c r="AA13" i="1" s="1"/>
  <c r="AC29" i="1"/>
  <c r="X6" i="1"/>
  <c r="Z3" i="1" s="1"/>
  <c r="X54" i="1"/>
  <c r="Z19" i="1" s="1"/>
  <c r="E106" i="5"/>
  <c r="E106" i="24" s="1"/>
  <c r="N106" i="5"/>
  <c r="E65" i="5"/>
  <c r="E65" i="24" s="1"/>
  <c r="N65" i="5"/>
  <c r="X52" i="1"/>
  <c r="AA18" i="1" s="1"/>
  <c r="E92" i="5"/>
  <c r="E92" i="24" s="1"/>
  <c r="N92" i="5"/>
  <c r="X157" i="1"/>
  <c r="AA53" i="1" s="1"/>
  <c r="X139" i="1"/>
  <c r="AA47" i="1" s="1"/>
  <c r="E161" i="5"/>
  <c r="E161" i="24" s="1"/>
  <c r="N161" i="5"/>
  <c r="X114" i="1"/>
  <c r="Z39" i="1" s="1"/>
  <c r="E123" i="5"/>
  <c r="E123" i="24" s="1"/>
  <c r="N123" i="5"/>
  <c r="X98" i="1"/>
  <c r="Y34" i="1" s="1"/>
  <c r="E157" i="5"/>
  <c r="E157" i="24" s="1"/>
  <c r="N157" i="5"/>
  <c r="X78" i="1"/>
  <c r="Z27" i="1" s="1"/>
  <c r="X46" i="1"/>
  <c r="AA16" i="1" s="1"/>
  <c r="X39" i="1"/>
  <c r="Z14" i="1" s="1"/>
  <c r="X13" i="1"/>
  <c r="AA5" i="1" s="1"/>
  <c r="X55" i="1"/>
  <c r="AA19" i="1" s="1"/>
  <c r="X11" i="1"/>
  <c r="Y5" i="1" s="1"/>
  <c r="X15" i="1"/>
  <c r="Z6" i="1" s="1"/>
  <c r="X25" i="1"/>
  <c r="AA9" i="1" s="1"/>
  <c r="X94" i="1"/>
  <c r="AA32" i="1" s="1"/>
  <c r="X163" i="1"/>
  <c r="AA55" i="1" s="1"/>
  <c r="X16" i="1"/>
  <c r="AA6" i="1" s="1"/>
  <c r="X168" i="1"/>
  <c r="Z57" i="1" s="1"/>
  <c r="E171" i="5"/>
  <c r="E171" i="24" s="1"/>
  <c r="N171" i="5"/>
  <c r="E132" i="5"/>
  <c r="E132" i="24" s="1"/>
  <c r="N132" i="5"/>
  <c r="E63" i="5"/>
  <c r="E63" i="24" s="1"/>
  <c r="N63" i="5"/>
  <c r="X20" i="1"/>
  <c r="Y8" i="1" s="1"/>
  <c r="X75" i="1"/>
  <c r="Z26" i="1" s="1"/>
  <c r="E37" i="5"/>
  <c r="E37" i="24" s="1"/>
  <c r="N37" i="5"/>
  <c r="L33" i="55"/>
  <c r="E88" i="5"/>
  <c r="E88" i="24" s="1"/>
  <c r="N88" i="5"/>
  <c r="E99" i="5"/>
  <c r="E99" i="24" s="1"/>
  <c r="N99" i="5"/>
  <c r="X156" i="1"/>
  <c r="Z53" i="1" s="1"/>
  <c r="X137" i="1"/>
  <c r="Y47" i="1" s="1"/>
  <c r="E148" i="5"/>
  <c r="E148" i="24" s="1"/>
  <c r="N148" i="5"/>
  <c r="X74" i="1"/>
  <c r="Y26" i="1" s="1"/>
  <c r="X110" i="1"/>
  <c r="Y38" i="1" s="1"/>
  <c r="X154" i="1"/>
  <c r="AA52" i="1" s="1"/>
  <c r="X134" i="1"/>
  <c r="Y46" i="1" s="1"/>
  <c r="X64" i="1"/>
  <c r="AA22" i="1" s="1"/>
  <c r="X126" i="1"/>
  <c r="Z43" i="1" s="1"/>
  <c r="E174" i="5"/>
  <c r="E174" i="24" s="1"/>
  <c r="N174" i="5"/>
  <c r="E104" i="5"/>
  <c r="E104" i="24" s="1"/>
  <c r="N104" i="5"/>
  <c r="X41" i="1"/>
  <c r="Y15" i="1" s="1"/>
  <c r="E164" i="5"/>
  <c r="E164" i="24" s="1"/>
  <c r="N164" i="5"/>
  <c r="E11" i="5"/>
  <c r="E11" i="24" s="1"/>
  <c r="N11" i="5"/>
  <c r="E51" i="5"/>
  <c r="E51" i="24" s="1"/>
  <c r="N51" i="5"/>
  <c r="E41" i="5"/>
  <c r="E41" i="24" s="1"/>
  <c r="N41" i="5"/>
  <c r="E77" i="5"/>
  <c r="E77" i="24" s="1"/>
  <c r="N77" i="5"/>
  <c r="E33" i="5"/>
  <c r="E33" i="24" s="1"/>
  <c r="N33" i="5"/>
  <c r="X71" i="1"/>
  <c r="Y25" i="1" s="1"/>
  <c r="E114" i="5"/>
  <c r="E114" i="24" s="1"/>
  <c r="N114" i="5"/>
  <c r="X122" i="1"/>
  <c r="Y42" i="1" s="1"/>
  <c r="X3" i="1"/>
  <c r="Z2" i="1" s="1"/>
  <c r="X32" i="1"/>
  <c r="Y12" i="1" s="1"/>
  <c r="X153" i="1"/>
  <c r="Z52" i="1" s="1"/>
  <c r="E155" i="5"/>
  <c r="E155" i="24" s="1"/>
  <c r="N155" i="5"/>
  <c r="E166" i="5"/>
  <c r="E166" i="24" s="1"/>
  <c r="N166" i="5"/>
  <c r="E165" i="5"/>
  <c r="E165" i="24" s="1"/>
  <c r="N165" i="5"/>
  <c r="E133" i="5"/>
  <c r="E133" i="24" s="1"/>
  <c r="N133" i="5"/>
  <c r="X151" i="1"/>
  <c r="AA51" i="1" s="1"/>
  <c r="X31" i="1"/>
  <c r="AA11" i="1" s="1"/>
  <c r="X159" i="1"/>
  <c r="Z54" i="1" s="1"/>
  <c r="E98" i="5"/>
  <c r="E98" i="24" s="1"/>
  <c r="N98" i="5"/>
  <c r="E159" i="5"/>
  <c r="E159" i="24" s="1"/>
  <c r="N159" i="5"/>
  <c r="X164" i="1"/>
  <c r="Y56" i="1" s="1"/>
  <c r="X138" i="1"/>
  <c r="Z47" i="1" s="1"/>
  <c r="X111" i="1"/>
  <c r="Z38" i="1" s="1"/>
  <c r="X174" i="1"/>
  <c r="Z59" i="1" s="1"/>
  <c r="E158" i="5"/>
  <c r="E158" i="24" s="1"/>
  <c r="N158" i="5"/>
  <c r="E7" i="5"/>
  <c r="E7" i="24" s="1"/>
  <c r="N7" i="5"/>
  <c r="X17" i="1"/>
  <c r="Y7" i="1" s="1"/>
  <c r="E97" i="5"/>
  <c r="E97" i="24" s="1"/>
  <c r="N97" i="5"/>
  <c r="E39" i="5"/>
  <c r="E39" i="24" s="1"/>
  <c r="N39" i="5"/>
  <c r="X4" i="1"/>
  <c r="AA2" i="1" s="1"/>
  <c r="E131" i="5"/>
  <c r="E131" i="24" s="1"/>
  <c r="N131" i="5"/>
  <c r="E2" i="5"/>
  <c r="E2" i="24" s="1"/>
  <c r="N2" i="5"/>
  <c r="E49" i="5"/>
  <c r="E49" i="24" s="1"/>
  <c r="N49" i="5"/>
  <c r="E135" i="5"/>
  <c r="E135" i="24" s="1"/>
  <c r="N135" i="5"/>
  <c r="X2" i="1"/>
  <c r="Y2" i="1" s="1"/>
  <c r="E90" i="5"/>
  <c r="E90" i="24" s="1"/>
  <c r="N90" i="5"/>
  <c r="X10" i="1"/>
  <c r="AA4" i="1" s="1"/>
  <c r="E10" i="5"/>
  <c r="E10" i="24" s="1"/>
  <c r="N10" i="5"/>
  <c r="X115" i="1"/>
  <c r="AA39" i="1" s="1"/>
  <c r="X42" i="1"/>
  <c r="Z15" i="1" s="1"/>
  <c r="X5" i="1"/>
  <c r="Y3" i="1" s="1"/>
  <c r="E119" i="5"/>
  <c r="E119" i="24" s="1"/>
  <c r="N119" i="5"/>
  <c r="X19" i="1"/>
  <c r="AA7" i="1" s="1"/>
  <c r="X53" i="1"/>
  <c r="Y19" i="1" s="1"/>
  <c r="X173" i="1"/>
  <c r="Y59" i="1" s="1"/>
  <c r="X69" i="1"/>
  <c r="Z24" i="1" s="1"/>
  <c r="X120" i="1"/>
  <c r="Z41" i="1" s="1"/>
  <c r="X123" i="1"/>
  <c r="Z42" i="1" s="1"/>
  <c r="X105" i="1"/>
  <c r="Z36" i="1" s="1"/>
  <c r="X124" i="1"/>
  <c r="AA42" i="1" s="1"/>
  <c r="X34" i="1"/>
  <c r="AA12" i="1" s="1"/>
  <c r="X106" i="1"/>
  <c r="AA36" i="1" s="1"/>
  <c r="E48" i="5"/>
  <c r="E48" i="24" s="1"/>
  <c r="N48" i="5"/>
  <c r="E147" i="5"/>
  <c r="E147" i="24" s="1"/>
  <c r="N147" i="5"/>
  <c r="X93" i="1"/>
  <c r="Z32" i="1" s="1"/>
  <c r="E52" i="5"/>
  <c r="E52" i="24" s="1"/>
  <c r="N52" i="5"/>
  <c r="AB24" i="1"/>
  <c r="X24" i="1"/>
  <c r="Z9" i="1" s="1"/>
  <c r="X147" i="1"/>
  <c r="Z50" i="1" s="1"/>
  <c r="X88" i="1"/>
  <c r="AA30" i="1" s="1"/>
  <c r="E126" i="5"/>
  <c r="E126" i="24" s="1"/>
  <c r="N126" i="5"/>
  <c r="L12" i="55"/>
  <c r="X29" i="1"/>
  <c r="Y11" i="1" s="1"/>
  <c r="E8" i="5"/>
  <c r="E8" i="24" s="1"/>
  <c r="N8" i="5"/>
  <c r="X81" i="1"/>
  <c r="Z28" i="1" s="1"/>
  <c r="E20" i="5"/>
  <c r="E20" i="24" s="1"/>
  <c r="N20" i="5"/>
  <c r="X100" i="1"/>
  <c r="AA34" i="1" s="1"/>
  <c r="X33" i="1"/>
  <c r="Z12" i="1" s="1"/>
  <c r="X72" i="1"/>
  <c r="Z25" i="1" s="1"/>
  <c r="X61" i="1"/>
  <c r="AA21" i="1" s="1"/>
  <c r="X7" i="1"/>
  <c r="AA3" i="1" s="1"/>
  <c r="X112" i="1"/>
  <c r="AA38" i="1" s="1"/>
  <c r="X67" i="1"/>
  <c r="AA23" i="1" s="1"/>
  <c r="E129" i="5"/>
  <c r="E129" i="24" s="1"/>
  <c r="N129" i="5"/>
  <c r="X79" i="1"/>
  <c r="AA27" i="1" s="1"/>
  <c r="E120" i="5"/>
  <c r="E120" i="24" s="1"/>
  <c r="N120" i="5"/>
  <c r="E61" i="5"/>
  <c r="E61" i="24" s="1"/>
  <c r="N61" i="5"/>
  <c r="E64" i="5"/>
  <c r="E64" i="24" s="1"/>
  <c r="N64" i="5"/>
  <c r="AB17" i="1"/>
  <c r="E138" i="5"/>
  <c r="E138" i="24" s="1"/>
  <c r="N138" i="5"/>
  <c r="E32" i="5"/>
  <c r="E32" i="24" s="1"/>
  <c r="N32" i="5"/>
  <c r="X87" i="1"/>
  <c r="Z30" i="1" s="1"/>
  <c r="E139" i="5"/>
  <c r="E139" i="24" s="1"/>
  <c r="N139" i="5"/>
  <c r="X149" i="1"/>
  <c r="Y51" i="1" s="1"/>
  <c r="X63" i="1"/>
  <c r="Z22" i="1" s="1"/>
  <c r="E73" i="5"/>
  <c r="E73" i="24" s="1"/>
  <c r="N73" i="5"/>
  <c r="E152" i="5"/>
  <c r="E152" i="24" s="1"/>
  <c r="N152" i="5"/>
  <c r="X66" i="1"/>
  <c r="Z23" i="1" s="1"/>
  <c r="E127" i="5"/>
  <c r="E127" i="24" s="1"/>
  <c r="N127" i="5"/>
  <c r="E91" i="5"/>
  <c r="E91" i="24" s="1"/>
  <c r="N91" i="5"/>
  <c r="E71" i="5"/>
  <c r="E71" i="24" s="1"/>
  <c r="N71" i="5"/>
  <c r="E173" i="5"/>
  <c r="E173" i="24" s="1"/>
  <c r="N173" i="5"/>
  <c r="E175" i="5"/>
  <c r="E175" i="24" s="1"/>
  <c r="N175" i="5"/>
  <c r="L19" i="55"/>
  <c r="R19" i="55"/>
  <c r="X141" i="1"/>
  <c r="Z48" i="1" s="1"/>
  <c r="E31" i="5"/>
  <c r="E31" i="24" s="1"/>
  <c r="N31" i="5"/>
  <c r="X83" i="1"/>
  <c r="Y29" i="1" s="1"/>
  <c r="X166" i="1"/>
  <c r="AA56" i="1" s="1"/>
  <c r="X28" i="1"/>
  <c r="AA10" i="1" s="1"/>
  <c r="X162" i="1"/>
  <c r="Z55" i="1" s="1"/>
  <c r="X43" i="1"/>
  <c r="AA15" i="1" s="1"/>
  <c r="X23" i="1"/>
  <c r="Y9" i="1" s="1"/>
  <c r="X21" i="1"/>
  <c r="Z8" i="1" s="1"/>
  <c r="E134" i="5"/>
  <c r="E134" i="24" s="1"/>
  <c r="N134" i="5"/>
  <c r="E44" i="5"/>
  <c r="E44" i="24" s="1"/>
  <c r="N44" i="5"/>
  <c r="AC16" i="1"/>
  <c r="E35" i="5"/>
  <c r="E35" i="24" s="1"/>
  <c r="N35" i="5"/>
  <c r="X92" i="1"/>
  <c r="Y32" i="1" s="1"/>
  <c r="E60" i="5"/>
  <c r="E60" i="24" s="1"/>
  <c r="N60" i="5"/>
  <c r="X49" i="1"/>
  <c r="AA17" i="1" s="1"/>
  <c r="E110" i="5"/>
  <c r="E110" i="24" s="1"/>
  <c r="N110" i="5"/>
  <c r="E141" i="5"/>
  <c r="E141" i="24" s="1"/>
  <c r="N141" i="5"/>
  <c r="E69" i="5"/>
  <c r="E69" i="24" s="1"/>
  <c r="N69" i="5"/>
  <c r="E142" i="5"/>
  <c r="E142" i="24" s="1"/>
  <c r="N142" i="5"/>
  <c r="AB57" i="1"/>
  <c r="X171" i="1"/>
  <c r="Z58" i="1" s="1"/>
  <c r="E95" i="5"/>
  <c r="E95" i="24" s="1"/>
  <c r="N95" i="5"/>
  <c r="E6" i="5"/>
  <c r="E6" i="24" s="1"/>
  <c r="N6" i="5"/>
  <c r="X22" i="1"/>
  <c r="AA8" i="1" s="1"/>
  <c r="X90" i="1"/>
  <c r="Z31" i="1" s="1"/>
  <c r="E26" i="5"/>
  <c r="E26" i="24" s="1"/>
  <c r="N26" i="5"/>
  <c r="X35" i="1"/>
  <c r="Y13" i="1" s="1"/>
  <c r="X148" i="1"/>
  <c r="AA50" i="1" s="1"/>
  <c r="X89" i="1"/>
  <c r="Y31" i="1" s="1"/>
  <c r="X158" i="1"/>
  <c r="Y54" i="1" s="1"/>
  <c r="E15" i="5"/>
  <c r="E15" i="24" s="1"/>
  <c r="N15" i="5"/>
  <c r="X73" i="1"/>
  <c r="AA25" i="1" s="1"/>
  <c r="X142" i="1"/>
  <c r="AA48" i="1" s="1"/>
  <c r="E122" i="5"/>
  <c r="E122" i="24" s="1"/>
  <c r="N122" i="5"/>
  <c r="AD26" i="1"/>
  <c r="E121" i="5"/>
  <c r="E121" i="24" s="1"/>
  <c r="N121" i="5"/>
  <c r="X135" i="1"/>
  <c r="Z46" i="1" s="1"/>
  <c r="AC10" i="1"/>
  <c r="X44" i="1"/>
  <c r="Y16" i="1" s="1"/>
  <c r="E160" i="5"/>
  <c r="E160" i="24" s="1"/>
  <c r="N160" i="5"/>
  <c r="L5" i="55"/>
  <c r="X129" i="1"/>
  <c r="Z44" i="1" s="1"/>
  <c r="E150" i="5"/>
  <c r="E150" i="24" s="1"/>
  <c r="N150" i="5"/>
  <c r="X125" i="1"/>
  <c r="Y43" i="1" s="1"/>
  <c r="E55" i="5"/>
  <c r="E55" i="24" s="1"/>
  <c r="N55" i="5"/>
  <c r="E28" i="5"/>
  <c r="E28" i="24" s="1"/>
  <c r="N28" i="5"/>
  <c r="E46" i="5"/>
  <c r="E46" i="24" s="1"/>
  <c r="N46" i="5"/>
  <c r="X70" i="1"/>
  <c r="AA24" i="1" s="1"/>
  <c r="E137" i="5"/>
  <c r="E137" i="24" s="1"/>
  <c r="N137" i="5"/>
  <c r="X9" i="1"/>
  <c r="Z4" i="1" s="1"/>
  <c r="X50" i="1"/>
  <c r="Y18" i="1" s="1"/>
  <c r="X8" i="1"/>
  <c r="Y4" i="1" s="1"/>
  <c r="X160" i="1"/>
  <c r="AA54" i="1" s="1"/>
  <c r="AI63" i="1" l="1"/>
  <c r="G185" i="5" s="1"/>
  <c r="H185" i="5" s="1"/>
  <c r="AI61" i="1"/>
  <c r="G179" i="5" s="1"/>
  <c r="H179" i="5" s="1"/>
  <c r="AI60" i="1"/>
  <c r="G176" i="5" s="1"/>
  <c r="H176" i="5" s="1"/>
  <c r="O63" i="1"/>
  <c r="R63" i="1" s="1"/>
  <c r="K63" i="1"/>
  <c r="N63" i="1" s="1"/>
  <c r="Q63" i="1" s="1"/>
  <c r="R61" i="1"/>
  <c r="U61" i="1"/>
  <c r="Q61" i="1"/>
  <c r="S61" i="1"/>
  <c r="U63" i="1"/>
  <c r="H177" i="1"/>
  <c r="K60" i="1" s="1"/>
  <c r="U60" i="1"/>
  <c r="O60" i="1"/>
  <c r="R60" i="1" s="1"/>
  <c r="H182" i="1"/>
  <c r="J62" i="1" s="1"/>
  <c r="U62" i="1"/>
  <c r="N62" i="1"/>
  <c r="Q62" i="1" s="1"/>
  <c r="AI62" i="1"/>
  <c r="G182" i="5" s="1"/>
  <c r="Q20" i="1"/>
  <c r="R20" i="1"/>
  <c r="U20" i="1"/>
  <c r="M20" i="1"/>
  <c r="P20" i="1" s="1"/>
  <c r="S20" i="1" s="1"/>
  <c r="Q49" i="1"/>
  <c r="AI20" i="1"/>
  <c r="G56" i="5" s="1"/>
  <c r="AI49" i="1"/>
  <c r="G143" i="5" s="1"/>
  <c r="H143" i="5" s="1"/>
  <c r="AI35" i="1"/>
  <c r="G101" i="5" s="1"/>
  <c r="U57" i="1"/>
  <c r="J49" i="1"/>
  <c r="M49" i="1" s="1"/>
  <c r="P49" i="1" s="1"/>
  <c r="S49" i="1" s="1"/>
  <c r="U49" i="1"/>
  <c r="U38" i="1"/>
  <c r="U32" i="1"/>
  <c r="U52" i="1"/>
  <c r="U14" i="1"/>
  <c r="U24" i="1"/>
  <c r="N10" i="1"/>
  <c r="Q10" i="1" s="1"/>
  <c r="R44" i="1"/>
  <c r="U44" i="1"/>
  <c r="U29" i="1"/>
  <c r="U9" i="1"/>
  <c r="O26" i="1"/>
  <c r="N16" i="1"/>
  <c r="Q16" i="1" s="1"/>
  <c r="U6" i="1"/>
  <c r="K40" i="1"/>
  <c r="U40" i="1"/>
  <c r="M40" i="1"/>
  <c r="R40" i="1"/>
  <c r="AB40" i="1"/>
  <c r="AG40" i="1"/>
  <c r="U58" i="1"/>
  <c r="U36" i="1"/>
  <c r="U42" i="1"/>
  <c r="U7" i="1"/>
  <c r="J9" i="1"/>
  <c r="M9" i="1" s="1"/>
  <c r="Q35" i="1"/>
  <c r="O35" i="1"/>
  <c r="R35" i="1" s="1"/>
  <c r="U35" i="1"/>
  <c r="M35" i="1"/>
  <c r="P35" i="1" s="1"/>
  <c r="S35" i="1" s="1"/>
  <c r="U50" i="1"/>
  <c r="U27" i="1"/>
  <c r="M36" i="55"/>
  <c r="O36" i="55" s="1"/>
  <c r="P40" i="55"/>
  <c r="M43" i="55" s="1"/>
  <c r="O43" i="55" s="1"/>
  <c r="M50" i="55"/>
  <c r="O50" i="55" s="1"/>
  <c r="M29" i="55"/>
  <c r="O29" i="55" s="1"/>
  <c r="P5" i="55"/>
  <c r="S5" i="55" s="1"/>
  <c r="P12" i="55"/>
  <c r="M15" i="55" s="1"/>
  <c r="O15" i="55" s="1"/>
  <c r="P19" i="55"/>
  <c r="S19" i="55" s="1"/>
  <c r="K44" i="1"/>
  <c r="N44" i="1" s="1"/>
  <c r="Q44" i="1" s="1"/>
  <c r="U2" i="1"/>
  <c r="U46" i="1"/>
  <c r="U53" i="1"/>
  <c r="U13" i="1"/>
  <c r="U45" i="1"/>
  <c r="U34" i="1"/>
  <c r="U55" i="1"/>
  <c r="U59" i="1"/>
  <c r="K50" i="1"/>
  <c r="N50" i="1" s="1"/>
  <c r="Q50" i="1" s="1"/>
  <c r="L7" i="1"/>
  <c r="O7" i="1" s="1"/>
  <c r="R7" i="1" s="1"/>
  <c r="U26" i="1"/>
  <c r="U15" i="1"/>
  <c r="U5" i="1"/>
  <c r="J26" i="1"/>
  <c r="J32" i="1"/>
  <c r="M32" i="1" s="1"/>
  <c r="P32" i="1" s="1"/>
  <c r="S32" i="1" s="1"/>
  <c r="U48" i="1"/>
  <c r="U37" i="1"/>
  <c r="U47" i="1"/>
  <c r="L29" i="1"/>
  <c r="Q29" i="1" s="1"/>
  <c r="U33" i="1"/>
  <c r="U4" i="1"/>
  <c r="U23" i="1"/>
  <c r="U19" i="1"/>
  <c r="U12" i="1"/>
  <c r="K58" i="1"/>
  <c r="N58" i="1" s="1"/>
  <c r="Q58" i="1" s="1"/>
  <c r="U8" i="1"/>
  <c r="U17" i="1"/>
  <c r="J2" i="1"/>
  <c r="M2" i="1" s="1"/>
  <c r="P2" i="1" s="1"/>
  <c r="S2" i="1" s="1"/>
  <c r="U39" i="1"/>
  <c r="O10" i="1"/>
  <c r="R10" i="1" s="1"/>
  <c r="N51" i="1"/>
  <c r="Q51" i="1" s="1"/>
  <c r="O11" i="1"/>
  <c r="R11" i="1" s="1"/>
  <c r="N47" i="1"/>
  <c r="Q47" i="1" s="1"/>
  <c r="N3" i="1"/>
  <c r="Q3" i="1" s="1"/>
  <c r="N21" i="1"/>
  <c r="Q21" i="1" s="1"/>
  <c r="M25" i="1"/>
  <c r="P25" i="1" s="1"/>
  <c r="S25" i="1" s="1"/>
  <c r="N41" i="1"/>
  <c r="Q41" i="1" s="1"/>
  <c r="N54" i="1"/>
  <c r="Q54" i="1" s="1"/>
  <c r="O41" i="1"/>
  <c r="O43" i="1"/>
  <c r="R43" i="1" s="1"/>
  <c r="M10" i="1"/>
  <c r="P10" i="1" s="1"/>
  <c r="S10" i="1" s="1"/>
  <c r="O48" i="1"/>
  <c r="R48" i="1" s="1"/>
  <c r="O33" i="1"/>
  <c r="O13" i="1"/>
  <c r="O31" i="1"/>
  <c r="R31" i="1" s="1"/>
  <c r="N43" i="1"/>
  <c r="Q43" i="1" s="1"/>
  <c r="N45" i="1"/>
  <c r="Q45" i="1" s="1"/>
  <c r="O22" i="1"/>
  <c r="N56" i="1"/>
  <c r="Q56" i="1" s="1"/>
  <c r="N34" i="1"/>
  <c r="Q34" i="1" s="1"/>
  <c r="O16" i="1"/>
  <c r="R16" i="1" s="1"/>
  <c r="N13" i="1"/>
  <c r="Q13" i="1" s="1"/>
  <c r="N18" i="1"/>
  <c r="Q18" i="1" s="1"/>
  <c r="O59" i="1"/>
  <c r="O47" i="1"/>
  <c r="O21" i="1"/>
  <c r="R21" i="1" s="1"/>
  <c r="O18" i="1"/>
  <c r="R18" i="1" s="1"/>
  <c r="O45" i="1"/>
  <c r="O53" i="1"/>
  <c r="N33" i="1"/>
  <c r="Q33" i="1" s="1"/>
  <c r="M18" i="1"/>
  <c r="P18" i="1" s="1"/>
  <c r="S18" i="1" s="1"/>
  <c r="AB16" i="1"/>
  <c r="AD50" i="1"/>
  <c r="AG50" i="1" s="1"/>
  <c r="AC31" i="1"/>
  <c r="AF31" i="1" s="1"/>
  <c r="N55" i="1"/>
  <c r="Q55" i="1" s="1"/>
  <c r="AB51" i="1"/>
  <c r="O38" i="1"/>
  <c r="AC12" i="1"/>
  <c r="AF12" i="1" s="1"/>
  <c r="N28" i="1"/>
  <c r="Q28" i="1" s="1"/>
  <c r="AC50" i="1"/>
  <c r="AF50" i="1" s="1"/>
  <c r="AC32" i="1"/>
  <c r="AF32" i="1" s="1"/>
  <c r="O36" i="1"/>
  <c r="AC42" i="1"/>
  <c r="AF42" i="1" s="1"/>
  <c r="J59" i="1"/>
  <c r="U41" i="1"/>
  <c r="AD2" i="1"/>
  <c r="AG2" i="1" s="1"/>
  <c r="AB7" i="1"/>
  <c r="AC59" i="1"/>
  <c r="AF59" i="1" s="1"/>
  <c r="J15" i="1"/>
  <c r="AB46" i="1"/>
  <c r="AB38" i="1"/>
  <c r="AC26" i="1"/>
  <c r="AF26" i="1" s="1"/>
  <c r="O6" i="1"/>
  <c r="R6" i="1" s="1"/>
  <c r="K6" i="1"/>
  <c r="O5" i="1"/>
  <c r="AC37" i="1"/>
  <c r="AF37" i="1" s="1"/>
  <c r="M50" i="1"/>
  <c r="O14" i="1"/>
  <c r="R14" i="1" s="1"/>
  <c r="AB53" i="1"/>
  <c r="U30" i="1"/>
  <c r="U28" i="1"/>
  <c r="AD59" i="1"/>
  <c r="AG59" i="1" s="1"/>
  <c r="O57" i="1"/>
  <c r="R57" i="1" s="1"/>
  <c r="AC46" i="1"/>
  <c r="AF46" i="1" s="1"/>
  <c r="AB4" i="1"/>
  <c r="AB18" i="1"/>
  <c r="M16" i="1"/>
  <c r="P16" i="1" s="1"/>
  <c r="S16" i="1" s="1"/>
  <c r="O8" i="1"/>
  <c r="AC58" i="1"/>
  <c r="AF58" i="1" s="1"/>
  <c r="AE58" i="1"/>
  <c r="AH58" i="1" s="1"/>
  <c r="AB32" i="1"/>
  <c r="N8" i="1"/>
  <c r="Q8" i="1" s="1"/>
  <c r="AC55" i="1"/>
  <c r="AF55" i="1" s="1"/>
  <c r="O27" i="1"/>
  <c r="AD38" i="1"/>
  <c r="AG38" i="1" s="1"/>
  <c r="N12" i="1"/>
  <c r="Q12" i="1" s="1"/>
  <c r="AC9" i="1"/>
  <c r="AF9" i="1" s="1"/>
  <c r="N32" i="1"/>
  <c r="Q32" i="1" s="1"/>
  <c r="AD36" i="1"/>
  <c r="AG36" i="1" s="1"/>
  <c r="N42" i="1"/>
  <c r="Q42" i="1" s="1"/>
  <c r="AB59" i="1"/>
  <c r="AB3" i="1"/>
  <c r="O2" i="1"/>
  <c r="M7" i="1"/>
  <c r="AC38" i="1"/>
  <c r="AF38" i="1" s="1"/>
  <c r="AC54" i="1"/>
  <c r="AF54" i="1" s="1"/>
  <c r="O52" i="1"/>
  <c r="AB26" i="1"/>
  <c r="AG26" i="1"/>
  <c r="J47" i="1"/>
  <c r="N26" i="1"/>
  <c r="Q26" i="1" s="1"/>
  <c r="O55" i="1"/>
  <c r="K14" i="1"/>
  <c r="AB36" i="1"/>
  <c r="AB23" i="1"/>
  <c r="U43" i="1"/>
  <c r="AD41" i="1"/>
  <c r="AG41" i="1" s="1"/>
  <c r="AD14" i="1"/>
  <c r="AG14" i="1" s="1"/>
  <c r="U11" i="1"/>
  <c r="AC33" i="1"/>
  <c r="AF33" i="1" s="1"/>
  <c r="AE17" i="1"/>
  <c r="AH17" i="1" s="1"/>
  <c r="AC17" i="1"/>
  <c r="AF17" i="1" s="1"/>
  <c r="O58" i="1"/>
  <c r="R58" i="1" s="1"/>
  <c r="AD46" i="1"/>
  <c r="AG46" i="1" s="1"/>
  <c r="N31" i="1"/>
  <c r="Q31" i="1" s="1"/>
  <c r="AD24" i="1"/>
  <c r="AG24" i="1" s="1"/>
  <c r="O24" i="1"/>
  <c r="R24" i="1" s="1"/>
  <c r="AC44" i="1"/>
  <c r="AE44" i="1"/>
  <c r="AH44" i="1" s="1"/>
  <c r="AD48" i="1"/>
  <c r="AG48" i="1" s="1"/>
  <c r="AB54" i="1"/>
  <c r="J13" i="1"/>
  <c r="AD8" i="1"/>
  <c r="AG8" i="1" s="1"/>
  <c r="AC8" i="1"/>
  <c r="AF8" i="1" s="1"/>
  <c r="AD27" i="1"/>
  <c r="AG27" i="1" s="1"/>
  <c r="O3" i="1"/>
  <c r="R3" i="1" s="1"/>
  <c r="O34" i="1"/>
  <c r="N9" i="1"/>
  <c r="Q9" i="1" s="1"/>
  <c r="AD12" i="1"/>
  <c r="AG12" i="1" s="1"/>
  <c r="M19" i="1"/>
  <c r="P19" i="1" s="1"/>
  <c r="M3" i="1"/>
  <c r="P3" i="1" s="1"/>
  <c r="S3" i="1" s="1"/>
  <c r="AB2" i="1"/>
  <c r="N38" i="1"/>
  <c r="Q38" i="1" s="1"/>
  <c r="AB12" i="1"/>
  <c r="AD52" i="1"/>
  <c r="AG52" i="1" s="1"/>
  <c r="AB47" i="1"/>
  <c r="J8" i="1"/>
  <c r="AD55" i="1"/>
  <c r="AG55" i="1" s="1"/>
  <c r="AC14" i="1"/>
  <c r="AE14" i="1"/>
  <c r="AH14" i="1" s="1"/>
  <c r="AE39" i="1"/>
  <c r="AH39" i="1" s="1"/>
  <c r="AC39" i="1"/>
  <c r="AD47" i="1"/>
  <c r="AG47" i="1" s="1"/>
  <c r="AC3" i="1"/>
  <c r="AF3" i="1" s="1"/>
  <c r="J36" i="1"/>
  <c r="J23" i="1"/>
  <c r="U3" i="1"/>
  <c r="AC11" i="1"/>
  <c r="AF11" i="1" s="1"/>
  <c r="J45" i="1"/>
  <c r="J37" i="1"/>
  <c r="AB21" i="1"/>
  <c r="J41" i="1"/>
  <c r="K17" i="1"/>
  <c r="AD33" i="1"/>
  <c r="AG33" i="1" s="1"/>
  <c r="AD58" i="1"/>
  <c r="AG58" i="1" s="1"/>
  <c r="O46" i="1"/>
  <c r="AB13" i="1"/>
  <c r="AB9" i="1"/>
  <c r="AF10" i="1"/>
  <c r="AD10" i="1"/>
  <c r="AG10" i="1" s="1"/>
  <c r="K48" i="1"/>
  <c r="AD3" i="1"/>
  <c r="AG3" i="1" s="1"/>
  <c r="AD34" i="1"/>
  <c r="AG34" i="1" s="1"/>
  <c r="O12" i="1"/>
  <c r="AB19" i="1"/>
  <c r="AC15" i="1"/>
  <c r="AF15" i="1" s="1"/>
  <c r="AC47" i="1"/>
  <c r="AF47" i="1" s="1"/>
  <c r="AD11" i="1"/>
  <c r="AG11" i="1" s="1"/>
  <c r="J12" i="1"/>
  <c r="AC43" i="1"/>
  <c r="AF43" i="1" s="1"/>
  <c r="N53" i="1"/>
  <c r="Q53" i="1" s="1"/>
  <c r="AB8" i="1"/>
  <c r="O32" i="1"/>
  <c r="AB5" i="1"/>
  <c r="AF16" i="1"/>
  <c r="AD16" i="1"/>
  <c r="AG16" i="1" s="1"/>
  <c r="K39" i="1"/>
  <c r="AD43" i="1"/>
  <c r="AG43" i="1" s="1"/>
  <c r="AC21" i="1"/>
  <c r="AF21" i="1" s="1"/>
  <c r="M28" i="1"/>
  <c r="P28" i="1" s="1"/>
  <c r="S28" i="1" s="1"/>
  <c r="N11" i="1"/>
  <c r="Q11" i="1" s="1"/>
  <c r="AB45" i="1"/>
  <c r="AC13" i="1"/>
  <c r="AF13" i="1" s="1"/>
  <c r="AB37" i="1"/>
  <c r="M21" i="1"/>
  <c r="P21" i="1" s="1"/>
  <c r="S21" i="1" s="1"/>
  <c r="AB41" i="1"/>
  <c r="J52" i="1"/>
  <c r="J33" i="1"/>
  <c r="U21" i="1"/>
  <c r="M43" i="1"/>
  <c r="P43" i="1" s="1"/>
  <c r="S43" i="1" s="1"/>
  <c r="M54" i="1"/>
  <c r="P54" i="1" s="1"/>
  <c r="S54" i="1" s="1"/>
  <c r="AD17" i="1"/>
  <c r="AG17" i="1" s="1"/>
  <c r="AC4" i="1"/>
  <c r="AF4" i="1" s="1"/>
  <c r="AB43" i="1"/>
  <c r="N46" i="1"/>
  <c r="Q46" i="1" s="1"/>
  <c r="AD25" i="1"/>
  <c r="AG25" i="1" s="1"/>
  <c r="M31" i="1"/>
  <c r="P31" i="1" s="1"/>
  <c r="S31" i="1" s="1"/>
  <c r="O17" i="1"/>
  <c r="R17" i="1" s="1"/>
  <c r="O56" i="1"/>
  <c r="R56" i="1" s="1"/>
  <c r="AE48" i="1"/>
  <c r="AH48" i="1" s="1"/>
  <c r="AC48" i="1"/>
  <c r="AD21" i="1"/>
  <c r="AG21" i="1" s="1"/>
  <c r="AD42" i="1"/>
  <c r="AG42" i="1" s="1"/>
  <c r="AF7" i="1"/>
  <c r="AD7" i="1"/>
  <c r="AG7" i="1" s="1"/>
  <c r="N15" i="1"/>
  <c r="Q15" i="1" s="1"/>
  <c r="U54" i="1"/>
  <c r="O51" i="1"/>
  <c r="R51" i="1" s="1"/>
  <c r="AC2" i="1"/>
  <c r="AF2" i="1" s="1"/>
  <c r="AB25" i="1"/>
  <c r="AC53" i="1"/>
  <c r="AF53" i="1" s="1"/>
  <c r="AD32" i="1"/>
  <c r="AG32" i="1" s="1"/>
  <c r="J5" i="1"/>
  <c r="AD53" i="1"/>
  <c r="AG53" i="1" s="1"/>
  <c r="N19" i="1"/>
  <c r="AB28" i="1"/>
  <c r="U22" i="1"/>
  <c r="AD29" i="1"/>
  <c r="AG29" i="1" s="1"/>
  <c r="AF29" i="1"/>
  <c r="O37" i="1"/>
  <c r="J22" i="1"/>
  <c r="J27" i="1"/>
  <c r="AD31" i="1"/>
  <c r="AG31" i="1" s="1"/>
  <c r="AB52" i="1"/>
  <c r="AC45" i="1"/>
  <c r="AF45" i="1" s="1"/>
  <c r="AB33" i="1"/>
  <c r="AC18" i="1"/>
  <c r="AF18" i="1" s="1"/>
  <c r="N4" i="1"/>
  <c r="Q4" i="1" s="1"/>
  <c r="O25" i="1"/>
  <c r="R25" i="1" s="1"/>
  <c r="AD54" i="1"/>
  <c r="AG54" i="1" s="1"/>
  <c r="M4" i="1"/>
  <c r="P4" i="1" s="1"/>
  <c r="S4" i="1" s="1"/>
  <c r="AB31" i="1"/>
  <c r="U16" i="1"/>
  <c r="AD56" i="1"/>
  <c r="AG56" i="1" s="1"/>
  <c r="N23" i="1"/>
  <c r="Q23" i="1" s="1"/>
  <c r="N22" i="1"/>
  <c r="Q22" i="1" s="1"/>
  <c r="O30" i="1"/>
  <c r="R30" i="1" s="1"/>
  <c r="O42" i="1"/>
  <c r="AC41" i="1"/>
  <c r="AF41" i="1" s="1"/>
  <c r="AD39" i="1"/>
  <c r="AG39" i="1" s="1"/>
  <c r="O4" i="1"/>
  <c r="R4" i="1" s="1"/>
  <c r="M56" i="1"/>
  <c r="P56" i="1" s="1"/>
  <c r="S56" i="1" s="1"/>
  <c r="AD51" i="1"/>
  <c r="AG51" i="1" s="1"/>
  <c r="N2" i="1"/>
  <c r="Q2" i="1" s="1"/>
  <c r="P57" i="1"/>
  <c r="S57" i="1" s="1"/>
  <c r="N57" i="1"/>
  <c r="Q57" i="1" s="1"/>
  <c r="AD9" i="1"/>
  <c r="AG9" i="1" s="1"/>
  <c r="L19" i="1"/>
  <c r="N27" i="1"/>
  <c r="Q27" i="1" s="1"/>
  <c r="J34" i="1"/>
  <c r="AD18" i="1"/>
  <c r="AG18" i="1" s="1"/>
  <c r="AC19" i="1"/>
  <c r="AF19" i="1" s="1"/>
  <c r="AC34" i="1"/>
  <c r="AF34" i="1" s="1"/>
  <c r="AB10" i="1"/>
  <c r="AD37" i="1"/>
  <c r="AG37" i="1" s="1"/>
  <c r="AB22" i="1"/>
  <c r="AB27" i="1"/>
  <c r="U31" i="1"/>
  <c r="J55" i="1"/>
  <c r="O54" i="1"/>
  <c r="R54" i="1" s="1"/>
  <c r="O50" i="1"/>
  <c r="R50" i="1" s="1"/>
  <c r="U10" i="1"/>
  <c r="AD15" i="1"/>
  <c r="AG15" i="1" s="1"/>
  <c r="M29" i="1"/>
  <c r="U25" i="1"/>
  <c r="AC23" i="1"/>
  <c r="AF23" i="1" s="1"/>
  <c r="AC22" i="1"/>
  <c r="AF22" i="1" s="1"/>
  <c r="AE30" i="1"/>
  <c r="AH30" i="1" s="1"/>
  <c r="AC30" i="1"/>
  <c r="O23" i="1"/>
  <c r="N25" i="1"/>
  <c r="Q25" i="1" s="1"/>
  <c r="M11" i="1"/>
  <c r="AD30" i="1"/>
  <c r="AG30" i="1" s="1"/>
  <c r="N36" i="1"/>
  <c r="Q36" i="1" s="1"/>
  <c r="AE24" i="1"/>
  <c r="AH24" i="1" s="1"/>
  <c r="AC24" i="1"/>
  <c r="AF24" i="1" s="1"/>
  <c r="O39" i="1"/>
  <c r="R39" i="1" s="1"/>
  <c r="AD4" i="1"/>
  <c r="AG4" i="1" s="1"/>
  <c r="AB56" i="1"/>
  <c r="N52" i="1"/>
  <c r="Q52" i="1" s="1"/>
  <c r="J42" i="1"/>
  <c r="U56" i="1"/>
  <c r="AD22" i="1"/>
  <c r="AG22" i="1" s="1"/>
  <c r="AC57" i="1"/>
  <c r="AE57" i="1"/>
  <c r="AH57" i="1" s="1"/>
  <c r="O9" i="1"/>
  <c r="AD19" i="1"/>
  <c r="AG19" i="1" s="1"/>
  <c r="AC27" i="1"/>
  <c r="AF27" i="1" s="1"/>
  <c r="AB34" i="1"/>
  <c r="AD45" i="1"/>
  <c r="AG45" i="1" s="1"/>
  <c r="AC5" i="1"/>
  <c r="AF5" i="1" s="1"/>
  <c r="AD28" i="1"/>
  <c r="AG28" i="1" s="1"/>
  <c r="AB55" i="1"/>
  <c r="U18" i="1"/>
  <c r="O15" i="1"/>
  <c r="AB29" i="1"/>
  <c r="M51" i="1"/>
  <c r="P51" i="1" s="1"/>
  <c r="S51" i="1" s="1"/>
  <c r="P30" i="1"/>
  <c r="S30" i="1" s="1"/>
  <c r="N30" i="1"/>
  <c r="Q30" i="1" s="1"/>
  <c r="AD23" i="1"/>
  <c r="AG23" i="1" s="1"/>
  <c r="AC25" i="1"/>
  <c r="AF25" i="1" s="1"/>
  <c r="AC28" i="1"/>
  <c r="AF28" i="1" s="1"/>
  <c r="AB11" i="1"/>
  <c r="AC36" i="1"/>
  <c r="AF36" i="1" s="1"/>
  <c r="K24" i="1"/>
  <c r="N59" i="1"/>
  <c r="Q59" i="1" s="1"/>
  <c r="AC52" i="1"/>
  <c r="AF52" i="1" s="1"/>
  <c r="AB42" i="1"/>
  <c r="AB15" i="1"/>
  <c r="J46" i="1"/>
  <c r="J38" i="1"/>
  <c r="AD6" i="1"/>
  <c r="AG6" i="1" s="1"/>
  <c r="AC6" i="1"/>
  <c r="AE6" i="1"/>
  <c r="AH6" i="1" s="1"/>
  <c r="AD5" i="1"/>
  <c r="AG5" i="1" s="1"/>
  <c r="AD13" i="1"/>
  <c r="AG13" i="1" s="1"/>
  <c r="U51" i="1"/>
  <c r="N37" i="1"/>
  <c r="Q37" i="1" s="1"/>
  <c r="AC51" i="1"/>
  <c r="AF51" i="1" s="1"/>
  <c r="AB50" i="1"/>
  <c r="N5" i="1"/>
  <c r="Q5" i="1" s="1"/>
  <c r="J53" i="1"/>
  <c r="AC56" i="1"/>
  <c r="AF56" i="1" s="1"/>
  <c r="O28" i="1"/>
  <c r="R28" i="1" s="1"/>
  <c r="AD57" i="1"/>
  <c r="AG57" i="1" s="1"/>
  <c r="AJ31" i="5" l="1"/>
  <c r="AJ22" i="5"/>
  <c r="AJ49" i="5"/>
  <c r="P63" i="1"/>
  <c r="S63" i="1" s="1"/>
  <c r="T61" i="1"/>
  <c r="R62" i="1"/>
  <c r="M62" i="1"/>
  <c r="P62" i="1" s="1"/>
  <c r="S62" i="1" s="1"/>
  <c r="N60" i="1"/>
  <c r="Q60" i="1" s="1"/>
  <c r="P60" i="1"/>
  <c r="S60" i="1" s="1"/>
  <c r="H182" i="5"/>
  <c r="AJ39" i="5"/>
  <c r="T20" i="1"/>
  <c r="AI58" i="1"/>
  <c r="G170" i="5" s="1"/>
  <c r="AF14" i="1"/>
  <c r="AI14" i="1" s="1"/>
  <c r="G38" i="5" s="1"/>
  <c r="AF30" i="1"/>
  <c r="AI30" i="1" s="1"/>
  <c r="AI24" i="1"/>
  <c r="G68" i="5" s="1"/>
  <c r="AI17" i="1"/>
  <c r="G47" i="5" s="1"/>
  <c r="AF39" i="1"/>
  <c r="AI39" i="1" s="1"/>
  <c r="G113" i="5" s="1"/>
  <c r="AE22" i="1"/>
  <c r="AH22" i="1" s="1"/>
  <c r="AE52" i="1"/>
  <c r="AH52" i="1" s="1"/>
  <c r="AI52" i="1" s="1"/>
  <c r="G152" i="5" s="1"/>
  <c r="AE56" i="1"/>
  <c r="AH56" i="1" s="1"/>
  <c r="AE21" i="1"/>
  <c r="AH21" i="1" s="1"/>
  <c r="AI21" i="1" s="1"/>
  <c r="G59" i="5" s="1"/>
  <c r="AE54" i="1"/>
  <c r="AH54" i="1" s="1"/>
  <c r="AE45" i="1"/>
  <c r="AH45" i="1" s="1"/>
  <c r="AE5" i="1"/>
  <c r="AH5" i="1" s="1"/>
  <c r="AE51" i="1"/>
  <c r="AH51" i="1" s="1"/>
  <c r="AE53" i="1"/>
  <c r="AH53" i="1" s="1"/>
  <c r="AE38" i="1"/>
  <c r="AH38" i="1" s="1"/>
  <c r="AE32" i="1"/>
  <c r="AH32" i="1" s="1"/>
  <c r="AE15" i="1"/>
  <c r="AH15" i="1" s="1"/>
  <c r="AE19" i="1"/>
  <c r="AH19" i="1" s="1"/>
  <c r="AE8" i="1"/>
  <c r="AH8" i="1" s="1"/>
  <c r="AE2" i="1"/>
  <c r="AH2" i="1" s="1"/>
  <c r="AE3" i="1"/>
  <c r="AH3" i="1" s="1"/>
  <c r="AE18" i="1"/>
  <c r="AH18" i="1" s="1"/>
  <c r="AE46" i="1"/>
  <c r="AH46" i="1" s="1"/>
  <c r="AI46" i="1" s="1"/>
  <c r="G134" i="5" s="1"/>
  <c r="AE27" i="1"/>
  <c r="AH27" i="1" s="1"/>
  <c r="AE23" i="1"/>
  <c r="AH23" i="1" s="1"/>
  <c r="AE55" i="1"/>
  <c r="AH55" i="1" s="1"/>
  <c r="AE13" i="1"/>
  <c r="AH13" i="1" s="1"/>
  <c r="AI13" i="1" s="1"/>
  <c r="AE59" i="1"/>
  <c r="AH59" i="1" s="1"/>
  <c r="AE4" i="1"/>
  <c r="AH4" i="1" s="1"/>
  <c r="AE25" i="1"/>
  <c r="AH25" i="1" s="1"/>
  <c r="AE43" i="1"/>
  <c r="AH43" i="1" s="1"/>
  <c r="AE41" i="1"/>
  <c r="AH41" i="1" s="1"/>
  <c r="AE28" i="1"/>
  <c r="AH28" i="1" s="1"/>
  <c r="AE47" i="1"/>
  <c r="AH47" i="1" s="1"/>
  <c r="AE36" i="1"/>
  <c r="AH36" i="1" s="1"/>
  <c r="AI36" i="1" s="1"/>
  <c r="G104" i="5" s="1"/>
  <c r="H56" i="5"/>
  <c r="G56" i="24"/>
  <c r="R26" i="1"/>
  <c r="M8" i="55"/>
  <c r="O8" i="55" s="1"/>
  <c r="M22" i="55"/>
  <c r="O22" i="55" s="1"/>
  <c r="R49" i="1"/>
  <c r="T49" i="1" s="1"/>
  <c r="AK3" i="13" s="1"/>
  <c r="G143" i="24"/>
  <c r="P44" i="1"/>
  <c r="S44" i="1" s="1"/>
  <c r="P50" i="1"/>
  <c r="R9" i="1"/>
  <c r="O29" i="1"/>
  <c r="R29" i="1" s="1"/>
  <c r="AE40" i="1"/>
  <c r="AH40" i="1" s="1"/>
  <c r="P40" i="1"/>
  <c r="S40" i="1" s="1"/>
  <c r="N40" i="1"/>
  <c r="Q40" i="1" s="1"/>
  <c r="T35" i="1"/>
  <c r="H101" i="5"/>
  <c r="G101" i="24"/>
  <c r="M26" i="1"/>
  <c r="P26" i="1" s="1"/>
  <c r="S26" i="1" s="1"/>
  <c r="R32" i="1"/>
  <c r="T32" i="1" s="1"/>
  <c r="M25" i="13" s="1"/>
  <c r="P58" i="1"/>
  <c r="Q7" i="1"/>
  <c r="T43" i="1"/>
  <c r="R2" i="1"/>
  <c r="T2" i="1" s="1"/>
  <c r="M34" i="13" s="1"/>
  <c r="T3" i="1"/>
  <c r="M9" i="13" s="1"/>
  <c r="AF6" i="1"/>
  <c r="AI6" i="1" s="1"/>
  <c r="T51" i="1"/>
  <c r="M52" i="13" s="1"/>
  <c r="R42" i="1"/>
  <c r="M42" i="1"/>
  <c r="P42" i="1" s="1"/>
  <c r="S42" i="1" s="1"/>
  <c r="M55" i="1"/>
  <c r="P55" i="1" s="1"/>
  <c r="S55" i="1" s="1"/>
  <c r="R55" i="1"/>
  <c r="T31" i="1"/>
  <c r="M26" i="13" s="1"/>
  <c r="M23" i="1"/>
  <c r="P23" i="1" s="1"/>
  <c r="S23" i="1" s="1"/>
  <c r="R23" i="1"/>
  <c r="R8" i="1"/>
  <c r="M8" i="1"/>
  <c r="AF44" i="1"/>
  <c r="P14" i="1"/>
  <c r="S14" i="1" s="1"/>
  <c r="N14" i="1"/>
  <c r="T16" i="1"/>
  <c r="M42" i="13" s="1"/>
  <c r="M53" i="1"/>
  <c r="R53" i="1"/>
  <c r="O19" i="1"/>
  <c r="R19" i="1" s="1"/>
  <c r="S19" i="1"/>
  <c r="Q19" i="1"/>
  <c r="AF57" i="1"/>
  <c r="AE29" i="1"/>
  <c r="AH29" i="1" s="1"/>
  <c r="T57" i="1"/>
  <c r="M3" i="13" s="1"/>
  <c r="R37" i="1"/>
  <c r="M37" i="1"/>
  <c r="R36" i="1"/>
  <c r="M36" i="1"/>
  <c r="AE26" i="1"/>
  <c r="AH26" i="1" s="1"/>
  <c r="AI26" i="1" s="1"/>
  <c r="M27" i="1"/>
  <c r="R27" i="1"/>
  <c r="R5" i="1"/>
  <c r="M5" i="1"/>
  <c r="P5" i="1" s="1"/>
  <c r="S5" i="1" s="1"/>
  <c r="M33" i="1"/>
  <c r="P33" i="1" s="1"/>
  <c r="S33" i="1" s="1"/>
  <c r="R33" i="1"/>
  <c r="N39" i="1"/>
  <c r="P39" i="1"/>
  <c r="S39" i="1" s="1"/>
  <c r="R45" i="1"/>
  <c r="M45" i="1"/>
  <c r="T10" i="1"/>
  <c r="M13" i="13" s="1"/>
  <c r="M22" i="1"/>
  <c r="R22" i="1"/>
  <c r="M52" i="1"/>
  <c r="P52" i="1" s="1"/>
  <c r="S52" i="1" s="1"/>
  <c r="R52" i="1"/>
  <c r="P9" i="1"/>
  <c r="S9" i="1" s="1"/>
  <c r="M59" i="1"/>
  <c r="R59" i="1"/>
  <c r="AE31" i="1"/>
  <c r="AH31" i="1" s="1"/>
  <c r="AE16" i="1"/>
  <c r="AH16" i="1" s="1"/>
  <c r="AI16" i="1" s="1"/>
  <c r="R38" i="1"/>
  <c r="M38" i="1"/>
  <c r="T30" i="1"/>
  <c r="M20" i="13" s="1"/>
  <c r="AE10" i="1"/>
  <c r="AH10" i="1" s="1"/>
  <c r="M34" i="1"/>
  <c r="P34" i="1" s="1"/>
  <c r="S34" i="1" s="1"/>
  <c r="R34" i="1"/>
  <c r="T4" i="1"/>
  <c r="M18" i="13" s="1"/>
  <c r="T28" i="1"/>
  <c r="R12" i="1"/>
  <c r="M12" i="1"/>
  <c r="P48" i="1"/>
  <c r="S48" i="1" s="1"/>
  <c r="N48" i="1"/>
  <c r="AE11" i="1"/>
  <c r="AH11" i="1" s="1"/>
  <c r="AF48" i="1"/>
  <c r="AI48" i="1" s="1"/>
  <c r="AE33" i="1"/>
  <c r="AH33" i="1" s="1"/>
  <c r="AE50" i="1"/>
  <c r="AH50" i="1" s="1"/>
  <c r="T56" i="1"/>
  <c r="M6" i="13" s="1"/>
  <c r="P29" i="1"/>
  <c r="S29" i="1" s="1"/>
  <c r="AE34" i="1"/>
  <c r="AH34" i="1" s="1"/>
  <c r="P17" i="1"/>
  <c r="S17" i="1" s="1"/>
  <c r="N17" i="1"/>
  <c r="N6" i="1"/>
  <c r="Q6" i="1" s="1"/>
  <c r="P6" i="1"/>
  <c r="S6" i="1" s="1"/>
  <c r="AE42" i="1"/>
  <c r="AH42" i="1" s="1"/>
  <c r="T18" i="1"/>
  <c r="M36" i="13" s="1"/>
  <c r="R46" i="1"/>
  <c r="M46" i="1"/>
  <c r="P24" i="1"/>
  <c r="S24" i="1" s="1"/>
  <c r="N24" i="1"/>
  <c r="Q24" i="1" s="1"/>
  <c r="T54" i="1"/>
  <c r="M22" i="13" s="1"/>
  <c r="R41" i="1"/>
  <c r="M41" i="1"/>
  <c r="P7" i="1"/>
  <c r="S7" i="1" s="1"/>
  <c r="AE7" i="1"/>
  <c r="AH7" i="1" s="1"/>
  <c r="T21" i="1"/>
  <c r="P11" i="1"/>
  <c r="R13" i="1"/>
  <c r="M13" i="1"/>
  <c r="P13" i="1" s="1"/>
  <c r="S13" i="1" s="1"/>
  <c r="R47" i="1"/>
  <c r="M47" i="1"/>
  <c r="AE9" i="1"/>
  <c r="AH9" i="1" s="1"/>
  <c r="AE37" i="1"/>
  <c r="AH37" i="1" s="1"/>
  <c r="R15" i="1"/>
  <c r="M15" i="1"/>
  <c r="P15" i="1" s="1"/>
  <c r="S15" i="1" s="1"/>
  <c r="AE12" i="1"/>
  <c r="AH12" i="1" s="1"/>
  <c r="T25" i="1"/>
  <c r="M4" i="13" s="1"/>
  <c r="M39" i="13" l="1"/>
  <c r="AK6" i="13"/>
  <c r="S60" i="13"/>
  <c r="M60" i="13"/>
  <c r="F101" i="5"/>
  <c r="F101" i="24" s="1"/>
  <c r="M51" i="13"/>
  <c r="F125" i="5"/>
  <c r="F125" i="24" s="1"/>
  <c r="M58" i="13"/>
  <c r="F143" i="5"/>
  <c r="F143" i="24" s="1"/>
  <c r="M17" i="13"/>
  <c r="F179" i="5"/>
  <c r="AE13" i="5" s="1"/>
  <c r="M37" i="13"/>
  <c r="F56" i="5"/>
  <c r="F56" i="24" s="1"/>
  <c r="M43" i="13"/>
  <c r="T63" i="1"/>
  <c r="T62" i="1"/>
  <c r="T60" i="1"/>
  <c r="F149" i="5"/>
  <c r="F149" i="24" s="1"/>
  <c r="AI59" i="1"/>
  <c r="G173" i="5" s="1"/>
  <c r="G173" i="24" s="1"/>
  <c r="AI40" i="1"/>
  <c r="G116" i="5" s="1"/>
  <c r="AI43" i="1"/>
  <c r="G125" i="5" s="1"/>
  <c r="AI41" i="1"/>
  <c r="G119" i="5" s="1"/>
  <c r="H119" i="5" s="1"/>
  <c r="AI38" i="1"/>
  <c r="G110" i="5" s="1"/>
  <c r="H110" i="5" s="1"/>
  <c r="AI56" i="1"/>
  <c r="G164" i="5" s="1"/>
  <c r="H164" i="5" s="1"/>
  <c r="AI27" i="1"/>
  <c r="G77" i="5" s="1"/>
  <c r="H77" i="5" s="1"/>
  <c r="AI15" i="1"/>
  <c r="G41" i="5" s="1"/>
  <c r="G41" i="24" s="1"/>
  <c r="AI51" i="1"/>
  <c r="G149" i="5" s="1"/>
  <c r="AI34" i="1"/>
  <c r="G98" i="5" s="1"/>
  <c r="AI33" i="1"/>
  <c r="G95" i="5" s="1"/>
  <c r="AI29" i="1"/>
  <c r="G83" i="5" s="1"/>
  <c r="AI55" i="1"/>
  <c r="G161" i="5" s="1"/>
  <c r="H161" i="5" s="1"/>
  <c r="AI32" i="1"/>
  <c r="G92" i="5" s="1"/>
  <c r="H92" i="5" s="1"/>
  <c r="AI5" i="1"/>
  <c r="G11" i="5" s="1"/>
  <c r="H11" i="5" s="1"/>
  <c r="AI22" i="1"/>
  <c r="G62" i="5" s="1"/>
  <c r="H62" i="5" s="1"/>
  <c r="AI47" i="1"/>
  <c r="G137" i="5" s="1"/>
  <c r="G137" i="24" s="1"/>
  <c r="AI25" i="1"/>
  <c r="G71" i="5" s="1"/>
  <c r="H71" i="5" s="1"/>
  <c r="AI23" i="1"/>
  <c r="G65" i="5" s="1"/>
  <c r="H65" i="5" s="1"/>
  <c r="AI8" i="1"/>
  <c r="G20" i="5" s="1"/>
  <c r="AI28" i="1"/>
  <c r="G80" i="5" s="1"/>
  <c r="G80" i="24" s="1"/>
  <c r="AI19" i="1"/>
  <c r="G53" i="5" s="1"/>
  <c r="G53" i="24" s="1"/>
  <c r="AI53" i="1"/>
  <c r="G155" i="5" s="1"/>
  <c r="H155" i="5" s="1"/>
  <c r="AI9" i="1"/>
  <c r="G23" i="5" s="1"/>
  <c r="AI50" i="1"/>
  <c r="G146" i="5" s="1"/>
  <c r="G140" i="5"/>
  <c r="H140" i="5" s="1"/>
  <c r="AI18" i="1"/>
  <c r="G50" i="5" s="1"/>
  <c r="AI37" i="1"/>
  <c r="G107" i="5" s="1"/>
  <c r="AI10" i="1"/>
  <c r="G26" i="5" s="1"/>
  <c r="AI4" i="1"/>
  <c r="G8" i="5" s="1"/>
  <c r="G8" i="24" s="1"/>
  <c r="AI12" i="1"/>
  <c r="G32" i="5" s="1"/>
  <c r="AI54" i="1"/>
  <c r="G158" i="5" s="1"/>
  <c r="H158" i="5" s="1"/>
  <c r="AI3" i="1"/>
  <c r="G5" i="5" s="1"/>
  <c r="H5" i="5" s="1"/>
  <c r="AI7" i="1"/>
  <c r="G17" i="5" s="1"/>
  <c r="H17" i="5" s="1"/>
  <c r="AI57" i="1"/>
  <c r="G167" i="5" s="1"/>
  <c r="AI44" i="1"/>
  <c r="G128" i="5" s="1"/>
  <c r="G128" i="24" s="1"/>
  <c r="AI42" i="1"/>
  <c r="G122" i="5" s="1"/>
  <c r="AI45" i="1"/>
  <c r="G131" i="5" s="1"/>
  <c r="H131" i="5" s="1"/>
  <c r="AI31" i="1"/>
  <c r="G89" i="5" s="1"/>
  <c r="AI11" i="1"/>
  <c r="G29" i="5" s="1"/>
  <c r="AI2" i="1"/>
  <c r="G2" i="5" s="1"/>
  <c r="H2" i="5" s="1"/>
  <c r="S58" i="1"/>
  <c r="T58" i="1" s="1"/>
  <c r="S50" i="1"/>
  <c r="T50" i="1" s="1"/>
  <c r="T44" i="1"/>
  <c r="M12" i="13" s="1"/>
  <c r="F5" i="5"/>
  <c r="F5" i="24" s="1"/>
  <c r="T26" i="1"/>
  <c r="T40" i="1"/>
  <c r="S11" i="1"/>
  <c r="T11" i="1" s="1"/>
  <c r="T24" i="1"/>
  <c r="M10" i="13" s="1"/>
  <c r="T19" i="1"/>
  <c r="AK9" i="13" s="1"/>
  <c r="T5" i="1"/>
  <c r="G14" i="5"/>
  <c r="G14" i="24" s="1"/>
  <c r="T7" i="1"/>
  <c r="M55" i="13" s="1"/>
  <c r="T23" i="1"/>
  <c r="AK4" i="13" s="1"/>
  <c r="P46" i="1"/>
  <c r="S46" i="1" s="1"/>
  <c r="T52" i="1"/>
  <c r="P45" i="1"/>
  <c r="T33" i="1"/>
  <c r="AK5" i="13" s="1"/>
  <c r="Q14" i="1"/>
  <c r="T14" i="1" s="1"/>
  <c r="F158" i="5"/>
  <c r="H47" i="5"/>
  <c r="G47" i="24"/>
  <c r="T15" i="1"/>
  <c r="M44" i="13" s="1"/>
  <c r="T13" i="1"/>
  <c r="M47" i="13" s="1"/>
  <c r="F59" i="5"/>
  <c r="F50" i="5"/>
  <c r="T29" i="1"/>
  <c r="M27" i="13" s="1"/>
  <c r="Q48" i="1"/>
  <c r="T48" i="1" s="1"/>
  <c r="P59" i="1"/>
  <c r="P22" i="1"/>
  <c r="J2" i="54"/>
  <c r="D5" i="54"/>
  <c r="G35" i="5"/>
  <c r="F89" i="5"/>
  <c r="F71" i="5"/>
  <c r="P47" i="1"/>
  <c r="S47" i="1" s="1"/>
  <c r="Q17" i="1"/>
  <c r="T17" i="1" s="1"/>
  <c r="M53" i="13" s="1"/>
  <c r="J6" i="54"/>
  <c r="D2" i="54"/>
  <c r="G86" i="5"/>
  <c r="F8" i="5"/>
  <c r="K6" i="54"/>
  <c r="F86" i="5"/>
  <c r="F2" i="5"/>
  <c r="F92" i="5"/>
  <c r="H170" i="5"/>
  <c r="G170" i="24"/>
  <c r="H134" i="5"/>
  <c r="G134" i="24"/>
  <c r="P12" i="1"/>
  <c r="S12" i="1" s="1"/>
  <c r="P38" i="1"/>
  <c r="S38" i="1" s="1"/>
  <c r="F26" i="5"/>
  <c r="P27" i="1"/>
  <c r="T9" i="1"/>
  <c r="M48" i="13" s="1"/>
  <c r="H68" i="5"/>
  <c r="G68" i="24"/>
  <c r="H104" i="5"/>
  <c r="G104" i="24"/>
  <c r="T34" i="1"/>
  <c r="P36" i="1"/>
  <c r="F167" i="5"/>
  <c r="T55" i="1"/>
  <c r="H113" i="5"/>
  <c r="G113" i="24"/>
  <c r="P41" i="1"/>
  <c r="S41" i="1" s="1"/>
  <c r="T6" i="1"/>
  <c r="M56" i="13" s="1"/>
  <c r="H152" i="5"/>
  <c r="G152" i="24"/>
  <c r="F80" i="5"/>
  <c r="Q39" i="1"/>
  <c r="T39" i="1" s="1"/>
  <c r="M15" i="13" s="1"/>
  <c r="P53" i="1"/>
  <c r="P8" i="1"/>
  <c r="T42" i="1"/>
  <c r="M41" i="13" s="1"/>
  <c r="H59" i="5"/>
  <c r="G59" i="24"/>
  <c r="F164" i="5"/>
  <c r="G44" i="5"/>
  <c r="H38" i="5"/>
  <c r="G38" i="24"/>
  <c r="G74" i="5"/>
  <c r="P37" i="1"/>
  <c r="F44" i="5"/>
  <c r="M54" i="13" l="1"/>
  <c r="AK8" i="13"/>
  <c r="S41" i="13"/>
  <c r="S55" i="13"/>
  <c r="S48" i="13"/>
  <c r="F29" i="5"/>
  <c r="F29" i="24" s="1"/>
  <c r="M28" i="13"/>
  <c r="S17" i="13"/>
  <c r="M31" i="13"/>
  <c r="AE11" i="13"/>
  <c r="M23" i="13"/>
  <c r="F116" i="5"/>
  <c r="F116" i="24" s="1"/>
  <c r="M50" i="13"/>
  <c r="F176" i="5"/>
  <c r="AE7" i="5" s="1"/>
  <c r="M33" i="13"/>
  <c r="S54" i="13"/>
  <c r="M2" i="13"/>
  <c r="F74" i="5"/>
  <c r="F74" i="24" s="1"/>
  <c r="M40" i="13"/>
  <c r="F182" i="5"/>
  <c r="AE25" i="5" s="1"/>
  <c r="M5" i="13"/>
  <c r="M8" i="13"/>
  <c r="F185" i="5"/>
  <c r="AE14" i="5" s="1"/>
  <c r="M38" i="13"/>
  <c r="S61" i="13"/>
  <c r="M61" i="13"/>
  <c r="AE4" i="13"/>
  <c r="M30" i="13"/>
  <c r="F11" i="5"/>
  <c r="F11" i="24" s="1"/>
  <c r="M32" i="13"/>
  <c r="F53" i="5"/>
  <c r="F53" i="24" s="1"/>
  <c r="S62" i="13"/>
  <c r="F146" i="5"/>
  <c r="F146" i="24" s="1"/>
  <c r="M16" i="13"/>
  <c r="F170" i="5"/>
  <c r="F170" i="24" s="1"/>
  <c r="M45" i="13"/>
  <c r="S58" i="13"/>
  <c r="S10" i="13"/>
  <c r="J4" i="54"/>
  <c r="D3" i="54"/>
  <c r="J3" i="54"/>
  <c r="S3" i="13"/>
  <c r="AE15" i="13"/>
  <c r="Y6" i="13"/>
  <c r="AJ56" i="5"/>
  <c r="AJ12" i="5"/>
  <c r="S5" i="13"/>
  <c r="D6" i="54"/>
  <c r="AJ48" i="5"/>
  <c r="Y28" i="13"/>
  <c r="AE10" i="13"/>
  <c r="AJ13" i="5"/>
  <c r="AJ57" i="5"/>
  <c r="AJ24" i="5"/>
  <c r="Y22" i="13"/>
  <c r="Y5" i="13"/>
  <c r="G119" i="24"/>
  <c r="J5" i="54"/>
  <c r="H173" i="5"/>
  <c r="G110" i="24"/>
  <c r="D4" i="54"/>
  <c r="H53" i="5"/>
  <c r="G77" i="24"/>
  <c r="S9" i="13"/>
  <c r="G164" i="24"/>
  <c r="AJ29" i="5"/>
  <c r="AJ52" i="5"/>
  <c r="G62" i="24"/>
  <c r="G65" i="24"/>
  <c r="H137" i="5"/>
  <c r="G20" i="24"/>
  <c r="H20" i="5"/>
  <c r="AJ32" i="5"/>
  <c r="G11" i="24"/>
  <c r="G155" i="24"/>
  <c r="G161" i="24"/>
  <c r="H80" i="5"/>
  <c r="G140" i="24"/>
  <c r="H41" i="5"/>
  <c r="G71" i="24"/>
  <c r="G92" i="24"/>
  <c r="AJ45" i="5"/>
  <c r="H8" i="5"/>
  <c r="H50" i="5"/>
  <c r="G50" i="24"/>
  <c r="G158" i="24"/>
  <c r="AJ8" i="5"/>
  <c r="G5" i="24"/>
  <c r="H167" i="5"/>
  <c r="G167" i="24"/>
  <c r="H128" i="5"/>
  <c r="G131" i="24"/>
  <c r="G2" i="24"/>
  <c r="S27" i="13"/>
  <c r="S43" i="13"/>
  <c r="AJ11" i="5"/>
  <c r="AJ36" i="5"/>
  <c r="AJ40" i="5"/>
  <c r="AJ6" i="5"/>
  <c r="AJ35" i="5"/>
  <c r="AJ28" i="5"/>
  <c r="AJ10" i="5"/>
  <c r="AJ15" i="5"/>
  <c r="AJ2" i="5"/>
  <c r="AJ43" i="5"/>
  <c r="AJ62" i="5"/>
  <c r="S36" i="1"/>
  <c r="T36" i="1" s="1"/>
  <c r="M7" i="13" s="1"/>
  <c r="Y14" i="13"/>
  <c r="S26" i="13"/>
  <c r="S32" i="13"/>
  <c r="F68" i="5"/>
  <c r="F68" i="24" s="1"/>
  <c r="S28" i="13"/>
  <c r="F128" i="5"/>
  <c r="F128" i="24" s="1"/>
  <c r="S8" i="13"/>
  <c r="S45" i="1"/>
  <c r="T45" i="1" s="1"/>
  <c r="S27" i="1"/>
  <c r="T27" i="1" s="1"/>
  <c r="S59" i="1"/>
  <c r="T59" i="1" s="1"/>
  <c r="AJ60" i="5"/>
  <c r="F65" i="5"/>
  <c r="F65" i="24" s="1"/>
  <c r="AJ30" i="5"/>
  <c r="AJ53" i="5"/>
  <c r="AJ9" i="5"/>
  <c r="AJ20" i="5"/>
  <c r="AJ14" i="5"/>
  <c r="AJ58" i="5"/>
  <c r="AJ19" i="5"/>
  <c r="AJ5" i="5"/>
  <c r="AJ34" i="5"/>
  <c r="H116" i="5"/>
  <c r="G116" i="24"/>
  <c r="S53" i="1"/>
  <c r="T53" i="1" s="1"/>
  <c r="S37" i="1"/>
  <c r="T37" i="1" s="1"/>
  <c r="Y30" i="13" s="1"/>
  <c r="S8" i="1"/>
  <c r="T8" i="1" s="1"/>
  <c r="AJ26" i="5"/>
  <c r="T38" i="1"/>
  <c r="M29" i="13" s="1"/>
  <c r="H14" i="5"/>
  <c r="AJ3" i="5"/>
  <c r="AJ4" i="5"/>
  <c r="AJ25" i="5"/>
  <c r="S22" i="1"/>
  <c r="T22" i="1" s="1"/>
  <c r="M14" i="13" s="1"/>
  <c r="AJ63" i="5"/>
  <c r="AJ42" i="5"/>
  <c r="AJ37" i="5"/>
  <c r="AJ16" i="5"/>
  <c r="G17" i="24"/>
  <c r="F17" i="5"/>
  <c r="T12" i="1"/>
  <c r="M35" i="13" s="1"/>
  <c r="T47" i="1"/>
  <c r="S19" i="13" s="1"/>
  <c r="AJ46" i="5"/>
  <c r="AJ27" i="5"/>
  <c r="F113" i="5"/>
  <c r="S33" i="13"/>
  <c r="Y17" i="13"/>
  <c r="AE9" i="13"/>
  <c r="S38" i="13"/>
  <c r="Y20" i="13"/>
  <c r="Y18" i="13"/>
  <c r="F38" i="5"/>
  <c r="S12" i="13"/>
  <c r="F23" i="5"/>
  <c r="S23" i="13"/>
  <c r="H107" i="5"/>
  <c r="G107" i="24"/>
  <c r="AJ51" i="5"/>
  <c r="F2" i="24"/>
  <c r="F8" i="24"/>
  <c r="H35" i="5"/>
  <c r="G35" i="24"/>
  <c r="F26" i="24"/>
  <c r="F47" i="5"/>
  <c r="H146" i="5"/>
  <c r="G146" i="24"/>
  <c r="AJ7" i="5"/>
  <c r="H32" i="5"/>
  <c r="G32" i="24"/>
  <c r="AJ38" i="5"/>
  <c r="F80" i="24"/>
  <c r="F167" i="24"/>
  <c r="H29" i="5"/>
  <c r="G29" i="24"/>
  <c r="AJ61" i="5"/>
  <c r="F89" i="24"/>
  <c r="F59" i="24"/>
  <c r="AJ55" i="5"/>
  <c r="F95" i="5"/>
  <c r="F161" i="5"/>
  <c r="K4" i="54"/>
  <c r="S40" i="13"/>
  <c r="F14" i="5"/>
  <c r="Y21" i="13"/>
  <c r="F44" i="24"/>
  <c r="T41" i="1"/>
  <c r="M21" i="13" s="1"/>
  <c r="H95" i="5"/>
  <c r="G95" i="24"/>
  <c r="AJ59" i="5"/>
  <c r="F86" i="24"/>
  <c r="F50" i="24"/>
  <c r="F158" i="24"/>
  <c r="F164" i="24"/>
  <c r="H44" i="5"/>
  <c r="G44" i="24"/>
  <c r="AJ41" i="5"/>
  <c r="H98" i="5"/>
  <c r="G98" i="24"/>
  <c r="AJ44" i="5"/>
  <c r="F92" i="24"/>
  <c r="AJ18" i="5"/>
  <c r="K2" i="54"/>
  <c r="F35" i="5"/>
  <c r="H23" i="5"/>
  <c r="G23" i="24"/>
  <c r="AJ50" i="5"/>
  <c r="H122" i="5"/>
  <c r="G122" i="24"/>
  <c r="AJ47" i="5"/>
  <c r="T46" i="1"/>
  <c r="S64" i="13" s="1"/>
  <c r="H89" i="5"/>
  <c r="G89" i="24"/>
  <c r="AJ54" i="5"/>
  <c r="H26" i="5"/>
  <c r="G26" i="24"/>
  <c r="S18" i="13"/>
  <c r="AQ3" i="13"/>
  <c r="F41" i="5"/>
  <c r="F152" i="5"/>
  <c r="AE35" i="5" s="1"/>
  <c r="H86" i="5"/>
  <c r="G86" i="24"/>
  <c r="AJ33" i="5"/>
  <c r="F71" i="24"/>
  <c r="S20" i="13"/>
  <c r="F140" i="5"/>
  <c r="H125" i="5"/>
  <c r="G125" i="24"/>
  <c r="H74" i="5"/>
  <c r="G74" i="24"/>
  <c r="AJ23" i="5"/>
  <c r="F122" i="5"/>
  <c r="F98" i="5"/>
  <c r="AE12" i="13"/>
  <c r="F83" i="5"/>
  <c r="H149" i="5"/>
  <c r="G149" i="24"/>
  <c r="AJ21" i="5"/>
  <c r="H83" i="5"/>
  <c r="G83" i="24"/>
  <c r="AJ17" i="5"/>
  <c r="AE6" i="13" l="1"/>
  <c r="S49" i="13"/>
  <c r="AK7" i="13"/>
  <c r="AE13" i="13"/>
  <c r="AE8" i="13"/>
  <c r="Y10" i="13"/>
  <c r="Y8" i="13"/>
  <c r="Y11" i="13"/>
  <c r="Y25" i="13"/>
  <c r="Y15" i="13"/>
  <c r="S14" i="13"/>
  <c r="S29" i="13"/>
  <c r="M19" i="13"/>
  <c r="M59" i="13"/>
  <c r="S59" i="13"/>
  <c r="F77" i="5"/>
  <c r="F77" i="24" s="1"/>
  <c r="M57" i="13"/>
  <c r="S45" i="13"/>
  <c r="M24" i="13"/>
  <c r="F131" i="5"/>
  <c r="AE39" i="5" s="1"/>
  <c r="M11" i="13"/>
  <c r="S24" i="13"/>
  <c r="S35" i="13"/>
  <c r="S21" i="13"/>
  <c r="S22" i="13"/>
  <c r="M46" i="13"/>
  <c r="S7" i="13"/>
  <c r="M49" i="13"/>
  <c r="S57" i="13"/>
  <c r="AL49" i="5"/>
  <c r="AL31" i="5"/>
  <c r="AL22" i="5"/>
  <c r="AL39" i="5"/>
  <c r="H1" i="5"/>
  <c r="F107" i="5"/>
  <c r="F107" i="24" s="1"/>
  <c r="S6" i="13"/>
  <c r="Y2" i="13"/>
  <c r="S39" i="13"/>
  <c r="S42" i="13"/>
  <c r="S56" i="13"/>
  <c r="S2" i="13"/>
  <c r="AW2" i="13"/>
  <c r="AQ2" i="13"/>
  <c r="Y23" i="13"/>
  <c r="Y4" i="13"/>
  <c r="AE3" i="13"/>
  <c r="Y9" i="13"/>
  <c r="Y29" i="13"/>
  <c r="Y32" i="13"/>
  <c r="S44" i="13"/>
  <c r="S15" i="13"/>
  <c r="S31" i="13"/>
  <c r="S34" i="13"/>
  <c r="F137" i="5"/>
  <c r="F137" i="24" s="1"/>
  <c r="K5" i="54"/>
  <c r="S25" i="13"/>
  <c r="K3" i="54"/>
  <c r="AE61" i="5"/>
  <c r="AQ5" i="13"/>
  <c r="AW3" i="13"/>
  <c r="AQ4" i="13"/>
  <c r="AE14" i="13"/>
  <c r="F155" i="5"/>
  <c r="F155" i="24" s="1"/>
  <c r="AK2" i="13"/>
  <c r="S16" i="13"/>
  <c r="F104" i="5"/>
  <c r="F104" i="24" s="1"/>
  <c r="S53" i="13"/>
  <c r="AE2" i="13"/>
  <c r="AE5" i="13"/>
  <c r="AE7" i="13"/>
  <c r="F62" i="5"/>
  <c r="AE20" i="5" s="1"/>
  <c r="AE17" i="13"/>
  <c r="F32" i="5"/>
  <c r="AE46" i="5" s="1"/>
  <c r="AE16" i="13"/>
  <c r="Y19" i="13"/>
  <c r="Y24" i="13"/>
  <c r="Y13" i="13"/>
  <c r="Y3" i="13"/>
  <c r="Y27" i="13"/>
  <c r="Y33" i="13"/>
  <c r="Y16" i="13"/>
  <c r="S51" i="13"/>
  <c r="Y26" i="13"/>
  <c r="O25" i="34"/>
  <c r="P25" i="34" s="1"/>
  <c r="O26" i="34"/>
  <c r="S37" i="13"/>
  <c r="S52" i="13"/>
  <c r="S30" i="13"/>
  <c r="S47" i="13"/>
  <c r="S46" i="13"/>
  <c r="F173" i="5"/>
  <c r="F173" i="24" s="1"/>
  <c r="F110" i="5"/>
  <c r="AE2" i="5" s="1"/>
  <c r="S50" i="13"/>
  <c r="S4" i="13"/>
  <c r="F20" i="5"/>
  <c r="S11" i="13"/>
  <c r="S36" i="13"/>
  <c r="AL61" i="5"/>
  <c r="AL20" i="5"/>
  <c r="F17" i="24"/>
  <c r="AL28" i="5"/>
  <c r="AL32" i="5"/>
  <c r="AL40" i="5"/>
  <c r="AL7" i="5"/>
  <c r="AE36" i="5"/>
  <c r="AL19" i="5"/>
  <c r="AE27" i="5"/>
  <c r="AE29" i="5"/>
  <c r="AE12" i="5"/>
  <c r="AE38" i="5"/>
  <c r="Y12" i="13"/>
  <c r="AE43" i="5"/>
  <c r="AE10" i="5"/>
  <c r="F122" i="24"/>
  <c r="AL35" i="5"/>
  <c r="AL21" i="5"/>
  <c r="F140" i="24"/>
  <c r="AL56" i="5"/>
  <c r="AL5" i="5"/>
  <c r="S13" i="13"/>
  <c r="F134" i="5"/>
  <c r="AE11" i="5" s="1"/>
  <c r="Y7" i="13"/>
  <c r="AL26" i="5"/>
  <c r="AL59" i="5"/>
  <c r="AE30" i="5"/>
  <c r="AL46" i="5"/>
  <c r="AL33" i="5"/>
  <c r="AL38" i="5"/>
  <c r="AL41" i="5"/>
  <c r="AL2" i="5"/>
  <c r="AL10" i="5"/>
  <c r="AL3" i="5"/>
  <c r="AL50" i="5"/>
  <c r="AL25" i="5"/>
  <c r="F98" i="24"/>
  <c r="F152" i="24"/>
  <c r="AE37" i="5"/>
  <c r="AL24" i="5"/>
  <c r="F35" i="24"/>
  <c r="AL53" i="5"/>
  <c r="AL52" i="5"/>
  <c r="Y31" i="13"/>
  <c r="F119" i="5"/>
  <c r="AE8" i="5" s="1"/>
  <c r="AL43" i="5"/>
  <c r="AL14" i="5"/>
  <c r="AL17" i="5"/>
  <c r="AE58" i="5"/>
  <c r="F83" i="24"/>
  <c r="AE55" i="5"/>
  <c r="AE52" i="5"/>
  <c r="AL27" i="5"/>
  <c r="AL11" i="5"/>
  <c r="AL36" i="5"/>
  <c r="AL63" i="5"/>
  <c r="F47" i="24"/>
  <c r="AE51" i="5"/>
  <c r="AL37" i="5"/>
  <c r="F41" i="24"/>
  <c r="AE22" i="5"/>
  <c r="AL44" i="5"/>
  <c r="F161" i="24"/>
  <c r="AE49" i="5"/>
  <c r="AE17" i="5"/>
  <c r="AL18" i="5"/>
  <c r="S34" i="34"/>
  <c r="AL34" i="5"/>
  <c r="AL9" i="5"/>
  <c r="AL48" i="5"/>
  <c r="AL51" i="5"/>
  <c r="AL62" i="5"/>
  <c r="AL12" i="5"/>
  <c r="S37" i="34"/>
  <c r="AL45" i="5"/>
  <c r="AL42" i="5"/>
  <c r="F23" i="24"/>
  <c r="F38" i="24"/>
  <c r="AL15" i="5"/>
  <c r="AL30" i="5"/>
  <c r="AL4" i="5"/>
  <c r="AL57" i="5"/>
  <c r="F113" i="24"/>
  <c r="AL60" i="5"/>
  <c r="AL16" i="5"/>
  <c r="AL13" i="5"/>
  <c r="AL29" i="5"/>
  <c r="AL23" i="5"/>
  <c r="AL8" i="5"/>
  <c r="AL6" i="5"/>
  <c r="AL54" i="5"/>
  <c r="AL55" i="5"/>
  <c r="F14" i="24"/>
  <c r="AE9" i="5"/>
  <c r="F95" i="24"/>
  <c r="AL58" i="5"/>
  <c r="AL47" i="5"/>
  <c r="AE45" i="5"/>
  <c r="AN1" i="5" l="1"/>
  <c r="M28" i="34" s="1"/>
  <c r="F131" i="24"/>
  <c r="AE41" i="5"/>
  <c r="AE34" i="5"/>
  <c r="AE54" i="5"/>
  <c r="AE53" i="5"/>
  <c r="AE62" i="5"/>
  <c r="AG62" i="5" s="1"/>
  <c r="AE6" i="5"/>
  <c r="AE15" i="5"/>
  <c r="AE19" i="5"/>
  <c r="AE32" i="5"/>
  <c r="AE3" i="5"/>
  <c r="AE50" i="5"/>
  <c r="AE42" i="5"/>
  <c r="AE16" i="5"/>
  <c r="AE24" i="5"/>
  <c r="AE4" i="5"/>
  <c r="AE48" i="5"/>
  <c r="F62" i="24"/>
  <c r="AE60" i="5"/>
  <c r="AE21" i="5"/>
  <c r="AE56" i="5"/>
  <c r="AE47" i="5"/>
  <c r="AE63" i="5"/>
  <c r="AG63" i="5" s="1"/>
  <c r="AE23" i="5"/>
  <c r="F32" i="24"/>
  <c r="AE18" i="5"/>
  <c r="F20" i="24"/>
  <c r="M25" i="34"/>
  <c r="P26" i="34"/>
  <c r="M26" i="34"/>
  <c r="AE57" i="5"/>
  <c r="F110" i="24"/>
  <c r="AE40" i="5"/>
  <c r="AE28" i="5"/>
  <c r="AE33" i="5"/>
  <c r="AE59" i="5"/>
  <c r="AE44" i="5"/>
  <c r="AE26" i="5"/>
  <c r="F119" i="24"/>
  <c r="AE5" i="5"/>
  <c r="F134" i="24"/>
  <c r="AE31" i="5"/>
  <c r="AG23" i="5" l="1"/>
  <c r="AG61" i="5"/>
  <c r="AG59" i="5"/>
  <c r="AG24" i="5"/>
  <c r="AG60" i="5"/>
  <c r="AG51" i="5"/>
  <c r="AG55" i="5"/>
  <c r="AG31" i="5"/>
  <c r="AG39" i="5"/>
  <c r="AG47" i="5"/>
  <c r="AG20" i="5"/>
  <c r="AG7" i="5"/>
  <c r="I176" i="5" s="1"/>
  <c r="AG3" i="5"/>
  <c r="AG25" i="5"/>
  <c r="I182" i="5" s="1"/>
  <c r="AG38" i="5"/>
  <c r="AG6" i="5"/>
  <c r="AG57" i="5"/>
  <c r="AG10" i="5"/>
  <c r="AG30" i="5"/>
  <c r="AG48" i="5"/>
  <c r="AG53" i="5"/>
  <c r="AG16" i="5"/>
  <c r="AG14" i="5"/>
  <c r="I185" i="5" s="1"/>
  <c r="AG26" i="5"/>
  <c r="AG45" i="5"/>
  <c r="AG42" i="5"/>
  <c r="AG21" i="5"/>
  <c r="AG54" i="5"/>
  <c r="AG37" i="5"/>
  <c r="AG9" i="5"/>
  <c r="AG27" i="5"/>
  <c r="AG52" i="5"/>
  <c r="AG17" i="5"/>
  <c r="AG5" i="5"/>
  <c r="AG49" i="5"/>
  <c r="AG41" i="5"/>
  <c r="AG33" i="5"/>
  <c r="AG58" i="5"/>
  <c r="AG13" i="5"/>
  <c r="I179" i="5" s="1"/>
  <c r="AG36" i="5"/>
  <c r="AG15" i="5"/>
  <c r="AG40" i="5"/>
  <c r="AG50" i="5"/>
  <c r="AG4" i="5"/>
  <c r="AG28" i="5"/>
  <c r="AG34" i="5"/>
  <c r="AG22" i="5"/>
  <c r="AG32" i="5"/>
  <c r="AG29" i="5"/>
  <c r="AG18" i="5"/>
  <c r="AG44" i="5"/>
  <c r="AG2" i="5"/>
  <c r="AG43" i="5"/>
  <c r="AG8" i="5"/>
  <c r="AG19" i="5"/>
  <c r="AG11" i="5"/>
  <c r="AG35" i="5"/>
  <c r="AG12" i="5"/>
  <c r="AG46" i="5"/>
  <c r="AG56" i="5"/>
  <c r="I65" i="5" l="1"/>
  <c r="I17" i="5"/>
  <c r="I62" i="5"/>
  <c r="I29" i="5"/>
  <c r="I122" i="5"/>
  <c r="I56" i="5"/>
  <c r="I140" i="5"/>
  <c r="I83" i="5"/>
  <c r="I107" i="5"/>
  <c r="I116" i="5"/>
  <c r="I2" i="5"/>
  <c r="I158" i="5"/>
  <c r="I11" i="5"/>
  <c r="I44" i="5"/>
  <c r="I113" i="5"/>
  <c r="I59" i="5"/>
  <c r="I98" i="5"/>
  <c r="I47" i="5"/>
  <c r="I155" i="5"/>
  <c r="I77" i="5"/>
  <c r="I161" i="5"/>
  <c r="I38" i="5"/>
  <c r="I104" i="5"/>
  <c r="I89" i="5"/>
  <c r="I41" i="5"/>
  <c r="I92" i="5"/>
  <c r="I32" i="5"/>
  <c r="I110" i="5"/>
  <c r="I119" i="5"/>
  <c r="I173" i="5"/>
  <c r="I8" i="5"/>
  <c r="I5" i="5"/>
  <c r="I53" i="5"/>
  <c r="I20" i="5"/>
  <c r="I101" i="5"/>
  <c r="I167" i="5"/>
  <c r="I71" i="5"/>
  <c r="I134" i="5"/>
  <c r="I152" i="5"/>
  <c r="I170" i="5"/>
  <c r="I68" i="5"/>
  <c r="I131" i="5"/>
  <c r="I95" i="5"/>
  <c r="I26" i="5"/>
  <c r="I128" i="5"/>
  <c r="I74" i="5"/>
  <c r="I50" i="5"/>
  <c r="I80" i="5"/>
  <c r="I137" i="5"/>
  <c r="I23" i="5"/>
  <c r="I143" i="5"/>
  <c r="I164" i="5"/>
  <c r="I146" i="5"/>
  <c r="G3" i="54"/>
  <c r="I125" i="5"/>
  <c r="G2" i="54"/>
  <c r="I86" i="5"/>
  <c r="G6" i="54"/>
  <c r="I14" i="5"/>
  <c r="G5" i="54"/>
  <c r="I35" i="5"/>
  <c r="G4" i="54"/>
  <c r="I14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 authorId="0" shapeId="0" xr:uid="{00000000-0006-0000-0200-000001000000}">
      <text>
        <r>
          <rPr>
            <b/>
            <sz val="9"/>
            <color indexed="81"/>
            <rFont val="Tahoma"/>
            <family val="2"/>
          </rPr>
          <t>Copy values to column D at start of week</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1" authorId="0" shapeId="0" xr:uid="{00000000-0006-0000-0900-000001000000}">
      <text>
        <r>
          <rPr>
            <b/>
            <sz val="9"/>
            <color indexed="9"/>
            <rFont val="Tahoma"/>
            <family val="2"/>
          </rPr>
          <t>Create a list of random numbers equal to the number of entrants via the link and save to a  text file. Then transpose into excel and paste into column D then sort D/E in numerical order. 
Copy and paste names into relevant Preliminary and R1 cells. Further rounds are calculated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B22" authorId="0" shapeId="0" xr:uid="{00000000-0006-0000-1000-000001000000}">
      <text>
        <r>
          <rPr>
            <b/>
            <sz val="9"/>
            <color indexed="9"/>
            <rFont val="Tahoma"/>
            <family val="2"/>
          </rPr>
          <t>Add the total of any deductions to prize find due to prior non-payment and add details here:-
Andy Hargreaves never entered</t>
        </r>
      </text>
    </comment>
  </commentList>
</comments>
</file>

<file path=xl/sharedStrings.xml><?xml version="1.0" encoding="utf-8"?>
<sst xmlns="http://schemas.openxmlformats.org/spreadsheetml/2006/main" count="2261" uniqueCount="661">
  <si>
    <t>single 1</t>
  </si>
  <si>
    <t>single 2</t>
  </si>
  <si>
    <t>single 3</t>
  </si>
  <si>
    <t>double 1</t>
  </si>
  <si>
    <t>double 2</t>
  </si>
  <si>
    <t>double 3</t>
  </si>
  <si>
    <t>total</t>
  </si>
  <si>
    <t>team</t>
  </si>
  <si>
    <t>frac</t>
  </si>
  <si>
    <t>dec</t>
  </si>
  <si>
    <t>win</t>
  </si>
  <si>
    <t>bet up</t>
  </si>
  <si>
    <t>treble</t>
  </si>
  <si>
    <t>Correct</t>
  </si>
  <si>
    <t>bets in</t>
  </si>
  <si>
    <t>played</t>
  </si>
  <si>
    <t>Player</t>
  </si>
  <si>
    <t xml:space="preserve">Bet up </t>
  </si>
  <si>
    <t>Final</t>
  </si>
  <si>
    <t>Results</t>
  </si>
  <si>
    <t>Home team</t>
  </si>
  <si>
    <t>Away team</t>
  </si>
  <si>
    <t>Home win odds</t>
  </si>
  <si>
    <t>Draw odds</t>
  </si>
  <si>
    <t>Away odds</t>
  </si>
  <si>
    <t>Prediction</t>
  </si>
  <si>
    <t>fractional</t>
  </si>
  <si>
    <t>decimal</t>
  </si>
  <si>
    <t>Score</t>
  </si>
  <si>
    <t>stake</t>
  </si>
  <si>
    <t>Date</t>
  </si>
  <si>
    <t>Odds</t>
  </si>
  <si>
    <t>Home</t>
  </si>
  <si>
    <t>Away</t>
  </si>
  <si>
    <t>H1</t>
  </si>
  <si>
    <t>H2</t>
  </si>
  <si>
    <t>D1</t>
  </si>
  <si>
    <t>D2</t>
  </si>
  <si>
    <t>A1</t>
  </si>
  <si>
    <t>A2</t>
  </si>
  <si>
    <t>Match Odds</t>
  </si>
  <si>
    <t>Home odds</t>
  </si>
  <si>
    <t>Away Odds</t>
  </si>
  <si>
    <t>Draw Odds</t>
  </si>
  <si>
    <t>H Score</t>
  </si>
  <si>
    <t>A Score</t>
  </si>
  <si>
    <t>Home Trim</t>
  </si>
  <si>
    <t>Away Trim</t>
  </si>
  <si>
    <t>Choices</t>
  </si>
  <si>
    <t xml:space="preserve">HS Trim </t>
  </si>
  <si>
    <t>AS Trim</t>
  </si>
  <si>
    <t>Bet Up</t>
  </si>
  <si>
    <t>Up</t>
  </si>
  <si>
    <t>Points</t>
  </si>
  <si>
    <t>Frac</t>
  </si>
  <si>
    <t>Dec</t>
  </si>
  <si>
    <t>Home
score</t>
  </si>
  <si>
    <t>Away
score</t>
  </si>
  <si>
    <t>W1</t>
  </si>
  <si>
    <t>W1Q</t>
  </si>
  <si>
    <t>W2</t>
  </si>
  <si>
    <t>W2Q</t>
  </si>
  <si>
    <t>W3</t>
  </si>
  <si>
    <t>W3Q</t>
  </si>
  <si>
    <t>W4</t>
  </si>
  <si>
    <t>W4Q</t>
  </si>
  <si>
    <t>W5</t>
  </si>
  <si>
    <t>W5Q</t>
  </si>
  <si>
    <t>W6</t>
  </si>
  <si>
    <t>W6Q</t>
  </si>
  <si>
    <t>W7</t>
  </si>
  <si>
    <t>W7Q</t>
  </si>
  <si>
    <t>W8</t>
  </si>
  <si>
    <t>W8Q</t>
  </si>
  <si>
    <t>W9</t>
  </si>
  <si>
    <t>W9Q</t>
  </si>
  <si>
    <t>W10</t>
  </si>
  <si>
    <t>W10Q</t>
  </si>
  <si>
    <t>W11</t>
  </si>
  <si>
    <t>W11Q</t>
  </si>
  <si>
    <t>W12</t>
  </si>
  <si>
    <t>W12Q</t>
  </si>
  <si>
    <t>W13</t>
  </si>
  <si>
    <t>W14Q</t>
  </si>
  <si>
    <t>W15</t>
  </si>
  <si>
    <t>W15Q</t>
  </si>
  <si>
    <t>W13Q</t>
  </si>
  <si>
    <t>W14</t>
  </si>
  <si>
    <t>W16</t>
  </si>
  <si>
    <t>W16Q</t>
  </si>
  <si>
    <t>W17</t>
  </si>
  <si>
    <t>W17Q</t>
  </si>
  <si>
    <t>W18</t>
  </si>
  <si>
    <t>W18Q</t>
  </si>
  <si>
    <t>W19</t>
  </si>
  <si>
    <t>W19Q</t>
  </si>
  <si>
    <t>W20</t>
  </si>
  <si>
    <t>W20Q</t>
  </si>
  <si>
    <t>Seas</t>
  </si>
  <si>
    <t>SeasQ</t>
  </si>
  <si>
    <t>Rank Seas</t>
  </si>
  <si>
    <t>Rank Wk</t>
  </si>
  <si>
    <t>Prize</t>
  </si>
  <si>
    <t>W1P</t>
  </si>
  <si>
    <t>W2P</t>
  </si>
  <si>
    <t>W3P</t>
  </si>
  <si>
    <t>W4P</t>
  </si>
  <si>
    <t>W5P</t>
  </si>
  <si>
    <t>W6P</t>
  </si>
  <si>
    <t>W7P</t>
  </si>
  <si>
    <t>W8P</t>
  </si>
  <si>
    <t>W9P</t>
  </si>
  <si>
    <t>W10P</t>
  </si>
  <si>
    <t>W11P</t>
  </si>
  <si>
    <t>W12P</t>
  </si>
  <si>
    <t>W13P</t>
  </si>
  <si>
    <t>W14P</t>
  </si>
  <si>
    <t>W15P</t>
  </si>
  <si>
    <t>W16P</t>
  </si>
  <si>
    <t>W17P</t>
  </si>
  <si>
    <t>W18P</t>
  </si>
  <si>
    <t>W19P</t>
  </si>
  <si>
    <t>W20P</t>
  </si>
  <si>
    <t>SeasP</t>
  </si>
  <si>
    <t>Total
Score</t>
  </si>
  <si>
    <t>Total
correct</t>
  </si>
  <si>
    <t>Week
Score</t>
  </si>
  <si>
    <t>Week
Correct</t>
  </si>
  <si>
    <t>Byes into round 1</t>
  </si>
  <si>
    <t>Prelim</t>
  </si>
  <si>
    <t>Current Round</t>
  </si>
  <si>
    <t>Draw #</t>
  </si>
  <si>
    <t>Entrants</t>
  </si>
  <si>
    <t>R1 (64)</t>
  </si>
  <si>
    <t>R2 (32)</t>
  </si>
  <si>
    <t>R3 (16)</t>
  </si>
  <si>
    <t xml:space="preserve">Round 1 </t>
  </si>
  <si>
    <t>Round 1 Rep</t>
  </si>
  <si>
    <t>Round 2</t>
  </si>
  <si>
    <t>Round 2 Rep</t>
  </si>
  <si>
    <t xml:space="preserve">Round 3 </t>
  </si>
  <si>
    <t>Round 3 Rep</t>
  </si>
  <si>
    <t xml:space="preserve">Quarter-Final </t>
  </si>
  <si>
    <t>Quarter-Final Rep</t>
  </si>
  <si>
    <t>Semi-Final</t>
  </si>
  <si>
    <t>Semi-Final Rep</t>
  </si>
  <si>
    <t>Final Rep</t>
  </si>
  <si>
    <t>Earlier ties</t>
  </si>
  <si>
    <t>Earlier Ties</t>
  </si>
  <si>
    <t>Total</t>
  </si>
  <si>
    <t>Grand Total</t>
  </si>
  <si>
    <t>Count of Player</t>
  </si>
  <si>
    <t>Random number generator</t>
  </si>
  <si>
    <t>Competition</t>
  </si>
  <si>
    <t>Fee pp per season</t>
  </si>
  <si>
    <t>Number of weeks</t>
  </si>
  <si>
    <t>Number of £10 highest weekly score prize</t>
  </si>
  <si>
    <t>Number of £5 weekly prizes</t>
  </si>
  <si>
    <t>Weekly payouts</t>
  </si>
  <si>
    <t>Cup winner</t>
  </si>
  <si>
    <t>Cup runner-up</t>
  </si>
  <si>
    <t>Cup payouts</t>
  </si>
  <si>
    <t>Balance</t>
  </si>
  <si>
    <t>Result</t>
  </si>
  <si>
    <t>Fraction</t>
  </si>
  <si>
    <t>Decimal</t>
  </si>
  <si>
    <t>Bet1</t>
  </si>
  <si>
    <t>Bet2</t>
  </si>
  <si>
    <t>Bet3</t>
  </si>
  <si>
    <t>Max</t>
  </si>
  <si>
    <t>Pred1</t>
  </si>
  <si>
    <t>Pred2</t>
  </si>
  <si>
    <t>Pred3</t>
  </si>
  <si>
    <t>Cup
Prize</t>
  </si>
  <si>
    <t>Name</t>
  </si>
  <si>
    <t>Comp</t>
  </si>
  <si>
    <t>Tottenham</t>
  </si>
  <si>
    <t>Sunderland</t>
  </si>
  <si>
    <t>Bristol City Draw</t>
  </si>
  <si>
    <t>9/4</t>
  </si>
  <si>
    <t>6/4</t>
  </si>
  <si>
    <t>21/10</t>
  </si>
  <si>
    <t>Single 1</t>
  </si>
  <si>
    <t>Single 2</t>
  </si>
  <si>
    <t>Single 3</t>
  </si>
  <si>
    <t>Double 1</t>
  </si>
  <si>
    <t>Double 2</t>
  </si>
  <si>
    <t>Double 3</t>
  </si>
  <si>
    <t>Treble</t>
  </si>
  <si>
    <t xml:space="preserve">Odds - </t>
  </si>
  <si>
    <t>Correct?</t>
  </si>
  <si>
    <t>x</t>
  </si>
  <si>
    <t>√</t>
  </si>
  <si>
    <t>`</t>
  </si>
  <si>
    <t>No of Entrants:</t>
  </si>
  <si>
    <t>Fees collected:</t>
  </si>
  <si>
    <t>How did we all do?</t>
  </si>
  <si>
    <t>Home Dec</t>
  </si>
  <si>
    <t>Draw Dec</t>
  </si>
  <si>
    <t>Away Dec</t>
  </si>
  <si>
    <t>Draw dec</t>
  </si>
  <si>
    <t>Home dec</t>
  </si>
  <si>
    <t>Away dec</t>
  </si>
  <si>
    <t>The table below shows what you would score if you predicted all three matches correctly; add up the 7 bet scores – 59.99 – and subtract the £7 stake to arrive at 52.99.</t>
  </si>
  <si>
    <t>Here’s what happens if you get the Bristol City prediction wrong…</t>
  </si>
  <si>
    <t>… and if you get you only get the Sunderland one right, your score gets even lower, into negative numbers…</t>
  </si>
  <si>
    <r>
      <t xml:space="preserve">So, what is the 3in! Prediction League? </t>
    </r>
    <r>
      <rPr>
        <sz val="12"/>
        <color indexed="63"/>
        <rFont val="Arial"/>
        <family val="2"/>
      </rPr>
      <t>Basically, each player in the league chooses just three matches from the weekend’s fixture list and predicts whether they will be a home win, an away win or a draw. You score points based on how correct your three predictions turn out to be and the match odds published by William Hills.</t>
    </r>
  </si>
  <si>
    <r>
      <rPr>
        <b/>
        <i/>
        <sz val="12"/>
        <color indexed="63"/>
        <rFont val="Arial"/>
        <family val="2"/>
      </rPr>
      <t>How does the scoring actually work?</t>
    </r>
    <r>
      <rPr>
        <i/>
        <sz val="12"/>
        <color indexed="63"/>
        <rFont val="Arial"/>
        <family val="2"/>
      </rPr>
      <t xml:space="preserve"> </t>
    </r>
    <r>
      <rPr>
        <sz val="12"/>
        <color indexed="63"/>
        <rFont val="Arial"/>
        <family val="2"/>
      </rPr>
      <t>Your three predictions are entered as a Patent bet, which means you get three singles, three doubles, and a treble. So, you have seven bets in total.  (If you went into a bookies and placed a £1 patent bet it would cost you £7, £1 for each bet). What you would stake and win with a real bookie with this bet, we convert to virtual money, or points, in the Prediction League.</t>
    </r>
  </si>
  <si>
    <r>
      <t>Then what?</t>
    </r>
    <r>
      <rPr>
        <sz val="12"/>
        <color indexed="63"/>
        <rFont val="Arial"/>
        <family val="2"/>
      </rPr>
      <t xml:space="preserve"> Basically, you total the decimal odds of all your winning bets and that becomes your points score for the week. The more of your three predictions you get right, the higher your win will be and so will your score. Also, if you pick matches with higher odds and predict the correct result, you will score more points.</t>
    </r>
  </si>
  <si>
    <r>
      <t>Hmmm, I’m still not really getting it!</t>
    </r>
    <r>
      <rPr>
        <sz val="12"/>
        <color indexed="63"/>
        <rFont val="Arial"/>
        <family val="2"/>
      </rPr>
      <t xml:space="preserve"> Right, here’s an example below. The fractional odds are converted to decimal – for example, the 9/4 for a Bristol City draw becomes 2.25 to which you add your virtual £1 stake, so 3.25. Do the same with the other two bets to calculate the three single bet values. The bookie calculates the odds for the three doubles and the treble but I am not sufficiently geeky to know how they do that.</t>
    </r>
  </si>
  <si>
    <r>
      <t>… and if, like me in most weeks, you get all three wrong, then you score a big fat -7.00…</t>
    </r>
    <r>
      <rPr>
        <b/>
        <i/>
        <sz val="12"/>
        <color indexed="63"/>
        <rFont val="Arial"/>
        <family val="2"/>
      </rPr>
      <t> </t>
    </r>
  </si>
  <si>
    <r>
      <rPr>
        <b/>
        <i/>
        <sz val="12"/>
        <color indexed="63"/>
        <rFont val="Arial"/>
        <family val="2"/>
      </rPr>
      <t>OK, got it. So, when does it start and how long does it last?</t>
    </r>
    <r>
      <rPr>
        <i/>
        <sz val="12"/>
        <color indexed="63"/>
        <rFont val="Arial"/>
        <family val="2"/>
      </rPr>
      <t xml:space="preserve"> The 3in! season lasts for 20 weeks.  We have two PL seasons in one regular football season, one before Christmas and one after. The weekly schedule is published on the website.</t>
    </r>
  </si>
  <si>
    <r>
      <t>Which fixtures can I choose from?</t>
    </r>
    <r>
      <rPr>
        <sz val="12"/>
        <color indexed="63"/>
        <rFont val="Arial"/>
        <family val="2"/>
      </rPr>
      <t xml:space="preserve"> Each week you will receive an email listing the fixture list. This will normally be the fixtures from the top four English leagues played on Friday, Saturday and Sunday. Sometimes, there list may also include international matches or FA Cup matches. There will be between 40 and 46 matches to choose from.</t>
    </r>
  </si>
  <si>
    <r>
      <t>How do I submit predictions?</t>
    </r>
    <r>
      <rPr>
        <sz val="12"/>
        <color indexed="63"/>
        <rFont val="Arial"/>
        <family val="2"/>
      </rPr>
      <t xml:space="preserve"> If you are predicting a win, I just need the team name </t>
    </r>
    <r>
      <rPr>
        <b/>
        <i/>
        <sz val="12"/>
        <color indexed="63"/>
        <rFont val="Arial"/>
        <family val="2"/>
      </rPr>
      <t>exactly</t>
    </r>
    <r>
      <rPr>
        <sz val="12"/>
        <color indexed="63"/>
        <rFont val="Arial"/>
        <family val="2"/>
      </rPr>
      <t xml:space="preserve"> as it appears in the fixture list. If you are predicting a draw, I just need the home team name </t>
    </r>
    <r>
      <rPr>
        <b/>
        <i/>
        <sz val="12"/>
        <color indexed="63"/>
        <rFont val="Arial"/>
        <family val="2"/>
      </rPr>
      <t>exactly</t>
    </r>
    <r>
      <rPr>
        <sz val="12"/>
        <color indexed="63"/>
        <rFont val="Arial"/>
        <family val="2"/>
      </rPr>
      <t xml:space="preserve"> as it appears in the fixture list plus the word “draw”. In fact, just as you can see in the examples above, with each of the three predictions on a separate line.</t>
    </r>
  </si>
  <si>
    <r>
      <t>Why do you need the team name to be exactly as it appears in the fixture list?</t>
    </r>
    <r>
      <rPr>
        <sz val="12"/>
        <color indexed="63"/>
        <rFont val="Arial"/>
        <family val="2"/>
      </rPr>
      <t xml:space="preserve"> Because, it helps me to cut and paste them directly into my system and if you give me anything different I have to start typing things manually. With almost 100 sets of predictions to deal with each week, that becomes a pain in the arse. So, just do it right, please! Do not get creative with the names of the teams or the format of the predictions submission.  If it says “Tottenham” that’s what I want to see – not “Tottenham Hotspur” or “Spurs” or “Tott’ham” or “Tottenham H”. Just plain old “Tottenham” please.</t>
    </r>
  </si>
  <si>
    <r>
      <t>Is there a deadline by which I have to submit each week?</t>
    </r>
    <r>
      <rPr>
        <sz val="12"/>
        <color indexed="63"/>
        <rFont val="Arial"/>
        <family val="2"/>
      </rPr>
      <t xml:space="preserve"> No, not specifically. You have up until a match kicks off to predict its result so you could miss all of Saturday’s main fixture list and rely on the Sunday games. You just have to hope that there are at least three games on the Sunday or your chances of scoring big are reduced accordingly.</t>
    </r>
  </si>
  <si>
    <r>
      <t>What if a cup game goes to extra time and penalties?</t>
    </r>
    <r>
      <rPr>
        <sz val="12"/>
        <color indexed="63"/>
        <rFont val="Arial"/>
        <family val="2"/>
      </rPr>
      <t xml:space="preserve"> Bookies odds are generally based on the score at 90 minutes so we go with that.</t>
    </r>
  </si>
  <si>
    <r>
      <t>What if a game is postponed?</t>
    </r>
    <r>
      <rPr>
        <sz val="12"/>
        <color indexed="63"/>
        <rFont val="Arial"/>
        <family val="2"/>
      </rPr>
      <t xml:space="preserve"> If one or more of your three selections is postponed then your Patent bet permutations are again reduced accordingly. Again, I don’t pretend to understand exactly how the bookies calculate this but I have a formula that does it for me. Basically it means that your maximum win or loss will be reduced. If all three of your selections are postponed, you should give serious consideration to packing it all in.</t>
    </r>
  </si>
  <si>
    <r>
      <t>Can I change my predictions after I have submitted them?</t>
    </r>
    <r>
      <rPr>
        <sz val="12"/>
        <color indexed="63"/>
        <rFont val="Arial"/>
        <family val="2"/>
      </rPr>
      <t xml:space="preserve"> It’s a brave man (or woman) that does so but yes, provided the new matches you select haven’t yet kicked off you can change your mind. I will always take your latest submission – you’ll be amazed how many people send in three pcks, completely forget that have done so and the send in three completey different new ones. I never ask questions, I just take your most recent predictions in good faith.</t>
    </r>
  </si>
  <si>
    <r>
      <t>Will I receive a confirmation that you have received my predictions?</t>
    </r>
    <r>
      <rPr>
        <sz val="12"/>
        <color indexed="63"/>
        <rFont val="Arial"/>
        <family val="2"/>
      </rPr>
      <t xml:space="preserve"> Definitely not! With 90 sets of predictions to process I don’t have the time. But, if you reply to the official fixture list email and you don’t receive a failure, you can safely assume I have got it.</t>
    </r>
  </si>
  <si>
    <r>
      <t>Will you send me a reminder if I haven’t sent you any predictions?</t>
    </r>
    <r>
      <rPr>
        <sz val="12"/>
        <color indexed="63"/>
        <rFont val="Arial"/>
        <family val="2"/>
      </rPr>
      <t xml:space="preserve"> Er, what do you think? No, I won’t. You’re a grown adult, sort your life out.</t>
    </r>
  </si>
  <si>
    <r>
      <t>How much does it cost to enter?</t>
    </r>
    <r>
      <rPr>
        <sz val="12"/>
        <color indexed="63"/>
        <rFont val="Arial"/>
        <family val="2"/>
      </rPr>
      <t xml:space="preserve"> It’s £1 per week, so £20 for the season. Then we start again in January if you’re still with us.</t>
    </r>
  </si>
  <si>
    <r>
      <t>Do I have to pay my £20 before I can join?</t>
    </r>
    <r>
      <rPr>
        <sz val="12"/>
        <color indexed="63"/>
        <rFont val="Arial"/>
        <family val="2"/>
      </rPr>
      <t xml:space="preserve"> No. You will start £20 in debt and, at the end of the year, we will nett off any prizes and collect/pay out the balance. Except if you are brand new to the League in which case we ask you to pay your £20 by Week 3 of your first season. As a gesture of goodwill, more than anything else.</t>
    </r>
  </si>
  <si>
    <r>
      <rPr>
        <b/>
        <i/>
        <sz val="12"/>
        <rFont val="Arial"/>
        <family val="2"/>
      </rPr>
      <t>Can I send them via text instead?</t>
    </r>
    <r>
      <rPr>
        <sz val="12"/>
        <rFont val="Arial"/>
        <family val="2"/>
      </rPr>
      <t xml:space="preserve"> Only in an emergency, please don’t make a habit of it! There is more chance of me not missing your entry if you reply to the original email fixtures list.  If you lose the email, the fixtures are always on the Next Odds page of the website.</t>
    </r>
  </si>
  <si>
    <r>
      <t xml:space="preserve">How much can I win? </t>
    </r>
    <r>
      <rPr>
        <sz val="12"/>
        <color indexed="63"/>
        <rFont val="Arial"/>
        <family val="2"/>
      </rPr>
      <t>There are weekly prizes of £25 to the highest four score of the week – £10 to the highest scorer and three times £5 to the next three highest. The top 25 players at the end of the 20 weeks share the rest of the fund between them. 100% of entry fees are re-distributed as prizes. The breakdown of the prize fund is listed on the Diary page of the website.</t>
    </r>
  </si>
  <si>
    <r>
      <t xml:space="preserve">How can I find out how I am doing as the season progresses? </t>
    </r>
    <r>
      <rPr>
        <sz val="12"/>
        <color indexed="63"/>
        <rFont val="Arial"/>
        <family val="2"/>
      </rPr>
      <t>Update tables and stats are published on a weekly basis on the News section of the website and you will receive an email notifying you when the updates have been made.</t>
    </r>
  </si>
  <si>
    <r>
      <t xml:space="preserve">Can I change the email address you send the updates to? </t>
    </r>
    <r>
      <rPr>
        <sz val="12"/>
        <color indexed="63"/>
        <rFont val="Arial"/>
        <family val="2"/>
      </rPr>
      <t>Yes, you can unsubscribe your existing email address or add a new one here.</t>
    </r>
  </si>
  <si>
    <t>Sequence</t>
  </si>
  <si>
    <t>Pos</t>
  </si>
  <si>
    <t>Scrape Odds</t>
  </si>
  <si>
    <t>Issue Odds</t>
  </si>
  <si>
    <t>Issue Results</t>
  </si>
  <si>
    <t>Division A</t>
  </si>
  <si>
    <t>Division B</t>
  </si>
  <si>
    <t>Division C</t>
  </si>
  <si>
    <t>Division D</t>
  </si>
  <si>
    <t>Div</t>
  </si>
  <si>
    <t>Fund deductions (eg, non-payers)</t>
  </si>
  <si>
    <t>Division</t>
  </si>
  <si>
    <t>Weekly
Prizes</t>
  </si>
  <si>
    <t>A</t>
  </si>
  <si>
    <t>B</t>
  </si>
  <si>
    <t>C</t>
  </si>
  <si>
    <t>D</t>
  </si>
  <si>
    <t>Place Prize</t>
  </si>
  <si>
    <t>Total
Prize</t>
  </si>
  <si>
    <t>A3</t>
  </si>
  <si>
    <t>A4</t>
  </si>
  <si>
    <t>A5</t>
  </si>
  <si>
    <t>Season
Balance</t>
  </si>
  <si>
    <t>B1</t>
  </si>
  <si>
    <t>B2</t>
  </si>
  <si>
    <t>B3</t>
  </si>
  <si>
    <t>B4</t>
  </si>
  <si>
    <t>B5</t>
  </si>
  <si>
    <t>C1</t>
  </si>
  <si>
    <t>C2</t>
  </si>
  <si>
    <t>C3</t>
  </si>
  <si>
    <t>C4</t>
  </si>
  <si>
    <t>C5</t>
  </si>
  <si>
    <t>D3</t>
  </si>
  <si>
    <t>D5</t>
  </si>
  <si>
    <t>Position</t>
  </si>
  <si>
    <t>Division Pot %</t>
  </si>
  <si>
    <t>Position%</t>
  </si>
  <si>
    <t>Div Pot</t>
  </si>
  <si>
    <t>% of pot</t>
  </si>
  <si>
    <t>Div A</t>
  </si>
  <si>
    <t>Div B</t>
  </si>
  <si>
    <t>Div C</t>
  </si>
  <si>
    <t>Div D</t>
  </si>
  <si>
    <t>Brought
Forward</t>
  </si>
  <si>
    <t>Bet in?</t>
  </si>
  <si>
    <t>Play-off</t>
  </si>
  <si>
    <t>↓</t>
  </si>
  <si>
    <t>↑</t>
  </si>
  <si>
    <t>Promotion and Relegation Key</t>
  </si>
  <si>
    <t>No change</t>
  </si>
  <si>
    <t>Promoted to Division above</t>
  </si>
  <si>
    <t>Relegated to Division below</t>
  </si>
  <si>
    <t>Best two up to Div A, Worst two down to Div B</t>
  </si>
  <si>
    <t>Best two up to Div B, Worst two down to Div C</t>
  </si>
  <si>
    <t>Best two up to Div C, Worst two down to Div D</t>
  </si>
  <si>
    <t>Season
Points</t>
  </si>
  <si>
    <t>Season
Correct</t>
  </si>
  <si>
    <t>Week
Points</t>
  </si>
  <si>
    <t>Fees</t>
  </si>
  <si>
    <t>Paul Allen</t>
  </si>
  <si>
    <t>Stephen Barr</t>
  </si>
  <si>
    <t>Barry Birchall</t>
  </si>
  <si>
    <t>Steve Carter</t>
  </si>
  <si>
    <t>Paul Fiddler</t>
  </si>
  <si>
    <t>Graham Miller</t>
  </si>
  <si>
    <t>Martin Molyneux</t>
  </si>
  <si>
    <t>Mark Saunders</t>
  </si>
  <si>
    <t>Andy White</t>
  </si>
  <si>
    <t>Sally Williams</t>
  </si>
  <si>
    <t>Paul Adderley</t>
  </si>
  <si>
    <t>Lennie Bow</t>
  </si>
  <si>
    <t>Mark Bunn</t>
  </si>
  <si>
    <t>Andy Charleston</t>
  </si>
  <si>
    <t>John Evans</t>
  </si>
  <si>
    <t>Oscar Jackson</t>
  </si>
  <si>
    <t>Kei Lok Ma</t>
  </si>
  <si>
    <t>Mike Penk</t>
  </si>
  <si>
    <t>Gareth Powell</t>
  </si>
  <si>
    <t>Alan Rogers</t>
  </si>
  <si>
    <t>Mal Stott</t>
  </si>
  <si>
    <t>Vinny Topping</t>
  </si>
  <si>
    <t>Paul Barnes</t>
  </si>
  <si>
    <t>Steve Baxter</t>
  </si>
  <si>
    <t>Howard Bradley</t>
  </si>
  <si>
    <t>Kevin Carter</t>
  </si>
  <si>
    <t>Rob England</t>
  </si>
  <si>
    <t>Paul Fairhurst</t>
  </si>
  <si>
    <t>Simon Greenhalgh</t>
  </si>
  <si>
    <t>Chris Griffin</t>
  </si>
  <si>
    <t>Charlie Griffiths</t>
  </si>
  <si>
    <t>Nigel Heyes</t>
  </si>
  <si>
    <t>Mo Sudell</t>
  </si>
  <si>
    <t>Chris Townsend</t>
  </si>
  <si>
    <t>Jack Walsh</t>
  </si>
  <si>
    <t>Pete Baron</t>
  </si>
  <si>
    <t>Chris Bow</t>
  </si>
  <si>
    <t>Chris Luck</t>
  </si>
  <si>
    <t>Phil Miller</t>
  </si>
  <si>
    <t>Paul Ridgeway</t>
  </si>
  <si>
    <t>Alick Rocca</t>
  </si>
  <si>
    <t>Stephen Troop</t>
  </si>
  <si>
    <t>Weekly actions</t>
  </si>
  <si>
    <t>League
Place
Prize</t>
  </si>
  <si>
    <t>A6</t>
  </si>
  <si>
    <t>B6</t>
  </si>
  <si>
    <t>C6</t>
  </si>
  <si>
    <t>D6</t>
  </si>
  <si>
    <t>Tom Robinson</t>
  </si>
  <si>
    <t>James Bell</t>
  </si>
  <si>
    <t>D4</t>
  </si>
  <si>
    <t>League Table</t>
  </si>
  <si>
    <t>Weekly Results</t>
  </si>
  <si>
    <t>Cup Draw</t>
  </si>
  <si>
    <t>Season Diary</t>
  </si>
  <si>
    <t>Current Week Fixtures</t>
  </si>
  <si>
    <t>Current Week Predictions</t>
  </si>
  <si>
    <t>Add Matches</t>
  </si>
  <si>
    <t>Add Predictions</t>
  </si>
  <si>
    <t>Add Predictions (double-week)</t>
  </si>
  <si>
    <t>FAQ</t>
  </si>
  <si>
    <t>Prizes - Summary</t>
  </si>
  <si>
    <t>Prizes - Divisional Splits</t>
  </si>
  <si>
    <t>Sample Bets</t>
  </si>
  <si>
    <t>Pics for Publication</t>
  </si>
  <si>
    <t>1-2-3 Pivot</t>
  </si>
  <si>
    <t>Top Picks</t>
  </si>
  <si>
    <t>Useful Info</t>
  </si>
  <si>
    <t>Weekly Reports</t>
  </si>
  <si>
    <t>Admin (Weekly)</t>
  </si>
  <si>
    <t>Admin (Other)</t>
  </si>
  <si>
    <t>Cup Draw Raw</t>
  </si>
  <si>
    <t>Calculations</t>
  </si>
  <si>
    <t>Last Season Places</t>
  </si>
  <si>
    <t>Brought Forward</t>
  </si>
  <si>
    <t>End of Season Finance</t>
  </si>
  <si>
    <t>Menu!A1</t>
  </si>
  <si>
    <t>Click the top left cell in any tab to return Home</t>
  </si>
  <si>
    <t>Pos L/W</t>
  </si>
  <si>
    <t xml:space="preserve">Mini Leagues </t>
  </si>
  <si>
    <t>Total
Correct</t>
  </si>
  <si>
    <t>Week
Rank</t>
  </si>
  <si>
    <t>Wigan</t>
  </si>
  <si>
    <t>This Week
Actual Score</t>
  </si>
  <si>
    <t>This Week
Max Score</t>
  </si>
  <si>
    <t>Rank</t>
  </si>
  <si>
    <t>Max Score
This Week</t>
  </si>
  <si>
    <t>Season
So Far</t>
  </si>
  <si>
    <t>Leeds</t>
  </si>
  <si>
    <t>-7.00</t>
  </si>
  <si>
    <t xml:space="preserve">Wk 19: </t>
  </si>
  <si>
    <t>Odds -</t>
  </si>
  <si>
    <t>Liam Wah</t>
  </si>
  <si>
    <t>Ben Rosser</t>
  </si>
  <si>
    <t>Dave Orrell</t>
  </si>
  <si>
    <t>David Dunn</t>
  </si>
  <si>
    <t>Ashley Houghton</t>
  </si>
  <si>
    <t>Gerard Ventom</t>
  </si>
  <si>
    <t>John Ronan</t>
  </si>
  <si>
    <t>Nick Blocksidge</t>
  </si>
  <si>
    <t>Martin Tarbuck</t>
  </si>
  <si>
    <t>Alfie Davies</t>
  </si>
  <si>
    <t>Ian Davies</t>
  </si>
  <si>
    <t>Dave Bell</t>
  </si>
  <si>
    <t>Resigned?</t>
  </si>
  <si>
    <t>D14</t>
  </si>
  <si>
    <t>D15</t>
  </si>
  <si>
    <t>D16</t>
  </si>
  <si>
    <t>D17</t>
  </si>
  <si>
    <t>D18</t>
  </si>
  <si>
    <t>D19</t>
  </si>
  <si>
    <t>D20</t>
  </si>
  <si>
    <t>Number of rounds (7 if &gt; 64 total)</t>
  </si>
  <si>
    <t>A7</t>
  </si>
  <si>
    <t>A8</t>
  </si>
  <si>
    <t>A10</t>
  </si>
  <si>
    <t>A11</t>
  </si>
  <si>
    <t>A12</t>
  </si>
  <si>
    <t>A13</t>
  </si>
  <si>
    <t>A14</t>
  </si>
  <si>
    <t>A15</t>
  </si>
  <si>
    <t>A16</t>
  </si>
  <si>
    <t>B7</t>
  </si>
  <si>
    <t>B8</t>
  </si>
  <si>
    <t>B9</t>
  </si>
  <si>
    <t>B10</t>
  </si>
  <si>
    <t>B11</t>
  </si>
  <si>
    <t>B12</t>
  </si>
  <si>
    <t>B13</t>
  </si>
  <si>
    <t>B14</t>
  </si>
  <si>
    <t>B15</t>
  </si>
  <si>
    <t>B16</t>
  </si>
  <si>
    <t>C7</t>
  </si>
  <si>
    <t>C8</t>
  </si>
  <si>
    <t>C9</t>
  </si>
  <si>
    <t>C10</t>
  </si>
  <si>
    <t>C11</t>
  </si>
  <si>
    <t>C12</t>
  </si>
  <si>
    <t>C13</t>
  </si>
  <si>
    <t>C14</t>
  </si>
  <si>
    <t>C15</t>
  </si>
  <si>
    <t>C16</t>
  </si>
  <si>
    <t>D7</t>
  </si>
  <si>
    <t>D8</t>
  </si>
  <si>
    <t>D9</t>
  </si>
  <si>
    <t>D10</t>
  </si>
  <si>
    <t>D11</t>
  </si>
  <si>
    <t>D12</t>
  </si>
  <si>
    <t>D13</t>
  </si>
  <si>
    <t>A9</t>
  </si>
  <si>
    <t>Doncaster</t>
  </si>
  <si>
    <t>Portsmouth</t>
  </si>
  <si>
    <t>Next
Div</t>
  </si>
  <si>
    <t>Season
Score</t>
  </si>
  <si>
    <t>Week
? of 3</t>
  </si>
  <si>
    <t>League
Place Prize</t>
  </si>
  <si>
    <t>Number of Entrants</t>
  </si>
  <si>
    <t>This Week
Correct</t>
  </si>
  <si>
    <t>Count of Points</t>
  </si>
  <si>
    <t>Replay</t>
  </si>
  <si>
    <t>(blank)</t>
  </si>
  <si>
    <t>Act Score
This Week</t>
  </si>
  <si>
    <t>Sheff U</t>
  </si>
  <si>
    <t>Villa</t>
  </si>
  <si>
    <t>Wycombe</t>
  </si>
  <si>
    <t>West Ham</t>
  </si>
  <si>
    <t>Spurs</t>
  </si>
  <si>
    <t>Reading draw</t>
  </si>
  <si>
    <t>Prm\Chp\FL1\FL2</t>
  </si>
  <si>
    <t>INT\FL1\FL2\NL</t>
  </si>
  <si>
    <t>PL Cup
Round</t>
  </si>
  <si>
    <t>Prev/Final
Div</t>
  </si>
  <si>
    <t>Joel Bent</t>
  </si>
  <si>
    <t>Gareth McGuire</t>
  </si>
  <si>
    <t>Alan White</t>
  </si>
  <si>
    <t>Row Labels</t>
  </si>
  <si>
    <t>Put back to M22</t>
  </si>
  <si>
    <t>Prev/Final
Pos</t>
  </si>
  <si>
    <t>Promotion/
Relegation</t>
  </si>
  <si>
    <t>Players</t>
  </si>
  <si>
    <t>Count of Players</t>
  </si>
  <si>
    <t>Closing 
Balance</t>
  </si>
  <si>
    <t>FAC\FL1\FL2</t>
  </si>
  <si>
    <t>Fixtures in PreliminaryRound/Round 1</t>
  </si>
  <si>
    <t>Preliminary Round</t>
  </si>
  <si>
    <t>Round 1</t>
  </si>
  <si>
    <t>Round 3</t>
  </si>
  <si>
    <t>Quarter Final</t>
  </si>
  <si>
    <t>Week</t>
  </si>
  <si>
    <t>Saturday</t>
  </si>
  <si>
    <t>Match Day</t>
  </si>
  <si>
    <t>Wk1</t>
  </si>
  <si>
    <t>Wk2</t>
  </si>
  <si>
    <t>N</t>
  </si>
  <si>
    <r>
      <t xml:space="preserve">Top Nap </t>
    </r>
    <r>
      <rPr>
        <b/>
        <sz val="12"/>
        <color rgb="FF008000"/>
        <rFont val="Calibri"/>
        <family val="2"/>
      </rPr>
      <t>↑</t>
    </r>
  </si>
  <si>
    <r>
      <t xml:space="preserve">Coupon-Buster </t>
    </r>
    <r>
      <rPr>
        <b/>
        <sz val="12"/>
        <color rgb="FFFF0000"/>
        <rFont val="Calibri"/>
        <family val="2"/>
      </rPr>
      <t>↓</t>
    </r>
  </si>
  <si>
    <r>
      <t xml:space="preserve">Bravest Max! </t>
    </r>
    <r>
      <rPr>
        <sz val="12"/>
        <color rgb="FF7030A0"/>
        <rFont val="Arial"/>
        <family val="2"/>
      </rPr>
      <t>👊</t>
    </r>
    <r>
      <rPr>
        <sz val="10"/>
        <color rgb="FF7030A0"/>
        <rFont val="Arial"/>
        <family val="2"/>
      </rPr>
      <t xml:space="preserve"> </t>
    </r>
  </si>
  <si>
    <r>
      <t xml:space="preserve">Mardest Max! </t>
    </r>
    <r>
      <rPr>
        <sz val="12"/>
        <color rgb="FF7030A0"/>
        <rFont val="Arial"/>
        <family val="2"/>
      </rPr>
      <t>👶</t>
    </r>
  </si>
  <si>
    <t>Prm\Chp\FAC</t>
  </si>
  <si>
    <t>Qualifying
Fixtures</t>
  </si>
  <si>
    <t>Midweek\
Weekend of…</t>
  </si>
  <si>
    <t>Double/Midweek Fixtures?</t>
  </si>
  <si>
    <t>+</t>
  </si>
  <si>
    <t>Picks</t>
  </si>
  <si>
    <t>Wk in</t>
  </si>
  <si>
    <t>Wk Pts</t>
  </si>
  <si>
    <t>Season
Total</t>
  </si>
  <si>
    <t>Rank #
of 62</t>
  </si>
  <si>
    <t xml:space="preserve">Result &amp; Odds #1 </t>
  </si>
  <si>
    <t>Result &amp; Odds #2</t>
  </si>
  <si>
    <t>3 in</t>
  </si>
  <si>
    <t>1 in</t>
  </si>
  <si>
    <t>2 in</t>
  </si>
  <si>
    <t>0 in</t>
  </si>
  <si>
    <t>Div
Pos</t>
  </si>
  <si>
    <t>Man or mouse?</t>
  </si>
  <si>
    <t>Season:</t>
  </si>
  <si>
    <t>Put back to O21</t>
  </si>
  <si>
    <t>Put back to M25</t>
  </si>
  <si>
    <t>Long Shot 🤞</t>
  </si>
  <si>
    <t>Longest odds in</t>
  </si>
  <si>
    <t>Up &amp; Down</t>
  </si>
  <si>
    <t>+ other(s)</t>
  </si>
  <si>
    <t>First "Long-Odder"</t>
  </si>
  <si>
    <t>Down</t>
  </si>
  <si>
    <t>Team</t>
  </si>
  <si>
    <t>K30</t>
  </si>
  <si>
    <t>M30</t>
  </si>
  <si>
    <t>O30</t>
  </si>
  <si>
    <t>Q30</t>
  </si>
  <si>
    <t>New
Div</t>
  </si>
  <si>
    <t>3in! PL
Round No.</t>
  </si>
  <si>
    <t>R4 (QF)</t>
  </si>
  <si>
    <t>R5 (SF)</t>
  </si>
  <si>
    <t>Round</t>
  </si>
  <si>
    <t>D/W?</t>
  </si>
  <si>
    <t>Bye</t>
  </si>
  <si>
    <t>Deducts</t>
  </si>
  <si>
    <t>Ref</t>
  </si>
  <si>
    <t>Played</t>
  </si>
  <si>
    <t>Week 1
Off/On?</t>
  </si>
  <si>
    <t>R</t>
  </si>
  <si>
    <t>Off?</t>
  </si>
  <si>
    <t>On/Off</t>
  </si>
  <si>
    <t>Harrogate</t>
  </si>
  <si>
    <t>#N/A</t>
  </si>
  <si>
    <t>Cup semi-finalists (2 * £5)</t>
  </si>
  <si>
    <t>Div A top 6 places (35%/25/18/12/7/3) - 45% of pot</t>
  </si>
  <si>
    <t>End of season place prize pot</t>
  </si>
  <si>
    <t>Div B top 6 places (35%/25/18/12/7/3) - 30% of pot</t>
  </si>
  <si>
    <t>Div C top 6 places (35%/25/18/12/7/3) - 15% of pot</t>
  </si>
  <si>
    <t>Div D top 6 places (35%/25/18/12/7/3) - 10% of pot</t>
  </si>
  <si>
    <t>Nett place prize pot</t>
  </si>
  <si>
    <t>I,J</t>
  </si>
  <si>
    <t>H,I</t>
  </si>
  <si>
    <t>H,J</t>
  </si>
  <si>
    <t>H,I,J</t>
  </si>
  <si>
    <t>Y</t>
  </si>
  <si>
    <t>PL38</t>
  </si>
  <si>
    <t>E</t>
  </si>
  <si>
    <t>Andy Hargreaves</t>
  </si>
  <si>
    <t>X</t>
  </si>
  <si>
    <t>Alan Bond</t>
  </si>
  <si>
    <t>John Murphy</t>
  </si>
  <si>
    <t>Bob Bailey</t>
  </si>
  <si>
    <t>Dan Gibbard</t>
  </si>
  <si>
    <t>Frank Allen</t>
  </si>
  <si>
    <t>Autumn</t>
  </si>
  <si>
    <t>Walsall</t>
  </si>
  <si>
    <t>Orient</t>
  </si>
  <si>
    <t>Rochdale</t>
  </si>
  <si>
    <t>Swindon</t>
  </si>
  <si>
    <t>Tranmere</t>
  </si>
  <si>
    <t>Ipswich</t>
  </si>
  <si>
    <t>Oxford</t>
  </si>
  <si>
    <t>Plymouth</t>
  </si>
  <si>
    <t>League 1</t>
  </si>
  <si>
    <t>Charlton</t>
  </si>
  <si>
    <t>Salford</t>
  </si>
  <si>
    <t>Sutton</t>
  </si>
  <si>
    <t>Champ</t>
  </si>
  <si>
    <t>Premier</t>
  </si>
  <si>
    <t>Burnley</t>
  </si>
  <si>
    <t>Leicester</t>
  </si>
  <si>
    <t>Chelsea</t>
  </si>
  <si>
    <t>Liverpool</t>
  </si>
  <si>
    <t>Brentford</t>
  </si>
  <si>
    <t>Southampton</t>
  </si>
  <si>
    <t>Wolves</t>
  </si>
  <si>
    <t>Bristol C</t>
  </si>
  <si>
    <t>Blackburn</t>
  </si>
  <si>
    <t>Barnsley</t>
  </si>
  <si>
    <t>Huddersfield</t>
  </si>
  <si>
    <t>Hull</t>
  </si>
  <si>
    <t>Birmingham</t>
  </si>
  <si>
    <t>Middlesbro</t>
  </si>
  <si>
    <t>Forest</t>
  </si>
  <si>
    <t>Peterborough</t>
  </si>
  <si>
    <t>Swansea</t>
  </si>
  <si>
    <t>Blackpool</t>
  </si>
  <si>
    <t>Cheltenham</t>
  </si>
  <si>
    <t>Shrewsbury</t>
  </si>
  <si>
    <t>Fleetwood</t>
  </si>
  <si>
    <t>Morecambe</t>
  </si>
  <si>
    <t>Wimbledon</t>
  </si>
  <si>
    <t>Rotherham</t>
  </si>
  <si>
    <t>Man C</t>
  </si>
  <si>
    <t>Arsenal</t>
  </si>
  <si>
    <t>Bolton</t>
  </si>
  <si>
    <t>Cambridge</t>
  </si>
  <si>
    <t>League 2</t>
  </si>
  <si>
    <t>Newport</t>
  </si>
  <si>
    <t>Oldham</t>
  </si>
  <si>
    <t>Everton</t>
  </si>
  <si>
    <t>Southend</t>
  </si>
  <si>
    <t>Stockport</t>
  </si>
  <si>
    <t>Yeovil</t>
  </si>
  <si>
    <t>Spurs draw</t>
  </si>
  <si>
    <t>Wolves draw</t>
  </si>
  <si>
    <t>Middlesbro draw</t>
  </si>
  <si>
    <t>Brighton</t>
  </si>
  <si>
    <t>Norwich</t>
  </si>
  <si>
    <t>Palace</t>
  </si>
  <si>
    <t>Watford</t>
  </si>
  <si>
    <t>Stoke</t>
  </si>
  <si>
    <t>Cardiff</t>
  </si>
  <si>
    <t>Coventry</t>
  </si>
  <si>
    <t>Fulham</t>
  </si>
  <si>
    <t>Luton</t>
  </si>
  <si>
    <t>Millwall</t>
  </si>
  <si>
    <t>Reading</t>
  </si>
  <si>
    <t>Preston</t>
  </si>
  <si>
    <t>Accrington</t>
  </si>
  <si>
    <t>Crewe</t>
  </si>
  <si>
    <t>Gillingham</t>
  </si>
  <si>
    <t>Lincoln</t>
  </si>
  <si>
    <t>MK Dons</t>
  </si>
  <si>
    <t>Sheff W</t>
  </si>
  <si>
    <t>Burton</t>
  </si>
  <si>
    <t>Bradford</t>
  </si>
  <si>
    <t>Bristol R</t>
  </si>
  <si>
    <t>Carlisle</t>
  </si>
  <si>
    <t>Colchester</t>
  </si>
  <si>
    <t>Exeter</t>
  </si>
  <si>
    <t>Mansfield</t>
  </si>
  <si>
    <t>Hartlepool</t>
  </si>
  <si>
    <t>Forest Green</t>
  </si>
  <si>
    <t>Northampton</t>
  </si>
  <si>
    <t>Scunthorpe</t>
  </si>
  <si>
    <t>Port Vale</t>
  </si>
  <si>
    <t>Barrow</t>
  </si>
  <si>
    <t>Nat League</t>
  </si>
  <si>
    <t>Aldershot</t>
  </si>
  <si>
    <t>Woking</t>
  </si>
  <si>
    <t>Bromley</t>
  </si>
  <si>
    <t>Dover</t>
  </si>
  <si>
    <t>Dagenham</t>
  </si>
  <si>
    <t>Altrincham</t>
  </si>
  <si>
    <t>Torquay</t>
  </si>
  <si>
    <t>Brighton draw</t>
  </si>
  <si>
    <t>Burnley draw</t>
  </si>
  <si>
    <t>Villa draw</t>
  </si>
  <si>
    <t>Man C draw</t>
  </si>
  <si>
    <t>Brighton Draw</t>
  </si>
  <si>
    <t>Cheltenham Draw</t>
  </si>
  <si>
    <t>Carlisle Draw</t>
  </si>
  <si>
    <t>Colchester Draw</t>
  </si>
  <si>
    <t>West ham</t>
  </si>
  <si>
    <t>Fleetwood draw</t>
  </si>
  <si>
    <t>Stockport draw</t>
  </si>
  <si>
    <t>Huddersfield draw</t>
  </si>
  <si>
    <t>Cardiff Draw</t>
  </si>
  <si>
    <t>Hull draw</t>
  </si>
  <si>
    <t>Lincoln draw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</si>
</sst>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Red]\-&quot;£&quot;#,##0"/>
    <numFmt numFmtId="8" formatCode="&quot;£&quot;#,##0.00;[Red]\-&quot;£&quot;#,##0.00"/>
    <numFmt numFmtId="164" formatCode="&quot;£&quot;#,##0.00"/>
    <numFmt numFmtId="165" formatCode="#\ ??/100"/>
    <numFmt numFmtId="166" formatCode="&quot;£&quot;#,##0"/>
    <numFmt numFmtId="167" formatCode="d/m/yy;@"/>
    <numFmt numFmtId="168" formatCode="dddd\,\ dd"/>
    <numFmt numFmtId="169" formatCode="ddd\,\ d\ mmm"/>
    <numFmt numFmtId="170" formatCode="ddd\ dd\ mmm"/>
    <numFmt numFmtId="171" formatCode="0.00_ ;[Red]\-0.00\ "/>
    <numFmt numFmtId="172" formatCode="#,##0.00_ ;[Red]\-#,##0.00\ "/>
    <numFmt numFmtId="173" formatCode="#,##0_ ;[Red]\-#,##0\ "/>
    <numFmt numFmtId="174" formatCode="0_ ;[Red]\-0\ "/>
    <numFmt numFmtId="175" formatCode="d\-mmm"/>
    <numFmt numFmtId="176" formatCode="0.000"/>
    <numFmt numFmtId="177" formatCode="ddd\ dd\ mmm\ yy"/>
    <numFmt numFmtId="178" formatCode="ddd\,\ d\ mmmm"/>
    <numFmt numFmtId="179" formatCode="ddd"/>
  </numFmts>
  <fonts count="68">
    <font>
      <sz val="10"/>
      <name val="Arial"/>
    </font>
    <font>
      <b/>
      <sz val="10"/>
      <name val="Arial"/>
      <family val="2"/>
    </font>
    <font>
      <u/>
      <sz val="10"/>
      <color indexed="12"/>
      <name val="Arial"/>
      <family val="2"/>
    </font>
    <font>
      <sz val="10"/>
      <name val="Arial Unicode MS"/>
      <family val="2"/>
    </font>
    <font>
      <sz val="10"/>
      <name val="Arial"/>
      <family val="2"/>
    </font>
    <font>
      <sz val="9"/>
      <name val="Arial"/>
      <family val="2"/>
    </font>
    <font>
      <b/>
      <sz val="9"/>
      <name val="Arial"/>
      <family val="2"/>
    </font>
    <font>
      <sz val="8"/>
      <name val="Arial"/>
      <family val="2"/>
    </font>
    <font>
      <b/>
      <sz val="9"/>
      <color indexed="81"/>
      <name val="Tahoma"/>
      <family val="2"/>
    </font>
    <font>
      <sz val="9"/>
      <color indexed="81"/>
      <name val="Tahoma"/>
      <family val="2"/>
    </font>
    <font>
      <sz val="14"/>
      <name val="Arial"/>
      <family val="2"/>
    </font>
    <font>
      <b/>
      <sz val="9"/>
      <color indexed="9"/>
      <name val="Tahoma"/>
      <family val="2"/>
    </font>
    <font>
      <b/>
      <i/>
      <sz val="12"/>
      <color indexed="63"/>
      <name val="Arial"/>
      <family val="2"/>
    </font>
    <font>
      <sz val="12"/>
      <color indexed="63"/>
      <name val="Arial"/>
      <family val="2"/>
    </font>
    <font>
      <sz val="12"/>
      <name val="Arial"/>
      <family val="2"/>
    </font>
    <font>
      <i/>
      <sz val="12"/>
      <color indexed="63"/>
      <name val="Arial"/>
      <family val="2"/>
    </font>
    <font>
      <b/>
      <i/>
      <sz val="12"/>
      <name val="Arial"/>
      <family val="2"/>
    </font>
    <font>
      <b/>
      <sz val="12"/>
      <name val="Arial"/>
      <family val="2"/>
    </font>
    <font>
      <b/>
      <sz val="10"/>
      <color rgb="FFFFFF00"/>
      <name val="Arial"/>
      <family val="2"/>
    </font>
    <font>
      <sz val="10"/>
      <color rgb="FFFFFF00"/>
      <name val="Arial"/>
      <family val="2"/>
    </font>
    <font>
      <sz val="10"/>
      <color theme="0"/>
      <name val="Arial"/>
      <family val="2"/>
    </font>
    <font>
      <u/>
      <sz val="10"/>
      <color rgb="FFFFFF00"/>
      <name val="Arial"/>
      <family val="2"/>
    </font>
    <font>
      <b/>
      <sz val="10"/>
      <color rgb="FFFF0000"/>
      <name val="Arial"/>
      <family val="2"/>
    </font>
    <font>
      <sz val="10"/>
      <color rgb="FFFF0000"/>
      <name val="Arial"/>
      <family val="2"/>
    </font>
    <font>
      <b/>
      <sz val="10"/>
      <color rgb="FF7030A0"/>
      <name val="Arial"/>
      <family val="2"/>
    </font>
    <font>
      <sz val="10"/>
      <color rgb="FF7030A0"/>
      <name val="Arial"/>
      <family val="2"/>
    </font>
    <font>
      <b/>
      <i/>
      <sz val="10"/>
      <color rgb="FF7030A0"/>
      <name val="Arial"/>
      <family val="2"/>
    </font>
    <font>
      <b/>
      <sz val="12"/>
      <color rgb="FF00B050"/>
      <name val="Calibri"/>
      <family val="2"/>
    </font>
    <font>
      <b/>
      <sz val="12"/>
      <color rgb="FFFF0000"/>
      <name val="Calibri"/>
      <family val="2"/>
    </font>
    <font>
      <sz val="14"/>
      <color rgb="FFFFFF00"/>
      <name val="Arial"/>
      <family val="2"/>
    </font>
    <font>
      <b/>
      <sz val="14"/>
      <color rgb="FFFFFF00"/>
      <name val="Arial"/>
      <family val="2"/>
    </font>
    <font>
      <sz val="10"/>
      <color theme="0" tint="-0.499984740745262"/>
      <name val="Arial"/>
      <family val="2"/>
    </font>
    <font>
      <b/>
      <sz val="12"/>
      <color rgb="FFFF0000"/>
      <name val="Arial"/>
      <family val="2"/>
    </font>
    <font>
      <b/>
      <i/>
      <sz val="12"/>
      <color rgb="FF444444"/>
      <name val="Arial"/>
      <family val="2"/>
    </font>
    <font>
      <i/>
      <sz val="12"/>
      <color rgb="FF444444"/>
      <name val="Arial"/>
      <family val="2"/>
    </font>
    <font>
      <sz val="12"/>
      <color rgb="FF444444"/>
      <name val="Arial"/>
      <family val="2"/>
    </font>
    <font>
      <b/>
      <sz val="12"/>
      <color rgb="FF1B8BE0"/>
      <name val="Arial"/>
      <family val="2"/>
    </font>
    <font>
      <b/>
      <i/>
      <sz val="12"/>
      <color rgb="FF1B8BE0"/>
      <name val="Arial"/>
      <family val="2"/>
    </font>
    <font>
      <sz val="10"/>
      <color theme="6" tint="-0.249977111117893"/>
      <name val="Arial"/>
      <family val="2"/>
    </font>
    <font>
      <sz val="9"/>
      <color theme="0"/>
      <name val="Arial"/>
      <family val="2"/>
    </font>
    <font>
      <i/>
      <sz val="10"/>
      <color rgb="FF7030A0"/>
      <name val="Arial"/>
      <family val="2"/>
    </font>
    <font>
      <b/>
      <sz val="9"/>
      <color theme="0"/>
      <name val="Arial"/>
      <family val="2"/>
    </font>
    <font>
      <b/>
      <sz val="16"/>
      <color rgb="FF7030A0"/>
      <name val="Arial"/>
      <family val="2"/>
    </font>
    <font>
      <u/>
      <sz val="10"/>
      <color theme="0"/>
      <name val="Arial"/>
      <family val="2"/>
    </font>
    <font>
      <i/>
      <sz val="12"/>
      <color rgb="FFFFFF00"/>
      <name val="Arial"/>
      <family val="2"/>
    </font>
    <font>
      <b/>
      <sz val="10"/>
      <color theme="0"/>
      <name val="Arial"/>
      <family val="2"/>
    </font>
    <font>
      <sz val="11"/>
      <color rgb="FFFFFF00"/>
      <name val="Arial"/>
      <family val="2"/>
    </font>
    <font>
      <b/>
      <i/>
      <sz val="14"/>
      <color theme="1"/>
      <name val="Arial"/>
      <family val="2"/>
    </font>
    <font>
      <b/>
      <sz val="10"/>
      <color theme="1"/>
      <name val="Arial"/>
      <family val="2"/>
    </font>
    <font>
      <b/>
      <sz val="12"/>
      <color theme="1"/>
      <name val="Arial"/>
      <family val="2"/>
    </font>
    <font>
      <sz val="10"/>
      <color theme="1"/>
      <name val="Tahoma"/>
      <family val="2"/>
    </font>
    <font>
      <sz val="10"/>
      <color rgb="FFFFFF00"/>
      <name val="Tahoma"/>
      <family val="2"/>
    </font>
    <font>
      <b/>
      <sz val="9"/>
      <color rgb="FFFFFF00"/>
      <name val="Arial"/>
      <family val="2"/>
    </font>
    <font>
      <b/>
      <i/>
      <sz val="9"/>
      <color rgb="FF7030A0"/>
      <name val="Arial"/>
      <family val="2"/>
    </font>
    <font>
      <b/>
      <i/>
      <sz val="8"/>
      <color rgb="FF7030A0"/>
      <name val="Arial"/>
      <family val="2"/>
    </font>
    <font>
      <i/>
      <sz val="9"/>
      <color rgb="FF7030A0"/>
      <name val="Arial"/>
      <family val="2"/>
    </font>
    <font>
      <i/>
      <sz val="8"/>
      <color rgb="FF7030A0"/>
      <name val="Arial"/>
      <family val="2"/>
    </font>
    <font>
      <b/>
      <i/>
      <sz val="10"/>
      <color rgb="FFFFFF00"/>
      <name val="Arial"/>
      <family val="2"/>
    </font>
    <font>
      <sz val="18"/>
      <color rgb="FFFFFF00"/>
      <name val="Arial"/>
      <family val="2"/>
    </font>
    <font>
      <b/>
      <sz val="12"/>
      <color rgb="FFFFFF00"/>
      <name val="Arial"/>
      <family val="2"/>
    </font>
    <font>
      <i/>
      <sz val="9"/>
      <color theme="0"/>
      <name val="Arial"/>
      <family val="2"/>
    </font>
    <font>
      <sz val="12"/>
      <color rgb="FF7030A0"/>
      <name val="Arial"/>
      <family val="2"/>
    </font>
    <font>
      <b/>
      <sz val="12"/>
      <color rgb="FF008000"/>
      <name val="Calibri"/>
      <family val="2"/>
    </font>
    <font>
      <sz val="9"/>
      <color rgb="FF7030A0"/>
      <name val="Arial"/>
      <family val="2"/>
    </font>
    <font>
      <i/>
      <sz val="9"/>
      <color rgb="FFFFFF00"/>
      <name val="Arial"/>
      <family val="2"/>
    </font>
    <font>
      <sz val="9"/>
      <color rgb="FFFFFF00"/>
      <name val="Arial"/>
      <family val="2"/>
    </font>
    <font>
      <sz val="10"/>
      <color theme="0" tint="-0.249977111117893"/>
      <name val="Arial"/>
      <family val="2"/>
    </font>
    <font>
      <b/>
      <sz val="12"/>
      <color rgb="FF7030A0"/>
      <name val="Arial"/>
      <family val="2"/>
    </font>
  </fonts>
  <fills count="23">
    <fill>
      <patternFill patternType="none"/>
    </fill>
    <fill>
      <patternFill patternType="gray125"/>
    </fill>
    <fill>
      <patternFill patternType="solid">
        <fgColor indexed="1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rgb="FF7030A0"/>
        <bgColor indexed="64"/>
      </patternFill>
    </fill>
    <fill>
      <patternFill patternType="solid">
        <fgColor theme="1"/>
        <bgColor indexed="64"/>
      </patternFill>
    </fill>
    <fill>
      <patternFill patternType="solid">
        <fgColor rgb="FFFFFF0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8" tint="-0.249977111117893"/>
        <bgColor indexed="64"/>
      </patternFill>
    </fill>
  </fills>
  <borders count="11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ck">
        <color indexed="64"/>
      </top>
      <bottom/>
      <diagonal/>
    </border>
    <border>
      <left style="medium">
        <color indexed="64"/>
      </left>
      <right style="hair">
        <color indexed="64"/>
      </right>
      <top style="thick">
        <color indexed="64"/>
      </top>
      <bottom/>
      <diagonal/>
    </border>
    <border>
      <left style="hair">
        <color indexed="64"/>
      </left>
      <right style="hair">
        <color indexed="64"/>
      </right>
      <top/>
      <bottom/>
      <diagonal/>
    </border>
    <border>
      <left style="hair">
        <color indexed="64"/>
      </left>
      <right style="hair">
        <color indexed="64"/>
      </right>
      <top style="thick">
        <color indexed="64"/>
      </top>
      <bottom/>
      <diagonal/>
    </border>
    <border>
      <left style="hair">
        <color indexed="64"/>
      </left>
      <right style="medium">
        <color indexed="64"/>
      </right>
      <top style="thick">
        <color indexed="64"/>
      </top>
      <bottom/>
      <diagonal/>
    </border>
    <border>
      <left/>
      <right style="medium">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right style="medium">
        <color indexed="64"/>
      </right>
      <top/>
      <bottom/>
      <diagonal/>
    </border>
    <border>
      <left style="medium">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thick">
        <color indexed="64"/>
      </left>
      <right/>
      <top style="thick">
        <color indexed="64"/>
      </top>
      <bottom/>
      <diagonal/>
    </border>
    <border>
      <left style="medium">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thick">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bottom/>
      <diagonal/>
    </border>
    <border>
      <left style="medium">
        <color indexed="64"/>
      </left>
      <right/>
      <top/>
      <bottom style="thick">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right/>
      <top style="medium">
        <color indexed="64"/>
      </top>
      <bottom style="medium">
        <color indexed="64"/>
      </bottom>
      <diagonal/>
    </border>
    <border>
      <left style="hair">
        <color indexed="64"/>
      </left>
      <right style="medium">
        <color indexed="64"/>
      </right>
      <top/>
      <bottom style="medium">
        <color indexed="64"/>
      </bottom>
      <diagonal/>
    </border>
    <border>
      <left style="thin">
        <color rgb="FFFFFF00"/>
      </left>
      <right style="thin">
        <color rgb="FFFFFF00"/>
      </right>
      <top style="thin">
        <color rgb="FFFFFF00"/>
      </top>
      <bottom style="thin">
        <color rgb="FFFFFF00"/>
      </bottom>
      <diagonal/>
    </border>
    <border>
      <left style="thin">
        <color indexed="64"/>
      </left>
      <right style="thin">
        <color indexed="64"/>
      </right>
      <top style="thin">
        <color indexed="64"/>
      </top>
      <bottom style="thick">
        <color rgb="FF7030A0"/>
      </bottom>
      <diagonal/>
    </border>
    <border>
      <left style="thin">
        <color indexed="64"/>
      </left>
      <right style="thin">
        <color indexed="64"/>
      </right>
      <top style="thick">
        <color rgb="FF7030A0"/>
      </top>
      <bottom style="thin">
        <color indexed="64"/>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FFFF00"/>
      </left>
      <right style="thin">
        <color rgb="FF7030A0"/>
      </right>
      <top style="thin">
        <color rgb="FFFFFF00"/>
      </top>
      <bottom style="thin">
        <color rgb="FFFFFF00"/>
      </bottom>
      <diagonal/>
    </border>
    <border>
      <left style="thin">
        <color rgb="FF7030A0"/>
      </left>
      <right style="thin">
        <color rgb="FF7030A0"/>
      </right>
      <top style="thin">
        <color rgb="FFFFFF00"/>
      </top>
      <bottom style="thin">
        <color rgb="FFFFFF00"/>
      </bottom>
      <diagonal/>
    </border>
    <border>
      <left style="thin">
        <color rgb="FF7030A0"/>
      </left>
      <right style="thin">
        <color rgb="FFFFFF00"/>
      </right>
      <top style="thin">
        <color rgb="FFFFFF00"/>
      </top>
      <bottom style="thin">
        <color rgb="FFFFFF00"/>
      </bottom>
      <diagonal/>
    </border>
    <border>
      <left style="thin">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style="thick">
        <color rgb="FF7030A0"/>
      </top>
      <bottom style="thin">
        <color rgb="FF7030A0"/>
      </bottom>
      <diagonal/>
    </border>
    <border>
      <left style="thin">
        <color rgb="FF7030A0"/>
      </left>
      <right/>
      <top style="thin">
        <color rgb="FF7030A0"/>
      </top>
      <bottom style="thin">
        <color rgb="FF7030A0"/>
      </bottom>
      <diagonal/>
    </border>
    <border>
      <left style="thin">
        <color rgb="FF7030A0"/>
      </left>
      <right/>
      <top style="thin">
        <color rgb="FF7030A0"/>
      </top>
      <bottom/>
      <diagonal/>
    </border>
    <border>
      <left style="thin">
        <color rgb="FF7030A0"/>
      </left>
      <right/>
      <top style="thick">
        <color rgb="FF7030A0"/>
      </top>
      <bottom style="thin">
        <color rgb="FF7030A0"/>
      </bottom>
      <diagonal/>
    </border>
    <border>
      <left style="thick">
        <color rgb="FF7030A0"/>
      </left>
      <right style="thin">
        <color rgb="FF7030A0"/>
      </right>
      <top style="thick">
        <color rgb="FF7030A0"/>
      </top>
      <bottom style="thin">
        <color rgb="FF7030A0"/>
      </bottom>
      <diagonal/>
    </border>
    <border>
      <left style="thick">
        <color rgb="FF7030A0"/>
      </left>
      <right style="thin">
        <color rgb="FF7030A0"/>
      </right>
      <top style="thin">
        <color rgb="FF7030A0"/>
      </top>
      <bottom style="thin">
        <color rgb="FF7030A0"/>
      </bottom>
      <diagonal/>
    </border>
    <border>
      <left style="thick">
        <color rgb="FF7030A0"/>
      </left>
      <right style="thin">
        <color rgb="FF7030A0"/>
      </right>
      <top style="thin">
        <color rgb="FF7030A0"/>
      </top>
      <bottom/>
      <diagonal/>
    </border>
    <border>
      <left style="thin">
        <color rgb="FF7030A0"/>
      </left>
      <right style="thin">
        <color rgb="FF7030A0"/>
      </right>
      <top/>
      <bottom style="thin">
        <color rgb="FF7030A0"/>
      </bottom>
      <diagonal/>
    </border>
    <border>
      <left style="thin">
        <color rgb="FF7030A0"/>
      </left>
      <right/>
      <top/>
      <bottom style="thin">
        <color rgb="FF7030A0"/>
      </bottom>
      <diagonal/>
    </border>
    <border>
      <left/>
      <right style="thin">
        <color rgb="FF7030A0"/>
      </right>
      <top/>
      <bottom style="thin">
        <color rgb="FF7030A0"/>
      </bottom>
      <diagonal/>
    </border>
    <border>
      <left style="thin">
        <color indexed="65"/>
      </left>
      <right style="thin">
        <color rgb="FF999999"/>
      </right>
      <top style="thin">
        <color rgb="FF999999"/>
      </top>
      <bottom/>
      <diagonal/>
    </border>
    <border>
      <left/>
      <right/>
      <top style="thin">
        <color rgb="FF999999"/>
      </top>
      <bottom/>
      <diagonal/>
    </border>
    <border>
      <left style="thin">
        <color indexed="64"/>
      </left>
      <right/>
      <top style="thin">
        <color indexed="64"/>
      </top>
      <bottom style="thick">
        <color rgb="FF7030A0"/>
      </bottom>
      <diagonal/>
    </border>
    <border>
      <left style="thin">
        <color indexed="64"/>
      </left>
      <right/>
      <top style="thick">
        <color rgb="FF7030A0"/>
      </top>
      <bottom style="thin">
        <color indexed="64"/>
      </bottom>
      <diagonal/>
    </border>
    <border>
      <left style="thick">
        <color rgb="FF7030A0"/>
      </left>
      <right style="thin">
        <color indexed="64"/>
      </right>
      <top style="thin">
        <color indexed="64"/>
      </top>
      <bottom style="thin">
        <color indexed="64"/>
      </bottom>
      <diagonal/>
    </border>
    <border>
      <left style="thick">
        <color rgb="FF7030A0"/>
      </left>
      <right style="thin">
        <color indexed="64"/>
      </right>
      <top style="thin">
        <color indexed="64"/>
      </top>
      <bottom style="thick">
        <color rgb="FF7030A0"/>
      </bottom>
      <diagonal/>
    </border>
    <border>
      <left style="thick">
        <color rgb="FF7030A0"/>
      </left>
      <right style="thin">
        <color indexed="64"/>
      </right>
      <top style="thick">
        <color rgb="FF7030A0"/>
      </top>
      <bottom style="thin">
        <color indexed="64"/>
      </bottom>
      <diagonal/>
    </border>
    <border>
      <left/>
      <right style="thick">
        <color rgb="FF7030A0"/>
      </right>
      <top style="thin">
        <color indexed="64"/>
      </top>
      <bottom style="thin">
        <color indexed="64"/>
      </bottom>
      <diagonal/>
    </border>
    <border>
      <left/>
      <right style="thick">
        <color rgb="FF7030A0"/>
      </right>
      <top style="thin">
        <color indexed="64"/>
      </top>
      <bottom style="thick">
        <color rgb="FF7030A0"/>
      </bottom>
      <diagonal/>
    </border>
    <border>
      <left/>
      <right style="thick">
        <color rgb="FF7030A0"/>
      </right>
      <top style="thick">
        <color rgb="FF7030A0"/>
      </top>
      <bottom style="thin">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ck">
        <color indexed="64"/>
      </right>
      <top style="thick">
        <color indexed="64"/>
      </top>
      <bottom style="thick">
        <color indexed="64"/>
      </bottom>
      <diagonal/>
    </border>
    <border>
      <left style="thin">
        <color indexed="65"/>
      </left>
      <right/>
      <top style="thin">
        <color rgb="FF999999"/>
      </top>
      <bottom/>
      <diagonal/>
    </border>
    <border>
      <left/>
      <right/>
      <top style="thin">
        <color rgb="FF999999"/>
      </top>
      <bottom style="thin">
        <color rgb="FF999999"/>
      </bottom>
      <diagonal/>
    </border>
    <border>
      <left style="hair">
        <color indexed="64"/>
      </left>
      <right style="medium">
        <color indexed="64"/>
      </right>
      <top/>
      <bottom style="thick">
        <color indexed="64"/>
      </bottom>
      <diagonal/>
    </border>
    <border>
      <left/>
      <right style="medium">
        <color indexed="64"/>
      </right>
      <top/>
      <bottom style="thick">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776">
    <xf numFmtId="0" fontId="0" fillId="0" borderId="0" xfId="0"/>
    <xf numFmtId="0" fontId="0" fillId="0" borderId="0" xfId="0" applyAlignment="1">
      <alignment horizontal="center"/>
    </xf>
    <xf numFmtId="49"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2" fontId="1" fillId="2" borderId="2" xfId="0" applyNumberFormat="1" applyFont="1" applyFill="1" applyBorder="1" applyAlignment="1">
      <alignment horizontal="center"/>
    </xf>
    <xf numFmtId="165" fontId="0" fillId="0" borderId="0" xfId="0" applyNumberFormat="1" applyAlignment="1">
      <alignment horizontal="center"/>
    </xf>
    <xf numFmtId="0" fontId="4" fillId="0" borderId="0" xfId="0" applyFont="1"/>
    <xf numFmtId="167" fontId="0" fillId="0" borderId="0" xfId="0" applyNumberFormat="1" applyAlignment="1">
      <alignment horizontal="left"/>
    </xf>
    <xf numFmtId="0" fontId="4" fillId="0" borderId="0" xfId="0" applyFont="1" applyAlignment="1">
      <alignment horizontal="center"/>
    </xf>
    <xf numFmtId="0" fontId="4" fillId="0" borderId="0" xfId="0" quotePrefix="1" applyFont="1" applyAlignment="1">
      <alignment horizontal="center"/>
    </xf>
    <xf numFmtId="168" fontId="4" fillId="0" borderId="0" xfId="0" applyNumberFormat="1" applyFont="1"/>
    <xf numFmtId="168" fontId="0" fillId="0" borderId="0" xfId="0" applyNumberFormat="1"/>
    <xf numFmtId="0" fontId="4" fillId="0" borderId="0" xfId="0" applyFont="1" applyAlignment="1">
      <alignment horizontal="left"/>
    </xf>
    <xf numFmtId="169" fontId="0" fillId="0" borderId="0" xfId="0" applyNumberFormat="1" applyAlignment="1">
      <alignment horizontal="left"/>
    </xf>
    <xf numFmtId="170" fontId="0" fillId="0" borderId="0" xfId="0" applyNumberFormat="1" applyAlignment="1">
      <alignment horizontal="left"/>
    </xf>
    <xf numFmtId="16" fontId="0" fillId="0" borderId="0" xfId="0" applyNumberFormat="1"/>
    <xf numFmtId="49" fontId="4" fillId="0" borderId="0" xfId="0" applyNumberFormat="1" applyFont="1" applyAlignment="1">
      <alignment horizontal="center"/>
    </xf>
    <xf numFmtId="2" fontId="4" fillId="0" borderId="0" xfId="0" applyNumberFormat="1" applyFont="1" applyAlignment="1">
      <alignment horizontal="center"/>
    </xf>
    <xf numFmtId="2" fontId="4" fillId="0" borderId="0" xfId="0" applyNumberFormat="1" applyFont="1"/>
    <xf numFmtId="0" fontId="4" fillId="0" borderId="0" xfId="0" applyFont="1" applyAlignment="1">
      <alignment vertical="center"/>
    </xf>
    <xf numFmtId="169" fontId="4" fillId="3" borderId="0" xfId="0" applyNumberFormat="1" applyFont="1" applyFill="1" applyAlignment="1">
      <alignment horizontal="left"/>
    </xf>
    <xf numFmtId="167" fontId="4" fillId="3" borderId="0" xfId="0" applyNumberFormat="1" applyFont="1" applyFill="1" applyAlignment="1">
      <alignment horizontal="left"/>
    </xf>
    <xf numFmtId="0" fontId="4" fillId="3" borderId="0" xfId="0" applyFont="1" applyFill="1" applyAlignment="1">
      <alignment horizontal="left"/>
    </xf>
    <xf numFmtId="0" fontId="4" fillId="3" borderId="0" xfId="0" applyFont="1" applyFill="1"/>
    <xf numFmtId="169" fontId="0" fillId="3" borderId="0" xfId="0" applyNumberFormat="1" applyFill="1" applyAlignment="1">
      <alignment horizontal="left"/>
    </xf>
    <xf numFmtId="0" fontId="4" fillId="4" borderId="0" xfId="0" applyFont="1" applyFill="1"/>
    <xf numFmtId="0" fontId="0" fillId="4" borderId="0" xfId="0" applyFill="1"/>
    <xf numFmtId="0" fontId="3" fillId="0" borderId="0" xfId="0" applyFont="1"/>
    <xf numFmtId="0" fontId="4" fillId="4" borderId="0" xfId="0" applyFont="1" applyFill="1" applyAlignment="1">
      <alignment horizontal="left"/>
    </xf>
    <xf numFmtId="0" fontId="0" fillId="4" borderId="0" xfId="0" applyFill="1" applyAlignment="1">
      <alignment horizontal="left"/>
    </xf>
    <xf numFmtId="0" fontId="4" fillId="5" borderId="0" xfId="0" applyFont="1" applyFill="1"/>
    <xf numFmtId="0" fontId="0" fillId="5" borderId="0" xfId="0" applyFill="1"/>
    <xf numFmtId="0" fontId="4" fillId="5" borderId="0" xfId="0" applyFont="1" applyFill="1"/>
    <xf numFmtId="0" fontId="0" fillId="5" borderId="0" xfId="0" applyFill="1"/>
    <xf numFmtId="0" fontId="0" fillId="5" borderId="0" xfId="0" applyFill="1" applyAlignment="1">
      <alignment horizontal="center"/>
    </xf>
    <xf numFmtId="0" fontId="4" fillId="5" borderId="0" xfId="0" quotePrefix="1" applyFont="1" applyFill="1" applyAlignment="1">
      <alignment horizontal="center"/>
    </xf>
    <xf numFmtId="0" fontId="4" fillId="7" borderId="6" xfId="0" applyFont="1" applyFill="1" applyBorder="1"/>
    <xf numFmtId="0" fontId="4" fillId="7" borderId="0" xfId="0" applyFont="1" applyFill="1"/>
    <xf numFmtId="0" fontId="4" fillId="7" borderId="7" xfId="0" applyFont="1" applyFill="1" applyBorder="1"/>
    <xf numFmtId="0" fontId="4" fillId="7" borderId="8" xfId="0" applyFont="1" applyFill="1" applyBorder="1"/>
    <xf numFmtId="0" fontId="4" fillId="7" borderId="9" xfId="0" applyFont="1" applyFill="1" applyBorder="1" applyAlignment="1">
      <alignment horizontal="center"/>
    </xf>
    <xf numFmtId="0" fontId="4" fillId="7" borderId="10" xfId="0" applyFont="1" applyFill="1" applyBorder="1" applyAlignment="1">
      <alignment horizontal="center"/>
    </xf>
    <xf numFmtId="0" fontId="4" fillId="7" borderId="11" xfId="0" applyFont="1" applyFill="1" applyBorder="1"/>
    <xf numFmtId="0" fontId="4" fillId="7" borderId="12" xfId="0" applyFont="1" applyFill="1" applyBorder="1"/>
    <xf numFmtId="0" fontId="4" fillId="7" borderId="13" xfId="0" applyFont="1" applyFill="1" applyBorder="1" applyAlignment="1">
      <alignment horizontal="center"/>
    </xf>
    <xf numFmtId="2" fontId="4" fillId="8" borderId="0" xfId="0" applyNumberFormat="1" applyFont="1" applyFill="1" applyAlignment="1">
      <alignment horizontal="center"/>
    </xf>
    <xf numFmtId="0" fontId="0" fillId="0" borderId="0" xfId="0" applyAlignment="1">
      <alignment horizontal="right"/>
    </xf>
    <xf numFmtId="0" fontId="5" fillId="0" borderId="0" xfId="0" applyFont="1"/>
    <xf numFmtId="2" fontId="5" fillId="0" borderId="0" xfId="0" applyNumberFormat="1" applyFont="1" applyAlignment="1">
      <alignment horizontal="center"/>
    </xf>
    <xf numFmtId="0" fontId="5" fillId="0" borderId="0" xfId="0" applyFont="1" applyAlignment="1">
      <alignment horizontal="center"/>
    </xf>
    <xf numFmtId="2" fontId="5" fillId="0" borderId="0" xfId="0" applyNumberFormat="1" applyFont="1"/>
    <xf numFmtId="171" fontId="5" fillId="0" borderId="0" xfId="0" applyNumberFormat="1" applyFont="1" applyAlignment="1">
      <alignment horizontal="center"/>
    </xf>
    <xf numFmtId="8" fontId="5" fillId="0" borderId="0" xfId="0" applyNumberFormat="1" applyFont="1" applyAlignment="1">
      <alignment horizontal="center"/>
    </xf>
    <xf numFmtId="172" fontId="5" fillId="0" borderId="0" xfId="0" applyNumberFormat="1" applyFont="1" applyAlignment="1">
      <alignment horizontal="center"/>
    </xf>
    <xf numFmtId="173" fontId="5" fillId="0" borderId="0" xfId="0" applyNumberFormat="1" applyFont="1" applyAlignment="1">
      <alignment horizontal="center"/>
    </xf>
    <xf numFmtId="0" fontId="5" fillId="8" borderId="14" xfId="0" applyFont="1" applyFill="1" applyBorder="1" applyAlignment="1">
      <alignment horizontal="center"/>
    </xf>
    <xf numFmtId="8" fontId="0" fillId="0" borderId="0" xfId="0" applyNumberFormat="1" applyAlignment="1">
      <alignment horizontal="center"/>
    </xf>
    <xf numFmtId="0" fontId="18" fillId="9" borderId="15" xfId="0" applyFont="1" applyFill="1" applyBorder="1" applyAlignment="1">
      <alignment horizontal="center" wrapText="1"/>
    </xf>
    <xf numFmtId="0" fontId="19" fillId="9" borderId="68" xfId="0" applyFont="1" applyFill="1" applyBorder="1"/>
    <xf numFmtId="0" fontId="4" fillId="8" borderId="0" xfId="0" applyFont="1" applyFill="1"/>
    <xf numFmtId="0" fontId="4" fillId="8" borderId="0" xfId="0" applyFont="1" applyFill="1"/>
    <xf numFmtId="0" fontId="4" fillId="8" borderId="0" xfId="0" applyFont="1" applyFill="1" applyAlignment="1">
      <alignment horizontal="left"/>
    </xf>
    <xf numFmtId="0" fontId="4" fillId="8" borderId="3" xfId="0" applyFont="1" applyFill="1" applyBorder="1" applyAlignment="1">
      <alignment horizontal="left"/>
    </xf>
    <xf numFmtId="0" fontId="4" fillId="8" borderId="5" xfId="0" applyFont="1" applyFill="1" applyBorder="1"/>
    <xf numFmtId="0" fontId="4" fillId="8" borderId="16" xfId="0" quotePrefix="1" applyFont="1" applyFill="1" applyBorder="1"/>
    <xf numFmtId="0" fontId="4" fillId="8" borderId="4" xfId="0" applyFont="1" applyFill="1" applyBorder="1" applyAlignment="1">
      <alignment horizontal="left"/>
    </xf>
    <xf numFmtId="0" fontId="4" fillId="8" borderId="4" xfId="0" applyFont="1" applyFill="1" applyBorder="1"/>
    <xf numFmtId="0" fontId="20" fillId="10" borderId="14" xfId="0" applyFont="1" applyFill="1" applyBorder="1" applyAlignment="1">
      <alignment horizontal="left"/>
    </xf>
    <xf numFmtId="2" fontId="20" fillId="10" borderId="14" xfId="0" applyNumberFormat="1" applyFont="1" applyFill="1" applyBorder="1"/>
    <xf numFmtId="0" fontId="4" fillId="8" borderId="5" xfId="0" applyFont="1" applyFill="1" applyBorder="1" applyAlignment="1">
      <alignment horizontal="left"/>
    </xf>
    <xf numFmtId="0" fontId="4" fillId="0" borderId="16" xfId="0" applyFont="1" applyBorder="1"/>
    <xf numFmtId="0" fontId="4" fillId="0" borderId="14" xfId="0" applyFont="1" applyBorder="1"/>
    <xf numFmtId="0" fontId="4" fillId="0" borderId="16" xfId="0" quotePrefix="1" applyFont="1" applyBorder="1"/>
    <xf numFmtId="2" fontId="4" fillId="0" borderId="14" xfId="0" applyNumberFormat="1" applyFont="1" applyBorder="1"/>
    <xf numFmtId="171" fontId="4" fillId="0" borderId="14" xfId="0" applyNumberFormat="1" applyFont="1" applyBorder="1"/>
    <xf numFmtId="0" fontId="4" fillId="0" borderId="9" xfId="0" applyFont="1" applyBorder="1" applyAlignment="1">
      <alignment horizontal="center"/>
    </xf>
    <xf numFmtId="0" fontId="4" fillId="0" borderId="13" xfId="0" applyFont="1" applyBorder="1"/>
    <xf numFmtId="0" fontId="7" fillId="8" borderId="0" xfId="0" applyFont="1" applyFill="1"/>
    <xf numFmtId="171" fontId="7" fillId="8" borderId="0" xfId="0" applyNumberFormat="1" applyFont="1" applyFill="1"/>
    <xf numFmtId="0" fontId="0" fillId="8" borderId="0" xfId="0" applyFill="1"/>
    <xf numFmtId="0" fontId="0" fillId="8" borderId="0" xfId="0" applyFill="1" applyAlignment="1">
      <alignment horizontal="left"/>
    </xf>
    <xf numFmtId="0" fontId="7" fillId="8" borderId="0" xfId="0" applyFont="1" applyFill="1" applyAlignment="1">
      <alignment horizontal="center"/>
    </xf>
    <xf numFmtId="171" fontId="7" fillId="8" borderId="0" xfId="0" applyNumberFormat="1" applyFont="1" applyFill="1" applyAlignment="1">
      <alignment horizontal="center"/>
    </xf>
    <xf numFmtId="0" fontId="4" fillId="8" borderId="0" xfId="0" applyFont="1" applyFill="1" applyAlignment="1">
      <alignment horizontal="center"/>
    </xf>
    <xf numFmtId="0" fontId="0" fillId="8" borderId="0" xfId="0" applyFill="1" applyAlignment="1">
      <alignment horizontal="center"/>
    </xf>
    <xf numFmtId="0" fontId="4" fillId="8" borderId="9" xfId="0" applyFont="1" applyFill="1" applyBorder="1" applyAlignment="1">
      <alignment horizontal="center"/>
    </xf>
    <xf numFmtId="0" fontId="4" fillId="8" borderId="6" xfId="0" applyFont="1" applyFill="1" applyBorder="1" applyAlignment="1">
      <alignment horizontal="left"/>
    </xf>
    <xf numFmtId="0" fontId="4" fillId="8" borderId="11" xfId="0" applyFont="1" applyFill="1" applyBorder="1" applyAlignment="1">
      <alignment horizontal="left"/>
    </xf>
    <xf numFmtId="0" fontId="4" fillId="8" borderId="7" xfId="0" applyFont="1" applyFill="1" applyBorder="1" applyAlignment="1">
      <alignment horizontal="left"/>
    </xf>
    <xf numFmtId="0" fontId="21" fillId="9" borderId="68" xfId="1" applyFont="1" applyFill="1" applyBorder="1" applyAlignment="1" applyProtection="1"/>
    <xf numFmtId="171" fontId="4" fillId="8" borderId="0" xfId="0" applyNumberFormat="1" applyFont="1" applyFill="1"/>
    <xf numFmtId="171" fontId="0" fillId="8" borderId="0" xfId="0" applyNumberFormat="1" applyFill="1"/>
    <xf numFmtId="0" fontId="4" fillId="8" borderId="0" xfId="0" applyFont="1" applyFill="1" applyAlignment="1">
      <alignment horizontal="center"/>
    </xf>
    <xf numFmtId="0" fontId="4" fillId="8" borderId="6" xfId="0" applyFont="1" applyFill="1" applyBorder="1"/>
    <xf numFmtId="0" fontId="19" fillId="9" borderId="14" xfId="0" applyFont="1" applyFill="1" applyBorder="1"/>
    <xf numFmtId="0" fontId="4" fillId="8" borderId="0" xfId="0" applyFont="1" applyFill="1"/>
    <xf numFmtId="0" fontId="4" fillId="8" borderId="0" xfId="0" applyFont="1" applyFill="1" applyAlignment="1">
      <alignment horizontal="left"/>
    </xf>
    <xf numFmtId="169" fontId="4" fillId="8" borderId="0" xfId="0" applyNumberFormat="1" applyFont="1" applyFill="1" applyAlignment="1">
      <alignment horizontal="left"/>
    </xf>
    <xf numFmtId="169" fontId="4" fillId="8" borderId="0" xfId="0" applyNumberFormat="1" applyFont="1" applyFill="1" applyAlignment="1">
      <alignment horizontal="left"/>
    </xf>
    <xf numFmtId="171" fontId="4" fillId="8" borderId="14" xfId="0" applyNumberFormat="1" applyFont="1" applyFill="1" applyBorder="1"/>
    <xf numFmtId="0" fontId="0" fillId="0" borderId="6" xfId="0" applyBorder="1"/>
    <xf numFmtId="0" fontId="0" fillId="0" borderId="10" xfId="0" applyBorder="1"/>
    <xf numFmtId="166" fontId="0" fillId="0" borderId="10" xfId="0" applyNumberFormat="1" applyBorder="1"/>
    <xf numFmtId="6" fontId="0" fillId="0" borderId="10" xfId="0" applyNumberFormat="1" applyBorder="1"/>
    <xf numFmtId="0" fontId="0" fillId="0" borderId="11" xfId="0" applyBorder="1"/>
    <xf numFmtId="166" fontId="0" fillId="0" borderId="13" xfId="0" applyNumberFormat="1" applyBorder="1"/>
    <xf numFmtId="174" fontId="5" fillId="0" borderId="0" xfId="0" applyNumberFormat="1" applyFont="1" applyAlignment="1">
      <alignment horizontal="center"/>
    </xf>
    <xf numFmtId="0" fontId="4" fillId="0" borderId="6" xfId="0" applyFont="1" applyBorder="1"/>
    <xf numFmtId="0" fontId="1" fillId="0" borderId="6" xfId="0" applyFont="1" applyBorder="1"/>
    <xf numFmtId="166" fontId="1" fillId="0" borderId="10" xfId="0" applyNumberFormat="1" applyFont="1" applyBorder="1"/>
    <xf numFmtId="6" fontId="1" fillId="0" borderId="10" xfId="0" applyNumberFormat="1" applyFont="1" applyBorder="1"/>
    <xf numFmtId="0" fontId="19" fillId="9" borderId="0" xfId="0" applyFont="1" applyFill="1"/>
    <xf numFmtId="0" fontId="4" fillId="3" borderId="0" xfId="0" applyFont="1" applyFill="1" applyAlignment="1">
      <alignment horizontal="center"/>
    </xf>
    <xf numFmtId="0" fontId="0" fillId="3" borderId="0" xfId="0" applyFill="1" applyAlignment="1">
      <alignment horizontal="center"/>
    </xf>
    <xf numFmtId="2" fontId="4" fillId="8" borderId="0" xfId="0" applyNumberFormat="1" applyFont="1" applyFill="1" applyAlignment="1">
      <alignment horizontal="center"/>
    </xf>
    <xf numFmtId="2" fontId="4" fillId="8" borderId="17" xfId="0" applyNumberFormat="1" applyFont="1" applyFill="1" applyBorder="1" applyAlignment="1">
      <alignment horizontal="left"/>
    </xf>
    <xf numFmtId="0" fontId="4" fillId="8" borderId="17" xfId="0" applyFont="1" applyFill="1" applyBorder="1" applyAlignment="1">
      <alignment horizontal="left"/>
    </xf>
    <xf numFmtId="2" fontId="4" fillId="8" borderId="17" xfId="0" applyNumberFormat="1" applyFont="1" applyFill="1" applyBorder="1" applyAlignment="1">
      <alignment horizontal="center"/>
    </xf>
    <xf numFmtId="0" fontId="4" fillId="8" borderId="17" xfId="0" applyFont="1" applyFill="1" applyBorder="1" applyAlignment="1">
      <alignment horizontal="center"/>
    </xf>
    <xf numFmtId="2" fontId="22" fillId="8" borderId="18" xfId="0" applyNumberFormat="1" applyFont="1" applyFill="1" applyBorder="1" applyAlignment="1">
      <alignment vertical="center"/>
    </xf>
    <xf numFmtId="2" fontId="4" fillId="8" borderId="18" xfId="0" applyNumberFormat="1" applyFont="1" applyFill="1" applyBorder="1" applyAlignment="1">
      <alignment vertical="center"/>
    </xf>
    <xf numFmtId="0" fontId="4" fillId="8" borderId="17" xfId="0" applyFont="1" applyFill="1" applyBorder="1" applyAlignment="1">
      <alignment horizontal="left"/>
    </xf>
    <xf numFmtId="0" fontId="4" fillId="8" borderId="17" xfId="0" applyFont="1" applyFill="1" applyBorder="1" applyAlignment="1">
      <alignment horizontal="center"/>
    </xf>
    <xf numFmtId="2" fontId="4" fillId="8" borderId="0" xfId="0" applyNumberFormat="1" applyFont="1" applyFill="1" applyAlignment="1">
      <alignment horizontal="left"/>
    </xf>
    <xf numFmtId="0" fontId="19" fillId="9" borderId="0" xfId="0" applyFont="1" applyFill="1" applyAlignment="1">
      <alignment horizontal="left" vertical="center"/>
    </xf>
    <xf numFmtId="0" fontId="19" fillId="9" borderId="0" xfId="0" applyFont="1" applyFill="1" applyAlignment="1">
      <alignment horizontal="left" vertical="center"/>
    </xf>
    <xf numFmtId="2" fontId="19" fillId="9" borderId="0" xfId="0" applyNumberFormat="1" applyFont="1" applyFill="1" applyAlignment="1">
      <alignment horizontal="center" vertical="center"/>
    </xf>
    <xf numFmtId="0" fontId="19" fillId="9" borderId="0" xfId="0" applyFont="1" applyFill="1" applyAlignment="1">
      <alignment horizontal="center" vertical="center"/>
    </xf>
    <xf numFmtId="0" fontId="19" fillId="9" borderId="0" xfId="0" applyFont="1" applyFill="1" applyAlignment="1">
      <alignment horizontal="right" vertical="center"/>
    </xf>
    <xf numFmtId="2" fontId="0" fillId="11" borderId="0" xfId="0" applyNumberFormat="1" applyFill="1" applyAlignment="1">
      <alignment horizontal="center"/>
    </xf>
    <xf numFmtId="0" fontId="4" fillId="11" borderId="0" xfId="0" applyFont="1" applyFill="1" applyAlignment="1">
      <alignment horizontal="center"/>
    </xf>
    <xf numFmtId="2" fontId="4" fillId="11" borderId="0" xfId="0" applyNumberFormat="1" applyFont="1" applyFill="1" applyAlignment="1">
      <alignment horizontal="center"/>
    </xf>
    <xf numFmtId="0" fontId="0" fillId="11" borderId="0" xfId="0" applyFill="1" applyAlignment="1">
      <alignment horizontal="center"/>
    </xf>
    <xf numFmtId="0" fontId="19" fillId="9" borderId="14" xfId="0" applyFont="1" applyFill="1" applyBorder="1" applyAlignment="1">
      <alignment horizontal="left"/>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8" xfId="0" applyFont="1" applyFill="1" applyBorder="1" applyAlignment="1">
      <alignment horizontal="left"/>
    </xf>
    <xf numFmtId="0" fontId="4" fillId="8" borderId="13" xfId="0" applyFont="1" applyFill="1" applyBorder="1"/>
    <xf numFmtId="0" fontId="4" fillId="8" borderId="19" xfId="0" applyFont="1" applyFill="1" applyBorder="1" applyAlignment="1">
      <alignment horizontal="left"/>
    </xf>
    <xf numFmtId="2" fontId="4" fillId="8" borderId="19" xfId="0" applyNumberFormat="1" applyFont="1" applyFill="1" applyBorder="1" applyAlignment="1">
      <alignment horizontal="center"/>
    </xf>
    <xf numFmtId="171" fontId="0" fillId="0" borderId="0" xfId="0" applyNumberFormat="1" applyAlignment="1">
      <alignment horizontal="center"/>
    </xf>
    <xf numFmtId="171" fontId="4" fillId="0" borderId="0" xfId="0" applyNumberFormat="1" applyFont="1" applyAlignment="1">
      <alignment horizontal="center"/>
    </xf>
    <xf numFmtId="2" fontId="22" fillId="8" borderId="0" xfId="0" applyNumberFormat="1" applyFont="1" applyFill="1" applyAlignment="1">
      <alignment horizontal="center"/>
    </xf>
    <xf numFmtId="2" fontId="4" fillId="8" borderId="19" xfId="0" applyNumberFormat="1" applyFont="1" applyFill="1" applyBorder="1" applyAlignment="1">
      <alignment horizontal="left"/>
    </xf>
    <xf numFmtId="2" fontId="23" fillId="8" borderId="0" xfId="0" applyNumberFormat="1" applyFont="1" applyFill="1" applyAlignment="1">
      <alignment horizontal="left"/>
    </xf>
    <xf numFmtId="1" fontId="5" fillId="8" borderId="14" xfId="0" applyNumberFormat="1" applyFont="1" applyFill="1" applyBorder="1" applyAlignment="1">
      <alignment horizontal="center"/>
    </xf>
    <xf numFmtId="1" fontId="5" fillId="0" borderId="0" xfId="0" applyNumberFormat="1" applyFont="1" applyAlignment="1">
      <alignment horizontal="center"/>
    </xf>
    <xf numFmtId="175" fontId="24" fillId="8" borderId="0" xfId="0" applyNumberFormat="1" applyFont="1" applyFill="1" applyAlignment="1">
      <alignment horizontal="left"/>
    </xf>
    <xf numFmtId="0" fontId="18" fillId="9" borderId="14" xfId="0" applyFont="1" applyFill="1" applyBorder="1" applyAlignment="1">
      <alignment vertical="center"/>
    </xf>
    <xf numFmtId="0" fontId="0" fillId="0" borderId="0" xfId="0" applyAlignment="1">
      <alignment horizontal="left" vertical="center"/>
    </xf>
    <xf numFmtId="0" fontId="25" fillId="8" borderId="14" xfId="0" applyFont="1" applyFill="1" applyBorder="1" applyAlignment="1">
      <alignment vertical="center"/>
    </xf>
    <xf numFmtId="0" fontId="26" fillId="8" borderId="14" xfId="0" applyFont="1" applyFill="1" applyBorder="1" applyAlignment="1">
      <alignment horizontal="center" vertical="center"/>
    </xf>
    <xf numFmtId="1" fontId="25" fillId="8" borderId="14" xfId="0" applyNumberFormat="1" applyFont="1" applyFill="1" applyBorder="1" applyAlignment="1">
      <alignment horizontal="center" vertical="center"/>
    </xf>
    <xf numFmtId="0" fontId="26" fillId="8" borderId="14" xfId="0" applyFont="1" applyFill="1" applyBorder="1" applyAlignment="1">
      <alignment vertical="center" shrinkToFit="1"/>
    </xf>
    <xf numFmtId="0" fontId="0" fillId="8" borderId="0" xfId="0" applyFill="1" applyAlignment="1">
      <alignment vertical="center"/>
    </xf>
    <xf numFmtId="0" fontId="4" fillId="8" borderId="0" xfId="0" applyFont="1" applyFill="1" applyAlignment="1">
      <alignment horizontal="right" vertical="center"/>
    </xf>
    <xf numFmtId="16" fontId="24" fillId="8" borderId="0" xfId="0" applyNumberFormat="1" applyFont="1" applyFill="1" applyAlignment="1">
      <alignment horizontal="left"/>
    </xf>
    <xf numFmtId="0" fontId="0" fillId="8" borderId="0" xfId="0" applyFill="1"/>
    <xf numFmtId="0" fontId="19" fillId="8" borderId="0" xfId="0" applyFont="1" applyFill="1" applyAlignment="1">
      <alignment horizontal="left"/>
    </xf>
    <xf numFmtId="170" fontId="0" fillId="8" borderId="0" xfId="0" applyNumberFormat="1" applyFill="1" applyAlignment="1">
      <alignment horizontal="left"/>
    </xf>
    <xf numFmtId="170" fontId="4" fillId="8" borderId="0" xfId="0" applyNumberFormat="1" applyFont="1" applyFill="1" applyAlignment="1">
      <alignment horizontal="left"/>
    </xf>
    <xf numFmtId="170" fontId="0" fillId="8" borderId="0" xfId="0" applyNumberFormat="1" applyFill="1" applyAlignment="1">
      <alignment horizontal="left"/>
    </xf>
    <xf numFmtId="171" fontId="0" fillId="0" borderId="20" xfId="0" applyNumberFormat="1" applyBorder="1" applyAlignment="1">
      <alignment horizontal="center"/>
    </xf>
    <xf numFmtId="0" fontId="0" fillId="12" borderId="0" xfId="0" applyFill="1"/>
    <xf numFmtId="0" fontId="0" fillId="12" borderId="0" xfId="0" applyFill="1" applyAlignment="1">
      <alignment horizontal="center"/>
    </xf>
    <xf numFmtId="0" fontId="0" fillId="13" borderId="0" xfId="0" applyFill="1"/>
    <xf numFmtId="0" fontId="0" fillId="13" borderId="0" xfId="0" applyFill="1" applyAlignment="1">
      <alignment horizontal="center"/>
    </xf>
    <xf numFmtId="0" fontId="0" fillId="8" borderId="14" xfId="0" applyFill="1" applyBorder="1" applyAlignment="1">
      <alignment horizontal="center"/>
    </xf>
    <xf numFmtId="2" fontId="0" fillId="8" borderId="0" xfId="0" applyNumberFormat="1" applyFill="1" applyAlignment="1">
      <alignment horizontal="center"/>
    </xf>
    <xf numFmtId="2" fontId="0" fillId="8" borderId="14" xfId="0" applyNumberFormat="1" applyFill="1" applyBorder="1" applyAlignment="1">
      <alignment horizontal="center"/>
    </xf>
    <xf numFmtId="49" fontId="4" fillId="8" borderId="14" xfId="0" applyNumberFormat="1" applyFont="1" applyFill="1" applyBorder="1" applyAlignment="1">
      <alignment horizontal="center"/>
    </xf>
    <xf numFmtId="0" fontId="0" fillId="5" borderId="3" xfId="0" applyFill="1" applyBorder="1" applyAlignment="1">
      <alignment horizontal="center"/>
    </xf>
    <xf numFmtId="0" fontId="4" fillId="5" borderId="5" xfId="0" applyFont="1" applyFill="1" applyBorder="1" applyAlignment="1">
      <alignment horizontal="center"/>
    </xf>
    <xf numFmtId="0" fontId="0" fillId="5" borderId="5" xfId="0" applyFill="1" applyBorder="1" applyAlignment="1">
      <alignment horizontal="center"/>
    </xf>
    <xf numFmtId="0" fontId="27" fillId="5" borderId="14" xfId="0" applyFont="1" applyFill="1" applyBorder="1" applyAlignment="1">
      <alignment horizontal="center"/>
    </xf>
    <xf numFmtId="0" fontId="0" fillId="5" borderId="14" xfId="0" applyFill="1" applyBorder="1" applyAlignment="1">
      <alignment horizontal="center"/>
    </xf>
    <xf numFmtId="0" fontId="0" fillId="8" borderId="0" xfId="0" applyFill="1" applyAlignment="1">
      <alignment horizontal="center"/>
    </xf>
    <xf numFmtId="0" fontId="1" fillId="8" borderId="0" xfId="0" applyFont="1" applyFill="1" applyAlignment="1">
      <alignment horizontal="center"/>
    </xf>
    <xf numFmtId="2" fontId="1" fillId="8" borderId="0" xfId="0" applyNumberFormat="1" applyFont="1" applyFill="1" applyAlignment="1">
      <alignment horizontal="center"/>
    </xf>
    <xf numFmtId="0" fontId="28" fillId="5" borderId="14" xfId="0" applyFont="1" applyFill="1" applyBorder="1" applyAlignment="1">
      <alignment horizontal="center"/>
    </xf>
    <xf numFmtId="1" fontId="0" fillId="3" borderId="0" xfId="0" applyNumberFormat="1" applyFill="1" applyAlignment="1">
      <alignment horizontal="left"/>
    </xf>
    <xf numFmtId="0" fontId="29" fillId="9" borderId="9" xfId="0" applyFont="1" applyFill="1" applyBorder="1"/>
    <xf numFmtId="166" fontId="30" fillId="9" borderId="10" xfId="0" applyNumberFormat="1" applyFont="1" applyFill="1" applyBorder="1"/>
    <xf numFmtId="6" fontId="10" fillId="0" borderId="10" xfId="0" applyNumberFormat="1" applyFont="1" applyBorder="1"/>
    <xf numFmtId="0" fontId="30" fillId="9" borderId="6" xfId="0" applyFont="1" applyFill="1" applyBorder="1"/>
    <xf numFmtId="1" fontId="4" fillId="3" borderId="0" xfId="0" applyNumberFormat="1" applyFont="1" applyFill="1" applyAlignment="1">
      <alignment horizontal="left" wrapText="1"/>
    </xf>
    <xf numFmtId="1" fontId="4" fillId="3" borderId="0" xfId="0" applyNumberFormat="1" applyFont="1" applyFill="1" applyAlignment="1">
      <alignment horizontal="left"/>
    </xf>
    <xf numFmtId="1" fontId="0" fillId="0" borderId="0" xfId="0" applyNumberFormat="1" applyAlignment="1">
      <alignment horizontal="left"/>
    </xf>
    <xf numFmtId="170" fontId="0" fillId="0" borderId="14" xfId="0" applyNumberFormat="1" applyBorder="1" applyAlignment="1">
      <alignment horizontal="left" vertical="center"/>
    </xf>
    <xf numFmtId="171" fontId="4" fillId="0" borderId="0" xfId="0" applyNumberFormat="1" applyFont="1"/>
    <xf numFmtId="176" fontId="4" fillId="0" borderId="0" xfId="0" applyNumberFormat="1" applyFont="1" applyAlignment="1">
      <alignment horizontal="center"/>
    </xf>
    <xf numFmtId="176" fontId="0" fillId="0" borderId="0" xfId="0" applyNumberFormat="1" applyAlignment="1">
      <alignment horizontal="center"/>
    </xf>
    <xf numFmtId="176" fontId="0" fillId="0" borderId="0" xfId="0" applyNumberFormat="1"/>
    <xf numFmtId="176" fontId="4" fillId="0" borderId="0" xfId="0" applyNumberFormat="1" applyFont="1"/>
    <xf numFmtId="176" fontId="4" fillId="5" borderId="0" xfId="0" quotePrefix="1" applyNumberFormat="1" applyFont="1" applyFill="1" applyAlignment="1">
      <alignment horizontal="center"/>
    </xf>
    <xf numFmtId="176" fontId="0" fillId="5" borderId="0" xfId="0" applyNumberFormat="1" applyFill="1" applyAlignment="1">
      <alignment horizontal="center"/>
    </xf>
    <xf numFmtId="176" fontId="0" fillId="12" borderId="0" xfId="0" applyNumberFormat="1" applyFill="1" applyAlignment="1">
      <alignment horizontal="center"/>
    </xf>
    <xf numFmtId="176" fontId="0" fillId="13" borderId="0" xfId="0" applyNumberFormat="1" applyFill="1" applyAlignment="1">
      <alignment horizontal="center"/>
    </xf>
    <xf numFmtId="0" fontId="23" fillId="0" borderId="6" xfId="0" applyFont="1" applyBorder="1"/>
    <xf numFmtId="166" fontId="23" fillId="0" borderId="10" xfId="0" applyNumberFormat="1" applyFont="1" applyBorder="1"/>
    <xf numFmtId="0" fontId="0" fillId="13" borderId="0" xfId="0" applyFill="1" applyAlignment="1">
      <alignment horizontal="center"/>
    </xf>
    <xf numFmtId="2" fontId="0" fillId="13" borderId="0" xfId="0" applyNumberFormat="1" applyFill="1" applyAlignment="1">
      <alignment horizontal="center"/>
    </xf>
    <xf numFmtId="0" fontId="0" fillId="13" borderId="0" xfId="0"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0" xfId="0"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20" xfId="0" applyFill="1" applyBorder="1" applyAlignment="1">
      <alignment horizontal="center"/>
    </xf>
    <xf numFmtId="2" fontId="0" fillId="4" borderId="20" xfId="0" applyNumberFormat="1" applyFill="1" applyBorder="1" applyAlignment="1">
      <alignment horizontal="center"/>
    </xf>
    <xf numFmtId="12" fontId="0" fillId="4" borderId="0" xfId="0" applyNumberFormat="1" applyFill="1" applyAlignment="1">
      <alignment horizontal="center"/>
    </xf>
    <xf numFmtId="2" fontId="4" fillId="13" borderId="0" xfId="0" applyNumberFormat="1" applyFont="1" applyFill="1" applyAlignment="1">
      <alignment horizontal="center"/>
    </xf>
    <xf numFmtId="2" fontId="0" fillId="13" borderId="0" xfId="0" applyNumberFormat="1" applyFill="1" applyAlignment="1">
      <alignment horizontal="center"/>
    </xf>
    <xf numFmtId="2" fontId="4" fillId="4" borderId="18" xfId="0" applyNumberFormat="1" applyFont="1" applyFill="1" applyBorder="1" applyAlignment="1">
      <alignment vertical="center"/>
    </xf>
    <xf numFmtId="0" fontId="4" fillId="4" borderId="34"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9" xfId="0" applyFont="1" applyFill="1" applyBorder="1" applyAlignment="1">
      <alignment horizontal="center" vertical="center"/>
    </xf>
    <xf numFmtId="0" fontId="31" fillId="0" borderId="0" xfId="0" applyFont="1" applyAlignment="1">
      <alignment horizontal="center"/>
    </xf>
    <xf numFmtId="2" fontId="31" fillId="8" borderId="0" xfId="0" applyNumberFormat="1" applyFont="1" applyFill="1" applyAlignment="1">
      <alignment horizontal="center"/>
    </xf>
    <xf numFmtId="2" fontId="31" fillId="0" borderId="0" xfId="0" applyNumberFormat="1" applyFont="1" applyAlignment="1">
      <alignment horizontal="center"/>
    </xf>
    <xf numFmtId="171" fontId="0" fillId="0" borderId="0" xfId="0" applyNumberFormat="1"/>
    <xf numFmtId="0" fontId="0" fillId="4" borderId="20" xfId="0" applyFill="1" applyBorder="1" applyAlignment="1">
      <alignment horizontal="center"/>
    </xf>
    <xf numFmtId="0" fontId="19" fillId="9" borderId="43" xfId="0" applyFont="1" applyFill="1" applyBorder="1" applyAlignment="1">
      <alignment horizontal="left" vertical="center"/>
    </xf>
    <xf numFmtId="0" fontId="1" fillId="4" borderId="48" xfId="0" applyFont="1" applyFill="1" applyBorder="1" applyAlignment="1">
      <alignment horizontal="center" vertical="center"/>
    </xf>
    <xf numFmtId="176" fontId="1" fillId="4" borderId="49" xfId="0" applyNumberFormat="1" applyFont="1" applyFill="1" applyBorder="1" applyAlignment="1">
      <alignment horizontal="center" vertical="center"/>
    </xf>
    <xf numFmtId="0" fontId="1" fillId="4" borderId="47" xfId="0" applyFont="1" applyFill="1" applyBorder="1" applyAlignment="1">
      <alignment horizontal="center" vertical="center"/>
    </xf>
    <xf numFmtId="0" fontId="4" fillId="8" borderId="7" xfId="0" applyFont="1" applyFill="1" applyBorder="1" applyAlignment="1">
      <alignment vertical="center"/>
    </xf>
    <xf numFmtId="0" fontId="4" fillId="7" borderId="7" xfId="0" applyFont="1" applyFill="1" applyBorder="1" applyAlignment="1">
      <alignment vertical="center"/>
    </xf>
    <xf numFmtId="0" fontId="4" fillId="7" borderId="8" xfId="0" applyFont="1" applyFill="1" applyBorder="1" applyAlignment="1">
      <alignment vertical="center"/>
    </xf>
    <xf numFmtId="0" fontId="4" fillId="7" borderId="9" xfId="0" applyFont="1" applyFill="1" applyBorder="1" applyAlignment="1">
      <alignment horizontal="center" vertical="center"/>
    </xf>
    <xf numFmtId="0" fontId="4" fillId="0" borderId="0" xfId="0" applyFont="1" applyAlignment="1">
      <alignment horizontal="center" vertical="center"/>
    </xf>
    <xf numFmtId="1" fontId="32" fillId="8" borderId="0" xfId="0" applyNumberFormat="1" applyFont="1" applyFill="1" applyAlignment="1">
      <alignment horizontal="center" vertical="center"/>
    </xf>
    <xf numFmtId="1" fontId="20" fillId="8" borderId="0" xfId="0" applyNumberFormat="1" applyFont="1" applyFill="1" applyAlignment="1">
      <alignment horizontal="center" vertical="center"/>
    </xf>
    <xf numFmtId="0" fontId="19" fillId="9" borderId="0" xfId="0" applyFont="1" applyFill="1" applyAlignment="1">
      <alignment horizontal="left" vertical="center"/>
    </xf>
    <xf numFmtId="2" fontId="0" fillId="0" borderId="0" xfId="0" applyNumberForma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31" fillId="8" borderId="0" xfId="0" applyFont="1" applyFill="1" applyAlignment="1">
      <alignment horizontal="center" vertical="center"/>
    </xf>
    <xf numFmtId="2" fontId="4" fillId="13" borderId="0" xfId="0" applyNumberFormat="1" applyFont="1" applyFill="1" applyAlignment="1">
      <alignment horizontal="center" vertical="center"/>
    </xf>
    <xf numFmtId="0" fontId="0" fillId="13" borderId="0" xfId="0" applyFill="1" applyAlignment="1">
      <alignment horizontal="center" vertical="center"/>
    </xf>
    <xf numFmtId="2" fontId="0" fillId="13" borderId="0" xfId="0" applyNumberFormat="1" applyFill="1" applyAlignment="1">
      <alignment horizontal="center" vertical="center"/>
    </xf>
    <xf numFmtId="0" fontId="0" fillId="13" borderId="0" xfId="0" applyFill="1" applyAlignment="1">
      <alignment horizontal="center" vertical="center"/>
    </xf>
    <xf numFmtId="0" fontId="4" fillId="4" borderId="0" xfId="0" applyFont="1" applyFill="1" applyAlignment="1">
      <alignment horizontal="center" vertical="center"/>
    </xf>
    <xf numFmtId="0" fontId="4" fillId="13" borderId="0" xfId="0" applyFont="1" applyFill="1" applyAlignment="1">
      <alignment horizontal="center" vertical="center"/>
    </xf>
    <xf numFmtId="0" fontId="0" fillId="0" borderId="0" xfId="0" applyAlignment="1">
      <alignment vertical="center"/>
    </xf>
    <xf numFmtId="0" fontId="4" fillId="0" borderId="8" xfId="0" applyFont="1" applyBorder="1"/>
    <xf numFmtId="0" fontId="33" fillId="8" borderId="0" xfId="0" applyFont="1" applyFill="1" applyAlignment="1">
      <alignment vertical="center" wrapText="1"/>
    </xf>
    <xf numFmtId="0" fontId="14" fillId="8" borderId="0" xfId="0" applyFont="1" applyFill="1" applyAlignment="1">
      <alignment wrapText="1"/>
    </xf>
    <xf numFmtId="0" fontId="14" fillId="8" borderId="0" xfId="0" applyFont="1" applyFill="1" applyAlignment="1">
      <alignment vertical="center" wrapText="1"/>
    </xf>
    <xf numFmtId="0" fontId="34" fillId="8" borderId="0" xfId="0" applyFont="1" applyFill="1" applyAlignment="1">
      <alignment vertical="center" wrapText="1"/>
    </xf>
    <xf numFmtId="0" fontId="35" fillId="8" borderId="0" xfId="0" applyFont="1" applyFill="1" applyAlignment="1">
      <alignment vertical="center" wrapText="1"/>
    </xf>
    <xf numFmtId="0" fontId="36" fillId="8" borderId="0" xfId="0" applyFont="1" applyFill="1" applyAlignment="1">
      <alignment vertical="center" wrapText="1"/>
    </xf>
    <xf numFmtId="0" fontId="37" fillId="8" borderId="0" xfId="0" applyFont="1" applyFill="1" applyAlignment="1">
      <alignment vertical="center" wrapText="1"/>
    </xf>
    <xf numFmtId="0" fontId="34" fillId="8" borderId="14" xfId="0" applyFont="1" applyFill="1" applyBorder="1" applyAlignment="1">
      <alignment vertical="center" wrapText="1"/>
    </xf>
    <xf numFmtId="0" fontId="33" fillId="8" borderId="14" xfId="0" applyFont="1" applyFill="1" applyBorder="1" applyAlignment="1">
      <alignment vertical="center" wrapText="1"/>
    </xf>
    <xf numFmtId="0" fontId="0" fillId="0" borderId="14" xfId="0" applyBorder="1"/>
    <xf numFmtId="170" fontId="20" fillId="8" borderId="0" xfId="0" applyNumberFormat="1" applyFont="1" applyFill="1" applyAlignment="1">
      <alignment horizontal="left" vertical="center"/>
    </xf>
    <xf numFmtId="0" fontId="18" fillId="9" borderId="16" xfId="0" applyFont="1" applyFill="1" applyBorder="1" applyAlignment="1">
      <alignment horizontal="center" vertical="center" shrinkToFit="1"/>
    </xf>
    <xf numFmtId="0" fontId="18" fillId="9" borderId="14" xfId="0" applyFont="1" applyFill="1" applyBorder="1" applyAlignment="1">
      <alignment horizontal="center" vertical="center"/>
    </xf>
    <xf numFmtId="0" fontId="29" fillId="9" borderId="0" xfId="0" applyFont="1" applyFill="1" applyAlignment="1">
      <alignment horizontal="left" vertical="center"/>
    </xf>
    <xf numFmtId="170" fontId="20" fillId="10" borderId="0" xfId="0" applyNumberFormat="1" applyFont="1" applyFill="1" applyAlignment="1">
      <alignment horizontal="left" vertical="center"/>
    </xf>
    <xf numFmtId="8" fontId="25" fillId="0" borderId="14" xfId="0" applyNumberFormat="1" applyFont="1" applyBorder="1" applyAlignment="1">
      <alignment horizontal="left" vertical="center"/>
    </xf>
    <xf numFmtId="171" fontId="0" fillId="8" borderId="0" xfId="0" applyNumberFormat="1" applyFill="1" applyAlignment="1">
      <alignment horizontal="center"/>
    </xf>
    <xf numFmtId="164" fontId="0" fillId="0" borderId="0" xfId="0" applyNumberFormat="1"/>
    <xf numFmtId="0" fontId="18" fillId="9" borderId="15" xfId="0" applyFont="1" applyFill="1" applyBorder="1" applyAlignment="1">
      <alignment horizontal="left" wrapText="1"/>
    </xf>
    <xf numFmtId="49" fontId="39" fillId="10" borderId="14" xfId="0" applyNumberFormat="1" applyFont="1" applyFill="1" applyBorder="1" applyAlignment="1">
      <alignment horizontal="left"/>
    </xf>
    <xf numFmtId="49" fontId="5" fillId="0" borderId="0" xfId="0" applyNumberFormat="1" applyFont="1" applyAlignment="1">
      <alignment horizontal="left"/>
    </xf>
    <xf numFmtId="8" fontId="5" fillId="14" borderId="14" xfId="0" applyNumberFormat="1" applyFont="1" applyFill="1" applyBorder="1" applyAlignment="1">
      <alignment horizontal="right"/>
    </xf>
    <xf numFmtId="164" fontId="5" fillId="14" borderId="14" xfId="0" applyNumberFormat="1" applyFont="1" applyFill="1" applyBorder="1" applyAlignment="1">
      <alignment horizontal="right"/>
    </xf>
    <xf numFmtId="172" fontId="5" fillId="15" borderId="14" xfId="0" applyNumberFormat="1" applyFont="1" applyFill="1" applyBorder="1" applyAlignment="1">
      <alignment horizontal="right"/>
    </xf>
    <xf numFmtId="0" fontId="5" fillId="15" borderId="14" xfId="0" applyFont="1" applyFill="1" applyBorder="1" applyAlignment="1">
      <alignment horizontal="right"/>
    </xf>
    <xf numFmtId="8" fontId="5" fillId="15" borderId="14" xfId="0" applyNumberFormat="1" applyFont="1" applyFill="1" applyBorder="1" applyAlignment="1">
      <alignment horizontal="right"/>
    </xf>
    <xf numFmtId="171" fontId="5" fillId="16" borderId="14" xfId="0" applyNumberFormat="1" applyFont="1" applyFill="1" applyBorder="1" applyAlignment="1">
      <alignment horizontal="right"/>
    </xf>
    <xf numFmtId="0" fontId="5" fillId="16" borderId="14" xfId="0" applyFont="1" applyFill="1" applyBorder="1" applyAlignment="1">
      <alignment horizontal="right"/>
    </xf>
    <xf numFmtId="8" fontId="5" fillId="16" borderId="14" xfId="0" applyNumberFormat="1" applyFont="1" applyFill="1" applyBorder="1" applyAlignment="1">
      <alignment horizontal="right"/>
    </xf>
    <xf numFmtId="173" fontId="5" fillId="15" borderId="14" xfId="0" applyNumberFormat="1" applyFont="1" applyFill="1" applyBorder="1" applyAlignment="1">
      <alignment horizontal="right"/>
    </xf>
    <xf numFmtId="174" fontId="5" fillId="16" borderId="14" xfId="0" applyNumberFormat="1" applyFont="1" applyFill="1" applyBorder="1" applyAlignment="1">
      <alignment horizontal="right"/>
    </xf>
    <xf numFmtId="171" fontId="5" fillId="8" borderId="14" xfId="0" applyNumberFormat="1" applyFont="1" applyFill="1" applyBorder="1" applyAlignment="1">
      <alignment horizontal="right"/>
    </xf>
    <xf numFmtId="171" fontId="5" fillId="0" borderId="0" xfId="0" applyNumberFormat="1" applyFont="1" applyAlignment="1">
      <alignment horizontal="right"/>
    </xf>
    <xf numFmtId="1" fontId="5" fillId="17" borderId="14" xfId="0" applyNumberFormat="1" applyFont="1" applyFill="1" applyBorder="1" applyAlignment="1">
      <alignment horizontal="right"/>
    </xf>
    <xf numFmtId="0" fontId="5" fillId="0" borderId="0" xfId="0" applyFont="1" applyAlignment="1">
      <alignment horizontal="right"/>
    </xf>
    <xf numFmtId="0" fontId="0" fillId="0" borderId="15" xfId="0" applyBorder="1" applyAlignment="1">
      <alignment horizontal="center"/>
    </xf>
    <xf numFmtId="0" fontId="0" fillId="0" borderId="20" xfId="0" applyBorder="1" applyAlignment="1">
      <alignment horizontal="center"/>
    </xf>
    <xf numFmtId="0" fontId="0" fillId="0" borderId="20" xfId="0" applyBorder="1" applyAlignment="1">
      <alignment horizontal="left"/>
    </xf>
    <xf numFmtId="0" fontId="0" fillId="18" borderId="52" xfId="0" applyFill="1" applyBorder="1" applyAlignment="1">
      <alignment horizontal="center"/>
    </xf>
    <xf numFmtId="0" fontId="4" fillId="18" borderId="52" xfId="0" applyFont="1" applyFill="1" applyBorder="1" applyAlignment="1">
      <alignment horizontal="center"/>
    </xf>
    <xf numFmtId="0" fontId="0" fillId="19" borderId="52" xfId="0" applyFill="1" applyBorder="1" applyAlignment="1">
      <alignment horizontal="center"/>
    </xf>
    <xf numFmtId="0" fontId="4" fillId="19" borderId="52" xfId="0" applyFont="1" applyFill="1" applyBorder="1" applyAlignment="1">
      <alignment horizontal="center"/>
    </xf>
    <xf numFmtId="0" fontId="0" fillId="19" borderId="2" xfId="0" applyFill="1" applyBorder="1" applyAlignment="1">
      <alignment horizontal="center"/>
    </xf>
    <xf numFmtId="171" fontId="0" fillId="0" borderId="50" xfId="0" applyNumberFormat="1" applyBorder="1" applyAlignment="1">
      <alignment horizontal="center"/>
    </xf>
    <xf numFmtId="171" fontId="4" fillId="0" borderId="50" xfId="0" applyNumberFormat="1" applyFont="1" applyBorder="1" applyAlignment="1">
      <alignment horizontal="center"/>
    </xf>
    <xf numFmtId="171" fontId="0" fillId="0" borderId="53" xfId="0" applyNumberFormat="1" applyBorder="1" applyAlignment="1">
      <alignment horizontal="center"/>
    </xf>
    <xf numFmtId="0" fontId="18" fillId="9" borderId="18" xfId="0" applyFont="1" applyFill="1" applyBorder="1" applyAlignment="1">
      <alignment horizontal="center" wrapText="1"/>
    </xf>
    <xf numFmtId="40" fontId="18" fillId="9" borderId="15" xfId="0" applyNumberFormat="1" applyFont="1" applyFill="1" applyBorder="1" applyAlignment="1">
      <alignment horizontal="right" wrapText="1"/>
    </xf>
    <xf numFmtId="40" fontId="18" fillId="9" borderId="54" xfId="0" applyNumberFormat="1" applyFont="1" applyFill="1" applyBorder="1" applyAlignment="1">
      <alignment horizontal="right" wrapText="1"/>
    </xf>
    <xf numFmtId="8" fontId="0" fillId="0" borderId="0" xfId="0" applyNumberFormat="1" applyAlignment="1">
      <alignment horizontal="right"/>
    </xf>
    <xf numFmtId="2" fontId="4" fillId="0" borderId="0" xfId="0" applyNumberFormat="1" applyFont="1" applyAlignment="1">
      <alignment horizontal="right"/>
    </xf>
    <xf numFmtId="8" fontId="4" fillId="0" borderId="15" xfId="0" applyNumberFormat="1" applyFont="1" applyBorder="1" applyAlignment="1">
      <alignment horizontal="right"/>
    </xf>
    <xf numFmtId="8" fontId="0" fillId="0" borderId="20" xfId="0" applyNumberFormat="1" applyBorder="1" applyAlignment="1">
      <alignment horizontal="right"/>
    </xf>
    <xf numFmtId="8" fontId="4" fillId="0" borderId="20" xfId="0" applyNumberFormat="1" applyFont="1" applyBorder="1" applyAlignment="1">
      <alignment horizontal="right"/>
    </xf>
    <xf numFmtId="0" fontId="0" fillId="8" borderId="52" xfId="0" applyFill="1" applyBorder="1" applyAlignment="1">
      <alignment horizontal="center"/>
    </xf>
    <xf numFmtId="0" fontId="4" fillId="8" borderId="52" xfId="0" applyFont="1" applyFill="1" applyBorder="1" applyAlignment="1">
      <alignment horizontal="center"/>
    </xf>
    <xf numFmtId="0" fontId="0" fillId="8" borderId="2" xfId="0" applyFill="1" applyBorder="1" applyAlignment="1">
      <alignment horizontal="center"/>
    </xf>
    <xf numFmtId="0" fontId="0" fillId="8" borderId="1" xfId="0" applyFill="1" applyBorder="1" applyAlignment="1">
      <alignment horizontal="center"/>
    </xf>
    <xf numFmtId="0" fontId="4" fillId="20" borderId="52" xfId="0" applyFont="1" applyFill="1" applyBorder="1" applyAlignment="1">
      <alignment horizontal="center"/>
    </xf>
    <xf numFmtId="0" fontId="0" fillId="8" borderId="14" xfId="0" applyFill="1" applyBorder="1"/>
    <xf numFmtId="0" fontId="0" fillId="18" borderId="14" xfId="0" applyFill="1" applyBorder="1"/>
    <xf numFmtId="0" fontId="0" fillId="19" borderId="14" xfId="0" applyFill="1" applyBorder="1"/>
    <xf numFmtId="0" fontId="0" fillId="21" borderId="14" xfId="0" applyFill="1" applyBorder="1"/>
    <xf numFmtId="0" fontId="0" fillId="20" borderId="14" xfId="0" applyFill="1" applyBorder="1"/>
    <xf numFmtId="0" fontId="0" fillId="22" borderId="14" xfId="0" applyFill="1" applyBorder="1"/>
    <xf numFmtId="0" fontId="0" fillId="8" borderId="13" xfId="0" applyFill="1" applyBorder="1"/>
    <xf numFmtId="171" fontId="18" fillId="9" borderId="56" xfId="0" applyNumberFormat="1" applyFont="1" applyFill="1" applyBorder="1" applyAlignment="1">
      <alignment horizontal="center" wrapText="1"/>
    </xf>
    <xf numFmtId="171" fontId="18" fillId="9" borderId="15" xfId="0" applyNumberFormat="1" applyFont="1" applyFill="1" applyBorder="1" applyAlignment="1">
      <alignment horizontal="center" wrapText="1"/>
    </xf>
    <xf numFmtId="1" fontId="18" fillId="9" borderId="15" xfId="0" applyNumberFormat="1" applyFont="1" applyFill="1" applyBorder="1" applyAlignment="1">
      <alignment horizontal="center" wrapText="1"/>
    </xf>
    <xf numFmtId="1" fontId="0" fillId="0" borderId="0" xfId="0" applyNumberFormat="1" applyAlignment="1">
      <alignment horizontal="center"/>
    </xf>
    <xf numFmtId="1" fontId="4" fillId="0" borderId="0" xfId="0" applyNumberFormat="1" applyFont="1" applyAlignment="1">
      <alignment horizontal="center"/>
    </xf>
    <xf numFmtId="1" fontId="0" fillId="0" borderId="20" xfId="0" applyNumberFormat="1" applyBorder="1" applyAlignment="1">
      <alignment horizontal="center"/>
    </xf>
    <xf numFmtId="1" fontId="0" fillId="0" borderId="0" xfId="0" applyNumberFormat="1"/>
    <xf numFmtId="1" fontId="18" fillId="9" borderId="54" xfId="0" applyNumberFormat="1" applyFont="1" applyFill="1" applyBorder="1" applyAlignment="1">
      <alignment horizontal="center" wrapText="1"/>
    </xf>
    <xf numFmtId="1" fontId="0" fillId="0" borderId="31" xfId="0" applyNumberFormat="1" applyBorder="1" applyAlignment="1">
      <alignment horizontal="center"/>
    </xf>
    <xf numFmtId="1" fontId="4" fillId="0" borderId="31" xfId="0" applyNumberFormat="1" applyFont="1" applyBorder="1" applyAlignment="1">
      <alignment horizontal="center"/>
    </xf>
    <xf numFmtId="1" fontId="0" fillId="0" borderId="55" xfId="0" applyNumberFormat="1" applyBorder="1" applyAlignment="1">
      <alignment horizontal="center"/>
    </xf>
    <xf numFmtId="0" fontId="18" fillId="9" borderId="14" xfId="0" applyFont="1" applyFill="1" applyBorder="1" applyAlignment="1">
      <alignment horizontal="right" vertical="center" wrapText="1"/>
    </xf>
    <xf numFmtId="0" fontId="18" fillId="9" borderId="14" xfId="0" applyFont="1" applyFill="1" applyBorder="1" applyAlignment="1">
      <alignment horizontal="center" vertical="center" wrapText="1"/>
    </xf>
    <xf numFmtId="0" fontId="39" fillId="10" borderId="14" xfId="0" applyFont="1" applyFill="1" applyBorder="1" applyAlignment="1">
      <alignment horizontal="left"/>
    </xf>
    <xf numFmtId="0" fontId="5" fillId="0" borderId="0" xfId="0" applyFont="1" applyAlignment="1">
      <alignment horizontal="left"/>
    </xf>
    <xf numFmtId="0" fontId="0" fillId="0" borderId="15" xfId="0" applyBorder="1" applyAlignment="1">
      <alignment horizontal="left"/>
    </xf>
    <xf numFmtId="171" fontId="0" fillId="0" borderId="57" xfId="0" applyNumberFormat="1" applyBorder="1" applyAlignment="1">
      <alignment horizontal="center"/>
    </xf>
    <xf numFmtId="1" fontId="0" fillId="0" borderId="15" xfId="0" applyNumberFormat="1" applyBorder="1" applyAlignment="1">
      <alignment horizontal="center"/>
    </xf>
    <xf numFmtId="171" fontId="0" fillId="0" borderId="15" xfId="0" applyNumberFormat="1" applyBorder="1" applyAlignment="1">
      <alignment horizontal="center"/>
    </xf>
    <xf numFmtId="1" fontId="0" fillId="0" borderId="54" xfId="0" applyNumberFormat="1" applyBorder="1" applyAlignment="1">
      <alignment horizontal="center"/>
    </xf>
    <xf numFmtId="8" fontId="0" fillId="0" borderId="15" xfId="0" applyNumberFormat="1" applyBorder="1" applyAlignment="1">
      <alignment horizontal="right"/>
    </xf>
    <xf numFmtId="8" fontId="25" fillId="0" borderId="5" xfId="0" applyNumberFormat="1" applyFont="1" applyBorder="1" applyAlignment="1">
      <alignment horizontal="left" vertical="center"/>
    </xf>
    <xf numFmtId="8" fontId="25" fillId="0" borderId="69" xfId="0" applyNumberFormat="1" applyFont="1" applyBorder="1" applyAlignment="1">
      <alignment horizontal="left" vertical="center"/>
    </xf>
    <xf numFmtId="0" fontId="24" fillId="8" borderId="16" xfId="0" applyFont="1" applyFill="1" applyBorder="1" applyAlignment="1">
      <alignment horizontal="right" vertical="center" wrapText="1" shrinkToFit="1"/>
    </xf>
    <xf numFmtId="0" fontId="24" fillId="8" borderId="14" xfId="0" applyFont="1" applyFill="1" applyBorder="1" applyAlignment="1">
      <alignment horizontal="center" vertical="center" wrapText="1" shrinkToFit="1"/>
    </xf>
    <xf numFmtId="171" fontId="26" fillId="8" borderId="14" xfId="0" applyNumberFormat="1" applyFont="1" applyFill="1" applyBorder="1" applyAlignment="1">
      <alignment horizontal="right" vertical="center"/>
    </xf>
    <xf numFmtId="171" fontId="26" fillId="8" borderId="5" xfId="0" applyNumberFormat="1" applyFont="1" applyFill="1" applyBorder="1" applyAlignment="1">
      <alignment horizontal="right" vertical="center"/>
    </xf>
    <xf numFmtId="1" fontId="25" fillId="8" borderId="5" xfId="0" applyNumberFormat="1" applyFont="1" applyFill="1" applyBorder="1" applyAlignment="1">
      <alignment horizontal="center" vertical="center"/>
    </xf>
    <xf numFmtId="0" fontId="26" fillId="8" borderId="5" xfId="0" applyFont="1" applyFill="1" applyBorder="1" applyAlignment="1">
      <alignment vertical="center" shrinkToFit="1"/>
    </xf>
    <xf numFmtId="171" fontId="26" fillId="8" borderId="69" xfId="0" applyNumberFormat="1" applyFont="1" applyFill="1" applyBorder="1" applyAlignment="1">
      <alignment horizontal="right" vertical="center"/>
    </xf>
    <xf numFmtId="1" fontId="25" fillId="8" borderId="69" xfId="0" applyNumberFormat="1" applyFont="1" applyFill="1" applyBorder="1" applyAlignment="1">
      <alignment horizontal="center" vertical="center"/>
    </xf>
    <xf numFmtId="0" fontId="26" fillId="8" borderId="69" xfId="0" applyFont="1" applyFill="1" applyBorder="1" applyAlignment="1">
      <alignment vertical="center" shrinkToFit="1"/>
    </xf>
    <xf numFmtId="0" fontId="6" fillId="17" borderId="14" xfId="0" applyFont="1" applyFill="1" applyBorder="1" applyAlignment="1">
      <alignment horizontal="right" vertical="top"/>
    </xf>
    <xf numFmtId="0" fontId="41" fillId="10" borderId="14" xfId="0" applyFont="1" applyFill="1" applyBorder="1" applyAlignment="1">
      <alignment horizontal="left" vertical="top"/>
    </xf>
    <xf numFmtId="49" fontId="41" fillId="10" borderId="14" xfId="0" applyNumberFormat="1" applyFont="1" applyFill="1" applyBorder="1" applyAlignment="1">
      <alignment horizontal="left" vertical="top"/>
    </xf>
    <xf numFmtId="0" fontId="6" fillId="14" borderId="14" xfId="0" applyFont="1" applyFill="1" applyBorder="1" applyAlignment="1">
      <alignment horizontal="right" vertical="top" wrapText="1"/>
    </xf>
    <xf numFmtId="8" fontId="6" fillId="14" borderId="14" xfId="0" applyNumberFormat="1" applyFont="1" applyFill="1" applyBorder="1" applyAlignment="1">
      <alignment horizontal="right" vertical="top" wrapText="1"/>
    </xf>
    <xf numFmtId="164" fontId="6" fillId="14" borderId="14" xfId="0" applyNumberFormat="1" applyFont="1" applyFill="1" applyBorder="1" applyAlignment="1">
      <alignment horizontal="right" vertical="top" wrapText="1"/>
    </xf>
    <xf numFmtId="172" fontId="6" fillId="15" borderId="14" xfId="0" applyNumberFormat="1" applyFont="1" applyFill="1" applyBorder="1" applyAlignment="1">
      <alignment horizontal="right" vertical="top"/>
    </xf>
    <xf numFmtId="0" fontId="6" fillId="15" borderId="14" xfId="0" applyFont="1" applyFill="1" applyBorder="1" applyAlignment="1">
      <alignment horizontal="right" vertical="top"/>
    </xf>
    <xf numFmtId="8" fontId="6" fillId="15" borderId="14" xfId="0" applyNumberFormat="1" applyFont="1" applyFill="1" applyBorder="1" applyAlignment="1">
      <alignment horizontal="right" vertical="top"/>
    </xf>
    <xf numFmtId="171" fontId="6" fillId="16" borderId="14" xfId="0" applyNumberFormat="1" applyFont="1" applyFill="1" applyBorder="1" applyAlignment="1">
      <alignment horizontal="right" vertical="top"/>
    </xf>
    <xf numFmtId="0" fontId="6" fillId="16" borderId="14" xfId="0" applyFont="1" applyFill="1" applyBorder="1" applyAlignment="1">
      <alignment horizontal="right" vertical="top"/>
    </xf>
    <xf numFmtId="8" fontId="6" fillId="16" borderId="14" xfId="0" applyNumberFormat="1" applyFont="1" applyFill="1" applyBorder="1" applyAlignment="1">
      <alignment horizontal="right" vertical="top"/>
    </xf>
    <xf numFmtId="173" fontId="6" fillId="15" borderId="14" xfId="0" applyNumberFormat="1" applyFont="1" applyFill="1" applyBorder="1" applyAlignment="1">
      <alignment horizontal="right" vertical="top"/>
    </xf>
    <xf numFmtId="174" fontId="6" fillId="16" borderId="14" xfId="0" applyNumberFormat="1" applyFont="1" applyFill="1" applyBorder="1" applyAlignment="1">
      <alignment horizontal="right" vertical="top"/>
    </xf>
    <xf numFmtId="2" fontId="6" fillId="0" borderId="0" xfId="0" applyNumberFormat="1" applyFont="1" applyAlignment="1">
      <alignment horizontal="center" vertical="top"/>
    </xf>
    <xf numFmtId="2" fontId="6" fillId="0" borderId="0" xfId="0" applyNumberFormat="1" applyFont="1" applyAlignment="1">
      <alignment vertical="top"/>
    </xf>
    <xf numFmtId="0" fontId="6" fillId="0" borderId="0" xfId="0" applyFont="1" applyAlignment="1">
      <alignment vertical="top"/>
    </xf>
    <xf numFmtId="0" fontId="20" fillId="8" borderId="0" xfId="0" applyFont="1" applyFill="1" applyAlignment="1">
      <alignment horizontal="left"/>
    </xf>
    <xf numFmtId="0" fontId="20" fillId="0" borderId="0" xfId="0" applyFont="1" applyAlignment="1">
      <alignment horizontal="left"/>
    </xf>
    <xf numFmtId="0" fontId="20" fillId="8" borderId="0" xfId="0" applyFont="1" applyFill="1" applyAlignment="1">
      <alignment horizontal="left" vertical="center"/>
    </xf>
    <xf numFmtId="0" fontId="0" fillId="0" borderId="71" xfId="0" pivotButton="1" applyBorder="1"/>
    <xf numFmtId="0" fontId="0" fillId="0" borderId="72" xfId="0" applyBorder="1"/>
    <xf numFmtId="0" fontId="4" fillId="18" borderId="58" xfId="0" applyFont="1" applyFill="1" applyBorder="1" applyAlignment="1">
      <alignment horizontal="center"/>
    </xf>
    <xf numFmtId="0" fontId="0" fillId="0" borderId="59" xfId="0" applyBorder="1" applyAlignment="1">
      <alignment horizontal="left"/>
    </xf>
    <xf numFmtId="171" fontId="0" fillId="0" borderId="60" xfId="0" applyNumberFormat="1" applyBorder="1" applyAlignment="1">
      <alignment horizontal="center"/>
    </xf>
    <xf numFmtId="1" fontId="0" fillId="0" borderId="59" xfId="0" applyNumberFormat="1" applyBorder="1" applyAlignment="1">
      <alignment horizontal="center"/>
    </xf>
    <xf numFmtId="171" fontId="0" fillId="0" borderId="59" xfId="0" applyNumberFormat="1" applyBorder="1" applyAlignment="1">
      <alignment horizontal="center"/>
    </xf>
    <xf numFmtId="1" fontId="0" fillId="0" borderId="61" xfId="0" applyNumberFormat="1" applyBorder="1" applyAlignment="1">
      <alignment horizontal="center"/>
    </xf>
    <xf numFmtId="8" fontId="0" fillId="0" borderId="59" xfId="0" applyNumberFormat="1" applyBorder="1" applyAlignment="1">
      <alignment horizontal="right"/>
    </xf>
    <xf numFmtId="8" fontId="4" fillId="0" borderId="59" xfId="0" applyNumberFormat="1" applyFont="1" applyBorder="1" applyAlignment="1">
      <alignment horizontal="right"/>
    </xf>
    <xf numFmtId="0" fontId="0" fillId="0" borderId="62" xfId="0" applyBorder="1" applyAlignment="1">
      <alignment horizontal="left"/>
    </xf>
    <xf numFmtId="171" fontId="0" fillId="0" borderId="63" xfId="0" applyNumberFormat="1" applyBorder="1" applyAlignment="1">
      <alignment horizontal="center"/>
    </xf>
    <xf numFmtId="1" fontId="0" fillId="0" borderId="62" xfId="0" applyNumberFormat="1" applyBorder="1" applyAlignment="1">
      <alignment horizontal="center"/>
    </xf>
    <xf numFmtId="171" fontId="0" fillId="0" borderId="62" xfId="0" applyNumberFormat="1" applyBorder="1" applyAlignment="1">
      <alignment horizontal="center"/>
    </xf>
    <xf numFmtId="1" fontId="0" fillId="0" borderId="64" xfId="0" applyNumberFormat="1" applyBorder="1" applyAlignment="1">
      <alignment horizontal="center"/>
    </xf>
    <xf numFmtId="8" fontId="0" fillId="0" borderId="62" xfId="0" applyNumberFormat="1" applyBorder="1" applyAlignment="1">
      <alignment horizontal="right"/>
    </xf>
    <xf numFmtId="8" fontId="4" fillId="0" borderId="62" xfId="0" applyNumberFormat="1" applyFont="1" applyBorder="1" applyAlignment="1">
      <alignment horizontal="right"/>
    </xf>
    <xf numFmtId="0" fontId="4" fillId="19" borderId="65" xfId="0" applyFont="1" applyFill="1" applyBorder="1" applyAlignment="1">
      <alignment horizontal="center"/>
    </xf>
    <xf numFmtId="0" fontId="0" fillId="0" borderId="62" xfId="0" applyBorder="1" applyAlignment="1">
      <alignment horizontal="center"/>
    </xf>
    <xf numFmtId="0" fontId="0" fillId="18" borderId="58" xfId="0" applyFill="1" applyBorder="1" applyAlignment="1">
      <alignment horizontal="center"/>
    </xf>
    <xf numFmtId="0" fontId="0" fillId="0" borderId="59" xfId="0" applyBorder="1" applyAlignment="1">
      <alignment horizontal="center"/>
    </xf>
    <xf numFmtId="0" fontId="0" fillId="19" borderId="65" xfId="0" applyFill="1" applyBorder="1" applyAlignment="1">
      <alignment horizontal="center"/>
    </xf>
    <xf numFmtId="0" fontId="19" fillId="9" borderId="0" xfId="0" applyFont="1" applyFill="1" applyAlignment="1">
      <alignment horizontal="right"/>
    </xf>
    <xf numFmtId="0" fontId="19" fillId="9" borderId="0" xfId="0" applyFont="1" applyFill="1" applyAlignment="1">
      <alignment horizontal="left"/>
    </xf>
    <xf numFmtId="6" fontId="19" fillId="9" borderId="0" xfId="0" applyNumberFormat="1" applyFont="1" applyFill="1"/>
    <xf numFmtId="164" fontId="19" fillId="9" borderId="0" xfId="0" applyNumberFormat="1" applyFont="1" applyFill="1"/>
    <xf numFmtId="174" fontId="0" fillId="8" borderId="0" xfId="0" applyNumberFormat="1" applyFill="1" applyAlignment="1">
      <alignment horizontal="left"/>
    </xf>
    <xf numFmtId="174" fontId="0" fillId="0" borderId="0" xfId="0" applyNumberFormat="1" applyAlignment="1">
      <alignment horizontal="left"/>
    </xf>
    <xf numFmtId="164" fontId="0" fillId="0" borderId="10" xfId="0" applyNumberFormat="1" applyBorder="1"/>
    <xf numFmtId="0" fontId="29" fillId="9" borderId="68" xfId="0" applyFont="1" applyFill="1" applyBorder="1" applyAlignment="1">
      <alignment vertical="center"/>
    </xf>
    <xf numFmtId="0" fontId="42" fillId="11" borderId="77" xfId="0" applyFont="1" applyFill="1" applyBorder="1" applyAlignment="1">
      <alignment vertical="center"/>
    </xf>
    <xf numFmtId="0" fontId="42" fillId="11" borderId="78" xfId="0" applyFont="1" applyFill="1" applyBorder="1" applyAlignment="1">
      <alignment vertical="center"/>
    </xf>
    <xf numFmtId="0" fontId="42" fillId="11" borderId="79" xfId="0" applyFont="1" applyFill="1" applyBorder="1" applyAlignment="1">
      <alignment vertical="center"/>
    </xf>
    <xf numFmtId="0" fontId="43" fillId="8" borderId="0" xfId="1" applyFont="1" applyFill="1" applyAlignment="1" applyProtection="1"/>
    <xf numFmtId="0" fontId="43" fillId="0" borderId="0" xfId="1" applyFont="1" applyAlignment="1" applyProtection="1"/>
    <xf numFmtId="0" fontId="43" fillId="8" borderId="0" xfId="1" applyFont="1" applyFill="1" applyAlignment="1" applyProtection="1">
      <alignment wrapText="1"/>
    </xf>
    <xf numFmtId="2" fontId="2" fillId="0" borderId="0" xfId="1" applyNumberFormat="1" applyAlignment="1" applyProtection="1">
      <alignment horizontal="center" vertical="center"/>
    </xf>
    <xf numFmtId="0" fontId="44" fillId="9" borderId="0" xfId="0" applyFont="1" applyFill="1" applyAlignment="1">
      <alignment vertical="center"/>
    </xf>
    <xf numFmtId="171" fontId="26" fillId="0" borderId="14" xfId="0" applyNumberFormat="1" applyFont="1" applyBorder="1" applyAlignment="1">
      <alignment horizontal="right" vertical="center"/>
    </xf>
    <xf numFmtId="171" fontId="40" fillId="0" borderId="5" xfId="0" applyNumberFormat="1" applyFont="1" applyBorder="1" applyAlignment="1">
      <alignment horizontal="right" vertical="center"/>
    </xf>
    <xf numFmtId="0" fontId="19" fillId="9" borderId="14" xfId="0" applyFont="1" applyFill="1" applyBorder="1" applyAlignment="1">
      <alignment vertical="center"/>
    </xf>
    <xf numFmtId="0" fontId="0" fillId="8" borderId="14" xfId="0" applyFill="1" applyBorder="1" applyAlignment="1">
      <alignment vertical="center"/>
    </xf>
    <xf numFmtId="171" fontId="0" fillId="8" borderId="14" xfId="0" applyNumberFormat="1" applyFill="1" applyBorder="1" applyAlignment="1">
      <alignment vertical="center"/>
    </xf>
    <xf numFmtId="1" fontId="0" fillId="8" borderId="14" xfId="0" applyNumberFormat="1" applyFill="1" applyBorder="1" applyAlignment="1">
      <alignment vertical="center"/>
    </xf>
    <xf numFmtId="1" fontId="22" fillId="8" borderId="0" xfId="0" applyNumberFormat="1" applyFont="1" applyFill="1" applyAlignment="1">
      <alignment horizontal="center" vertical="center"/>
    </xf>
    <xf numFmtId="1" fontId="45" fillId="8" borderId="0" xfId="0" applyNumberFormat="1" applyFont="1" applyFill="1" applyAlignment="1">
      <alignment horizontal="center" vertical="center"/>
    </xf>
    <xf numFmtId="0" fontId="1" fillId="8" borderId="0" xfId="0" applyFont="1" applyFill="1" applyAlignment="1">
      <alignment horizontal="center"/>
    </xf>
    <xf numFmtId="0" fontId="46" fillId="9" borderId="14" xfId="0" applyFont="1" applyFill="1" applyBorder="1" applyAlignment="1">
      <alignment horizontal="right" vertical="center" wrapText="1"/>
    </xf>
    <xf numFmtId="171" fontId="1" fillId="4" borderId="28" xfId="0" applyNumberFormat="1" applyFont="1" applyFill="1" applyBorder="1" applyAlignment="1">
      <alignment vertical="center"/>
    </xf>
    <xf numFmtId="1" fontId="22" fillId="8" borderId="0" xfId="0" applyNumberFormat="1" applyFont="1" applyFill="1" applyAlignment="1">
      <alignment horizontal="center" vertical="center" wrapText="1"/>
    </xf>
    <xf numFmtId="0" fontId="19" fillId="9" borderId="43" xfId="0" applyFont="1" applyFill="1" applyBorder="1" applyAlignment="1">
      <alignment horizontal="right" vertical="center" wrapText="1"/>
    </xf>
    <xf numFmtId="171" fontId="0" fillId="8" borderId="14" xfId="0" applyNumberFormat="1" applyFill="1" applyBorder="1" applyAlignment="1">
      <alignment horizontal="right" vertical="center"/>
    </xf>
    <xf numFmtId="0" fontId="1" fillId="18" borderId="14" xfId="0" quotePrefix="1" applyFont="1" applyFill="1" applyBorder="1" applyAlignment="1">
      <alignment horizontal="center" vertical="center"/>
    </xf>
    <xf numFmtId="0" fontId="47" fillId="8" borderId="18" xfId="0" applyFont="1" applyFill="1" applyBorder="1" applyAlignment="1">
      <alignment vertical="center"/>
    </xf>
    <xf numFmtId="0" fontId="48" fillId="8" borderId="14" xfId="0" applyFont="1" applyFill="1" applyBorder="1" applyAlignment="1">
      <alignment horizontal="center" vertical="center"/>
    </xf>
    <xf numFmtId="0" fontId="49" fillId="8" borderId="0" xfId="0" applyFont="1" applyFill="1" applyAlignment="1">
      <alignment horizontal="right" vertical="center"/>
    </xf>
    <xf numFmtId="0" fontId="20" fillId="8" borderId="0" xfId="0" applyFont="1" applyFill="1" applyAlignment="1">
      <alignment horizontal="center"/>
    </xf>
    <xf numFmtId="0" fontId="48" fillId="8" borderId="0" xfId="0" applyFont="1" applyFill="1" applyAlignment="1">
      <alignment horizontal="right"/>
    </xf>
    <xf numFmtId="2" fontId="20" fillId="8" borderId="0" xfId="0" applyNumberFormat="1" applyFont="1" applyFill="1" applyAlignment="1">
      <alignment horizontal="center"/>
    </xf>
    <xf numFmtId="0" fontId="0" fillId="5" borderId="11" xfId="0" applyFill="1" applyBorder="1" applyAlignment="1">
      <alignment horizontal="center"/>
    </xf>
    <xf numFmtId="2" fontId="0" fillId="5" borderId="14" xfId="0" applyNumberFormat="1" applyFill="1" applyBorder="1" applyAlignment="1">
      <alignment horizontal="center"/>
    </xf>
    <xf numFmtId="0" fontId="20" fillId="8" borderId="0" xfId="0" applyFont="1" applyFill="1" applyAlignment="1">
      <alignment horizontal="center"/>
    </xf>
    <xf numFmtId="0" fontId="1" fillId="8" borderId="52" xfId="0" applyFont="1" applyFill="1" applyBorder="1" applyAlignment="1">
      <alignment horizontal="center"/>
    </xf>
    <xf numFmtId="0" fontId="1" fillId="18" borderId="1" xfId="0" applyFont="1" applyFill="1" applyBorder="1" applyAlignment="1">
      <alignment horizontal="center"/>
    </xf>
    <xf numFmtId="2" fontId="1" fillId="8" borderId="52" xfId="0" applyNumberFormat="1" applyFont="1" applyFill="1" applyBorder="1" applyAlignment="1">
      <alignment horizontal="center"/>
    </xf>
    <xf numFmtId="2" fontId="1" fillId="18" borderId="2" xfId="0" applyNumberFormat="1" applyFont="1" applyFill="1" applyBorder="1" applyAlignment="1">
      <alignment horizontal="center"/>
    </xf>
    <xf numFmtId="0" fontId="20" fillId="8" borderId="0" xfId="0" applyFont="1" applyFill="1"/>
    <xf numFmtId="0" fontId="45" fillId="8" borderId="0" xfId="0" applyFont="1" applyFill="1" applyAlignment="1">
      <alignment horizontal="center"/>
    </xf>
    <xf numFmtId="2" fontId="45" fillId="8" borderId="0" xfId="0" applyNumberFormat="1" applyFont="1" applyFill="1" applyAlignment="1">
      <alignment horizontal="center"/>
    </xf>
    <xf numFmtId="0" fontId="20" fillId="8" borderId="0" xfId="0" applyFont="1" applyFill="1"/>
    <xf numFmtId="0" fontId="20" fillId="0" borderId="0" xfId="0" applyFont="1"/>
    <xf numFmtId="0" fontId="4" fillId="5" borderId="7" xfId="0" applyFont="1" applyFill="1" applyBorder="1" applyAlignment="1">
      <alignment horizontal="center" wrapText="1"/>
    </xf>
    <xf numFmtId="2" fontId="49" fillId="8" borderId="14" xfId="0" applyNumberFormat="1" applyFont="1" applyFill="1" applyBorder="1" applyAlignment="1">
      <alignment horizontal="center" vertical="center"/>
    </xf>
    <xf numFmtId="2" fontId="17" fillId="18" borderId="14" xfId="0" applyNumberFormat="1" applyFont="1" applyFill="1" applyBorder="1" applyAlignment="1">
      <alignment horizontal="center" vertical="center"/>
    </xf>
    <xf numFmtId="2" fontId="0" fillId="0" borderId="0" xfId="0" applyNumberFormat="1" applyAlignment="1">
      <alignment horizontal="right"/>
    </xf>
    <xf numFmtId="171" fontId="50" fillId="8" borderId="14" xfId="0" applyNumberFormat="1" applyFont="1" applyFill="1" applyBorder="1" applyAlignment="1">
      <alignment horizontal="center"/>
    </xf>
    <xf numFmtId="0" fontId="50" fillId="8" borderId="14" xfId="0" applyFont="1" applyFill="1" applyBorder="1" applyAlignment="1">
      <alignment horizontal="left"/>
    </xf>
    <xf numFmtId="174" fontId="50" fillId="8" borderId="14" xfId="0" applyNumberFormat="1" applyFont="1" applyFill="1" applyBorder="1" applyAlignment="1">
      <alignment horizontal="left"/>
    </xf>
    <xf numFmtId="171" fontId="51" fillId="9" borderId="14" xfId="0" applyNumberFormat="1" applyFont="1" applyFill="1" applyBorder="1" applyAlignment="1">
      <alignment horizontal="center" vertical="center" wrapText="1"/>
    </xf>
    <xf numFmtId="0" fontId="0" fillId="0" borderId="55" xfId="0" applyBorder="1"/>
    <xf numFmtId="0" fontId="4" fillId="9" borderId="0" xfId="0" applyFont="1" applyFill="1"/>
    <xf numFmtId="0" fontId="52" fillId="9" borderId="80" xfId="0" applyFont="1" applyFill="1" applyBorder="1"/>
    <xf numFmtId="0" fontId="53" fillId="8" borderId="80" xfId="0" applyFont="1" applyFill="1" applyBorder="1" applyAlignment="1">
      <alignment shrinkToFit="1"/>
    </xf>
    <xf numFmtId="0" fontId="53" fillId="8" borderId="81" xfId="0" applyFont="1" applyFill="1" applyBorder="1" applyAlignment="1">
      <alignment shrinkToFit="1"/>
    </xf>
    <xf numFmtId="0" fontId="53" fillId="8" borderId="82" xfId="0" applyFont="1" applyFill="1" applyBorder="1" applyAlignment="1">
      <alignment shrinkToFit="1"/>
    </xf>
    <xf numFmtId="0" fontId="53" fillId="8" borderId="80" xfId="0" applyFont="1" applyFill="1" applyBorder="1" applyAlignment="1">
      <alignment vertical="center" shrinkToFit="1"/>
    </xf>
    <xf numFmtId="171" fontId="54" fillId="8" borderId="80" xfId="0" applyNumberFormat="1" applyFont="1" applyFill="1" applyBorder="1" applyAlignment="1">
      <alignment vertical="center" shrinkToFit="1"/>
    </xf>
    <xf numFmtId="0" fontId="53" fillId="8" borderId="83" xfId="0" applyFont="1" applyFill="1" applyBorder="1" applyAlignment="1">
      <alignment vertical="center" shrinkToFit="1"/>
    </xf>
    <xf numFmtId="0" fontId="53" fillId="8" borderId="81" xfId="0" applyFont="1" applyFill="1" applyBorder="1" applyAlignment="1">
      <alignment vertical="center" shrinkToFit="1"/>
    </xf>
    <xf numFmtId="171" fontId="54" fillId="8" borderId="81" xfId="0" applyNumberFormat="1" applyFont="1" applyFill="1" applyBorder="1" applyAlignment="1">
      <alignment vertical="center" shrinkToFit="1"/>
    </xf>
    <xf numFmtId="0" fontId="53" fillId="8" borderId="84" xfId="0" applyFont="1" applyFill="1" applyBorder="1" applyAlignment="1">
      <alignment vertical="center" shrinkToFit="1"/>
    </xf>
    <xf numFmtId="0" fontId="55" fillId="8" borderId="82" xfId="0" applyFont="1" applyFill="1" applyBorder="1" applyAlignment="1">
      <alignment vertical="center" shrinkToFit="1"/>
    </xf>
    <xf numFmtId="0" fontId="55" fillId="8" borderId="80" xfId="0" applyFont="1" applyFill="1" applyBorder="1" applyAlignment="1">
      <alignment vertical="center" shrinkToFit="1"/>
    </xf>
    <xf numFmtId="171" fontId="56" fillId="8" borderId="82" xfId="0" applyNumberFormat="1" applyFont="1" applyFill="1" applyBorder="1" applyAlignment="1">
      <alignment vertical="center" shrinkToFit="1"/>
    </xf>
    <xf numFmtId="0" fontId="55" fillId="8" borderId="85" xfId="0" applyFont="1" applyFill="1" applyBorder="1" applyAlignment="1">
      <alignment vertical="center" shrinkToFit="1"/>
    </xf>
    <xf numFmtId="0" fontId="55" fillId="8" borderId="86" xfId="0" applyFont="1" applyFill="1" applyBorder="1" applyAlignment="1">
      <alignment vertical="center" shrinkToFit="1"/>
    </xf>
    <xf numFmtId="171" fontId="56" fillId="8" borderId="80" xfId="0" applyNumberFormat="1" applyFont="1" applyFill="1" applyBorder="1" applyAlignment="1">
      <alignment vertical="center" shrinkToFit="1"/>
    </xf>
    <xf numFmtId="0" fontId="55" fillId="8" borderId="83" xfId="0" applyFont="1" applyFill="1" applyBorder="1" applyAlignment="1">
      <alignment vertical="center" shrinkToFit="1"/>
    </xf>
    <xf numFmtId="0" fontId="55" fillId="8" borderId="87" xfId="0" applyFont="1" applyFill="1" applyBorder="1" applyAlignment="1">
      <alignment vertical="center" shrinkToFit="1"/>
    </xf>
    <xf numFmtId="171" fontId="55" fillId="8" borderId="80" xfId="0" applyNumberFormat="1" applyFont="1" applyFill="1" applyBorder="1" applyAlignment="1">
      <alignment vertical="center" shrinkToFit="1"/>
    </xf>
    <xf numFmtId="0" fontId="56" fillId="8" borderId="80" xfId="0" applyFont="1" applyFill="1" applyBorder="1" applyAlignment="1">
      <alignment vertical="center" shrinkToFit="1"/>
    </xf>
    <xf numFmtId="171" fontId="6" fillId="8" borderId="14" xfId="0" applyNumberFormat="1" applyFont="1" applyFill="1" applyBorder="1" applyAlignment="1">
      <alignment horizontal="right" vertical="top" wrapText="1"/>
    </xf>
    <xf numFmtId="0" fontId="6" fillId="8" borderId="14" xfId="0" applyFont="1" applyFill="1" applyBorder="1" applyAlignment="1">
      <alignment horizontal="center" vertical="top" wrapText="1"/>
    </xf>
    <xf numFmtId="1" fontId="6" fillId="8" borderId="14" xfId="0" applyNumberFormat="1" applyFont="1" applyFill="1" applyBorder="1" applyAlignment="1">
      <alignment horizontal="center" vertical="top" wrapText="1"/>
    </xf>
    <xf numFmtId="0" fontId="0" fillId="0" borderId="17" xfId="0" applyBorder="1"/>
    <xf numFmtId="2" fontId="18" fillId="9" borderId="66" xfId="0" applyNumberFormat="1" applyFont="1" applyFill="1" applyBorder="1" applyAlignment="1">
      <alignment horizontal="right" wrapText="1"/>
    </xf>
    <xf numFmtId="2" fontId="20" fillId="0" borderId="0" xfId="0" applyNumberFormat="1" applyFont="1" applyAlignment="1">
      <alignment horizontal="right"/>
    </xf>
    <xf numFmtId="2" fontId="20" fillId="0" borderId="62" xfId="0" applyNumberFormat="1" applyFont="1" applyBorder="1" applyAlignment="1">
      <alignment horizontal="right"/>
    </xf>
    <xf numFmtId="2" fontId="20" fillId="0" borderId="20" xfId="0" applyNumberFormat="1" applyFont="1" applyBorder="1" applyAlignment="1">
      <alignment horizontal="right"/>
    </xf>
    <xf numFmtId="2" fontId="20" fillId="0" borderId="59" xfId="0" applyNumberFormat="1" applyFont="1" applyBorder="1" applyAlignment="1">
      <alignment horizontal="right"/>
    </xf>
    <xf numFmtId="2" fontId="0" fillId="0" borderId="20" xfId="0" applyNumberFormat="1" applyBorder="1" applyAlignment="1">
      <alignment horizontal="right"/>
    </xf>
    <xf numFmtId="2" fontId="0" fillId="0" borderId="0" xfId="0" applyNumberFormat="1"/>
    <xf numFmtId="2" fontId="26" fillId="8" borderId="14" xfId="0" applyNumberFormat="1" applyFont="1" applyFill="1" applyBorder="1" applyAlignment="1">
      <alignment horizontal="center" vertical="center"/>
    </xf>
    <xf numFmtId="1" fontId="19" fillId="9" borderId="43" xfId="0" applyNumberFormat="1" applyFont="1" applyFill="1" applyBorder="1" applyAlignment="1">
      <alignment horizontal="center" vertical="center" wrapText="1"/>
    </xf>
    <xf numFmtId="1" fontId="4" fillId="0" borderId="14" xfId="0" applyNumberFormat="1" applyFont="1" applyBorder="1" applyAlignment="1">
      <alignment horizontal="center"/>
    </xf>
    <xf numFmtId="1" fontId="4" fillId="8" borderId="0" xfId="0" applyNumberFormat="1" applyFont="1" applyFill="1" applyAlignment="1">
      <alignment horizontal="center"/>
    </xf>
    <xf numFmtId="0" fontId="57" fillId="9" borderId="16" xfId="0" applyFont="1" applyFill="1" applyBorder="1" applyAlignment="1">
      <alignment horizontal="left" vertical="center"/>
    </xf>
    <xf numFmtId="2" fontId="4" fillId="4" borderId="23" xfId="0" applyNumberFormat="1" applyFont="1" applyFill="1" applyBorder="1" applyAlignment="1">
      <alignment horizontal="left" vertical="center"/>
    </xf>
    <xf numFmtId="2" fontId="4" fillId="4" borderId="26" xfId="0" applyNumberFormat="1" applyFont="1" applyFill="1" applyBorder="1" applyAlignment="1">
      <alignment horizontal="center" vertical="center"/>
    </xf>
    <xf numFmtId="0" fontId="4" fillId="2" borderId="36" xfId="0" applyFont="1" applyFill="1" applyBorder="1" applyAlignment="1">
      <alignment vertical="center"/>
    </xf>
    <xf numFmtId="176" fontId="4" fillId="4" borderId="35" xfId="0" applyNumberFormat="1" applyFont="1" applyFill="1" applyBorder="1" applyAlignment="1">
      <alignment horizontal="center" vertical="center"/>
    </xf>
    <xf numFmtId="0" fontId="4" fillId="4" borderId="36" xfId="0" applyFont="1" applyFill="1" applyBorder="1" applyAlignment="1">
      <alignment horizontal="center" vertical="center"/>
    </xf>
    <xf numFmtId="2" fontId="4" fillId="4" borderId="36" xfId="0" applyNumberFormat="1" applyFont="1" applyFill="1" applyBorder="1" applyAlignment="1">
      <alignment horizontal="center" vertical="center"/>
    </xf>
    <xf numFmtId="2" fontId="38" fillId="4" borderId="50" xfId="0" applyNumberFormat="1" applyFont="1" applyFill="1" applyBorder="1" applyAlignment="1">
      <alignment horizontal="left" vertical="center"/>
    </xf>
    <xf numFmtId="0" fontId="4" fillId="4" borderId="29" xfId="0" applyFont="1" applyFill="1" applyBorder="1" applyAlignment="1">
      <alignment horizontal="left" vertical="center"/>
    </xf>
    <xf numFmtId="2" fontId="4" fillId="4" borderId="25" xfId="0" applyNumberFormat="1" applyFont="1" applyFill="1" applyBorder="1" applyAlignment="1">
      <alignment horizontal="center" vertical="center"/>
    </xf>
    <xf numFmtId="171" fontId="1" fillId="4" borderId="0" xfId="0" applyNumberFormat="1" applyFont="1" applyFill="1" applyAlignment="1">
      <alignment horizontal="center" vertical="center"/>
    </xf>
    <xf numFmtId="0" fontId="4" fillId="4" borderId="31" xfId="0" applyFont="1" applyFill="1" applyBorder="1" applyAlignment="1">
      <alignment horizontal="center" vertical="center"/>
    </xf>
    <xf numFmtId="176" fontId="4" fillId="4" borderId="38" xfId="0" applyNumberFormat="1" applyFont="1" applyFill="1" applyBorder="1" applyAlignment="1">
      <alignment horizontal="center" vertical="center"/>
    </xf>
    <xf numFmtId="2" fontId="38" fillId="4" borderId="51" xfId="0" applyNumberFormat="1" applyFont="1" applyFill="1" applyBorder="1" applyAlignment="1">
      <alignment horizontal="left" vertical="center"/>
    </xf>
    <xf numFmtId="0" fontId="4" fillId="4" borderId="32" xfId="0" applyFont="1" applyFill="1" applyBorder="1" applyAlignment="1">
      <alignment horizontal="left" vertical="center"/>
    </xf>
    <xf numFmtId="2" fontId="4" fillId="4" borderId="33" xfId="0" applyNumberFormat="1" applyFont="1" applyFill="1" applyBorder="1" applyAlignment="1">
      <alignment horizontal="center" vertical="center"/>
    </xf>
    <xf numFmtId="0" fontId="4" fillId="2" borderId="41" xfId="0" applyFont="1" applyFill="1" applyBorder="1" applyAlignment="1">
      <alignment vertical="center"/>
    </xf>
    <xf numFmtId="176" fontId="4" fillId="4" borderId="40" xfId="0" applyNumberFormat="1" applyFont="1" applyFill="1" applyBorder="1" applyAlignment="1">
      <alignment horizontal="center" vertical="center"/>
    </xf>
    <xf numFmtId="2" fontId="4" fillId="4" borderId="41" xfId="0" applyNumberFormat="1" applyFont="1" applyFill="1" applyBorder="1" applyAlignment="1">
      <alignment horizontal="center" vertical="center"/>
    </xf>
    <xf numFmtId="0" fontId="4" fillId="4" borderId="24" xfId="0" applyFont="1" applyFill="1" applyBorder="1" applyAlignment="1">
      <alignment horizontal="left" vertical="center"/>
    </xf>
    <xf numFmtId="0" fontId="4" fillId="4" borderId="42" xfId="0" applyFont="1" applyFill="1" applyBorder="1" applyAlignment="1">
      <alignment horizontal="center" vertical="center"/>
    </xf>
    <xf numFmtId="0" fontId="4" fillId="4" borderId="31" xfId="0" applyFont="1" applyFill="1" applyBorder="1" applyAlignment="1">
      <alignment horizontal="center" vertical="center"/>
    </xf>
    <xf numFmtId="0" fontId="4" fillId="8" borderId="0" xfId="0" applyFont="1" applyFill="1" applyAlignment="1">
      <alignment horizontal="center" vertical="center"/>
    </xf>
    <xf numFmtId="0" fontId="1" fillId="4" borderId="27" xfId="0" applyFont="1" applyFill="1" applyBorder="1" applyAlignment="1">
      <alignment horizontal="center" vertical="center"/>
    </xf>
    <xf numFmtId="0" fontId="1" fillId="4" borderId="30" xfId="0" applyFont="1" applyFill="1" applyBorder="1" applyAlignment="1">
      <alignment horizontal="center" vertical="center"/>
    </xf>
    <xf numFmtId="0" fontId="1" fillId="4" borderId="27" xfId="0" applyFont="1" applyFill="1" applyBorder="1" applyAlignment="1">
      <alignment horizontal="center" vertical="center"/>
    </xf>
    <xf numFmtId="0" fontId="0" fillId="0" borderId="71" xfId="0" applyBorder="1"/>
    <xf numFmtId="0" fontId="0" fillId="0" borderId="73" xfId="0" applyBorder="1"/>
    <xf numFmtId="0" fontId="0" fillId="0" borderId="75" xfId="0" applyBorder="1"/>
    <xf numFmtId="171" fontId="26" fillId="0" borderId="69" xfId="0" quotePrefix="1" applyNumberFormat="1" applyFont="1" applyBorder="1" applyAlignment="1">
      <alignment horizontal="right" vertical="center"/>
    </xf>
    <xf numFmtId="0" fontId="18" fillId="9" borderId="89" xfId="0" applyFont="1" applyFill="1" applyBorder="1" applyAlignment="1">
      <alignment vertical="center"/>
    </xf>
    <xf numFmtId="0" fontId="0" fillId="0" borderId="0" xfId="0" applyBorder="1" applyAlignment="1">
      <alignment horizontal="left"/>
    </xf>
    <xf numFmtId="0" fontId="4" fillId="0" borderId="0" xfId="0" applyFont="1" applyBorder="1" applyAlignment="1">
      <alignment horizontal="left"/>
    </xf>
    <xf numFmtId="1" fontId="0" fillId="0" borderId="0" xfId="0" applyNumberFormat="1" applyBorder="1" applyAlignment="1">
      <alignment horizontal="center"/>
    </xf>
    <xf numFmtId="1" fontId="4" fillId="0" borderId="0" xfId="0" applyNumberFormat="1" applyFont="1" applyBorder="1" applyAlignment="1">
      <alignment horizontal="center"/>
    </xf>
    <xf numFmtId="171" fontId="0" fillId="0" borderId="0" xfId="0" applyNumberFormat="1" applyBorder="1" applyAlignment="1">
      <alignment horizontal="center"/>
    </xf>
    <xf numFmtId="171" fontId="4" fillId="0" borderId="0" xfId="0" applyNumberFormat="1" applyFont="1" applyBorder="1" applyAlignment="1">
      <alignment horizontal="center"/>
    </xf>
    <xf numFmtId="2" fontId="20" fillId="0" borderId="0" xfId="0" applyNumberFormat="1" applyFont="1" applyBorder="1" applyAlignment="1">
      <alignment horizontal="right"/>
    </xf>
    <xf numFmtId="8" fontId="0" fillId="0" borderId="0" xfId="0" applyNumberFormat="1" applyBorder="1" applyAlignment="1">
      <alignment horizontal="right"/>
    </xf>
    <xf numFmtId="8" fontId="4" fillId="0" borderId="0" xfId="0" applyNumberFormat="1" applyFont="1" applyBorder="1" applyAlignment="1">
      <alignment horizontal="right"/>
    </xf>
    <xf numFmtId="0" fontId="0" fillId="0" borderId="72" xfId="0" applyNumberFormat="1" applyBorder="1"/>
    <xf numFmtId="0" fontId="0" fillId="0" borderId="74" xfId="0" applyNumberFormat="1" applyBorder="1"/>
    <xf numFmtId="0" fontId="0" fillId="0" borderId="76" xfId="0" applyNumberFormat="1" applyBorder="1"/>
    <xf numFmtId="0" fontId="0" fillId="0" borderId="0" xfId="0" applyNumberFormat="1"/>
    <xf numFmtId="0" fontId="1" fillId="4" borderId="67" xfId="0" applyFont="1" applyFill="1" applyBorder="1" applyAlignment="1">
      <alignment horizontal="center" vertical="center"/>
    </xf>
    <xf numFmtId="171" fontId="1" fillId="4" borderId="20" xfId="0" applyNumberFormat="1" applyFont="1" applyFill="1" applyBorder="1" applyAlignment="1">
      <alignment horizontal="center" vertical="center"/>
    </xf>
    <xf numFmtId="0" fontId="4" fillId="4" borderId="55" xfId="0" applyFont="1" applyFill="1" applyBorder="1" applyAlignment="1">
      <alignment horizontal="center" vertical="center"/>
    </xf>
    <xf numFmtId="0" fontId="19" fillId="9" borderId="43" xfId="0" applyFont="1" applyFill="1" applyBorder="1" applyAlignment="1">
      <alignment horizontal="left" vertical="top"/>
    </xf>
    <xf numFmtId="49" fontId="19" fillId="9" borderId="44" xfId="0" applyNumberFormat="1" applyFont="1" applyFill="1" applyBorder="1" applyAlignment="1">
      <alignment horizontal="center" vertical="top"/>
    </xf>
    <xf numFmtId="2" fontId="19" fillId="9" borderId="45" xfId="0" applyNumberFormat="1" applyFont="1" applyFill="1" applyBorder="1" applyAlignment="1">
      <alignment horizontal="center" vertical="top"/>
    </xf>
    <xf numFmtId="0" fontId="19" fillId="9" borderId="46" xfId="0" applyFont="1" applyFill="1" applyBorder="1" applyAlignment="1">
      <alignment horizontal="center" vertical="top"/>
    </xf>
    <xf numFmtId="0" fontId="19" fillId="9" borderId="31" xfId="0" applyFont="1" applyFill="1" applyBorder="1" applyAlignment="1">
      <alignment horizontal="right" vertical="top"/>
    </xf>
    <xf numFmtId="0" fontId="53" fillId="18" borderId="87" xfId="0" applyFont="1" applyFill="1" applyBorder="1" applyAlignment="1">
      <alignment vertical="center" shrinkToFit="1"/>
    </xf>
    <xf numFmtId="0" fontId="53" fillId="18" borderId="88" xfId="0" applyFont="1" applyFill="1" applyBorder="1" applyAlignment="1">
      <alignment vertical="center" shrinkToFit="1"/>
    </xf>
    <xf numFmtId="0" fontId="60" fillId="19" borderId="86" xfId="0" applyFont="1" applyFill="1" applyBorder="1" applyAlignment="1">
      <alignment vertical="center" shrinkToFit="1"/>
    </xf>
    <xf numFmtId="0" fontId="60" fillId="19" borderId="87" xfId="0" applyFont="1" applyFill="1" applyBorder="1" applyAlignment="1">
      <alignment vertical="center" shrinkToFit="1"/>
    </xf>
    <xf numFmtId="0" fontId="60" fillId="19" borderId="82" xfId="0" applyFont="1" applyFill="1" applyBorder="1" applyAlignment="1">
      <alignment vertical="center" shrinkToFit="1"/>
    </xf>
    <xf numFmtId="0" fontId="60" fillId="19" borderId="80" xfId="0" applyFont="1" applyFill="1" applyBorder="1" applyAlignment="1">
      <alignment vertical="center" shrinkToFit="1"/>
    </xf>
    <xf numFmtId="49" fontId="19" fillId="9" borderId="14" xfId="0" applyNumberFormat="1" applyFont="1" applyFill="1" applyBorder="1" applyAlignment="1">
      <alignment horizontal="center" vertical="center" wrapText="1"/>
    </xf>
    <xf numFmtId="178" fontId="4" fillId="0" borderId="14" xfId="0" applyNumberFormat="1" applyFont="1" applyBorder="1" applyAlignment="1">
      <alignment horizontal="left" vertical="center"/>
    </xf>
    <xf numFmtId="0" fontId="4" fillId="0" borderId="14" xfId="0" applyFont="1" applyBorder="1" applyAlignment="1">
      <alignment horizontal="center" vertical="center"/>
    </xf>
    <xf numFmtId="178" fontId="4" fillId="8" borderId="14" xfId="0" applyNumberFormat="1" applyFont="1" applyFill="1" applyBorder="1" applyAlignment="1">
      <alignment horizontal="left" vertical="center"/>
    </xf>
    <xf numFmtId="0" fontId="19" fillId="9" borderId="14" xfId="0" applyFont="1" applyFill="1" applyBorder="1" applyAlignment="1">
      <alignment horizontal="center" vertical="center" wrapText="1"/>
    </xf>
    <xf numFmtId="0" fontId="0" fillId="0" borderId="0" xfId="0" pivotButton="1"/>
    <xf numFmtId="0" fontId="4" fillId="21" borderId="52" xfId="0" applyFont="1" applyFill="1" applyBorder="1" applyAlignment="1">
      <alignment horizontal="center"/>
    </xf>
    <xf numFmtId="0" fontId="4" fillId="22" borderId="52" xfId="0" applyFont="1" applyFill="1" applyBorder="1" applyAlignment="1">
      <alignment horizontal="center"/>
    </xf>
    <xf numFmtId="171" fontId="56" fillId="0" borderId="82" xfId="0" applyNumberFormat="1" applyFont="1" applyFill="1" applyBorder="1" applyAlignment="1">
      <alignment vertical="center" shrinkToFit="1"/>
    </xf>
    <xf numFmtId="0" fontId="55" fillId="0" borderId="85" xfId="0" applyFont="1" applyFill="1" applyBorder="1" applyAlignment="1">
      <alignment vertical="center" shrinkToFit="1"/>
    </xf>
    <xf numFmtId="0" fontId="55" fillId="0" borderId="87" xfId="0" applyFont="1" applyFill="1" applyBorder="1" applyAlignment="1">
      <alignment vertical="center" shrinkToFit="1"/>
    </xf>
    <xf numFmtId="171" fontId="56" fillId="0" borderId="80" xfId="0" applyNumberFormat="1" applyFont="1" applyFill="1" applyBorder="1" applyAlignment="1">
      <alignment vertical="center" shrinkToFit="1"/>
    </xf>
    <xf numFmtId="0" fontId="55" fillId="0" borderId="83" xfId="0" applyFont="1" applyFill="1" applyBorder="1" applyAlignment="1">
      <alignment vertical="center" shrinkToFit="1"/>
    </xf>
    <xf numFmtId="171" fontId="56" fillId="0" borderId="81" xfId="0" applyNumberFormat="1" applyFont="1" applyFill="1" applyBorder="1" applyAlignment="1">
      <alignment vertical="center" shrinkToFit="1"/>
    </xf>
    <xf numFmtId="0" fontId="55" fillId="0" borderId="84" xfId="0" applyFont="1" applyFill="1" applyBorder="1" applyAlignment="1">
      <alignment vertical="center" shrinkToFit="1"/>
    </xf>
    <xf numFmtId="0" fontId="55" fillId="0" borderId="88" xfId="0" applyFont="1" applyFill="1" applyBorder="1" applyAlignment="1">
      <alignment vertical="center" shrinkToFit="1"/>
    </xf>
    <xf numFmtId="0" fontId="55" fillId="21" borderId="80" xfId="0" applyFont="1" applyFill="1" applyBorder="1" applyAlignment="1">
      <alignment vertical="center" shrinkToFit="1"/>
    </xf>
    <xf numFmtId="0" fontId="55" fillId="21" borderId="81" xfId="0" applyFont="1" applyFill="1" applyBorder="1" applyAlignment="1">
      <alignment vertical="center" shrinkToFit="1"/>
    </xf>
    <xf numFmtId="0" fontId="55" fillId="21" borderId="86" xfId="0" applyFont="1" applyFill="1" applyBorder="1" applyAlignment="1">
      <alignment vertical="center" shrinkToFit="1"/>
    </xf>
    <xf numFmtId="0" fontId="55" fillId="21" borderId="87" xfId="0" applyFont="1" applyFill="1" applyBorder="1" applyAlignment="1">
      <alignment vertical="center" shrinkToFit="1"/>
    </xf>
    <xf numFmtId="0" fontId="55" fillId="20" borderId="87" xfId="0" applyFont="1" applyFill="1" applyBorder="1" applyAlignment="1">
      <alignment vertical="center" shrinkToFit="1"/>
    </xf>
    <xf numFmtId="0" fontId="55" fillId="20" borderId="88" xfId="0" applyFont="1" applyFill="1" applyBorder="1" applyAlignment="1">
      <alignment vertical="center" shrinkToFit="1"/>
    </xf>
    <xf numFmtId="0" fontId="55" fillId="20" borderId="86" xfId="0" applyFont="1" applyFill="1" applyBorder="1" applyAlignment="1">
      <alignment vertical="center" shrinkToFit="1"/>
    </xf>
    <xf numFmtId="0" fontId="60" fillId="22" borderId="87" xfId="0" applyFont="1" applyFill="1" applyBorder="1" applyAlignment="1">
      <alignment vertical="center" shrinkToFit="1"/>
    </xf>
    <xf numFmtId="0" fontId="60" fillId="22" borderId="88" xfId="0" applyFont="1" applyFill="1" applyBorder="1" applyAlignment="1">
      <alignment vertical="center" shrinkToFit="1"/>
    </xf>
    <xf numFmtId="0" fontId="60" fillId="22" borderId="86" xfId="0" applyFont="1" applyFill="1" applyBorder="1" applyAlignment="1">
      <alignment vertical="center" shrinkToFit="1"/>
    </xf>
    <xf numFmtId="0" fontId="0" fillId="19" borderId="0" xfId="0" applyFill="1"/>
    <xf numFmtId="0" fontId="23" fillId="8" borderId="0" xfId="0" applyFont="1" applyFill="1"/>
    <xf numFmtId="0" fontId="5" fillId="0" borderId="0" xfId="0" applyFont="1" applyAlignment="1"/>
    <xf numFmtId="49" fontId="5" fillId="0" borderId="0" xfId="0" applyNumberFormat="1" applyFont="1" applyAlignment="1"/>
    <xf numFmtId="171" fontId="5" fillId="0" borderId="0" xfId="0" applyNumberFormat="1" applyFont="1" applyAlignment="1"/>
    <xf numFmtId="1" fontId="5" fillId="0" borderId="0" xfId="0" applyNumberFormat="1" applyFont="1" applyAlignment="1"/>
    <xf numFmtId="40" fontId="5" fillId="0" borderId="0" xfId="0" applyNumberFormat="1" applyFont="1" applyAlignment="1"/>
    <xf numFmtId="2" fontId="5" fillId="0" borderId="0" xfId="0" applyNumberFormat="1" applyFont="1" applyAlignment="1"/>
    <xf numFmtId="0" fontId="0" fillId="0" borderId="0" xfId="0" applyBorder="1" applyAlignment="1">
      <alignment horizontal="center"/>
    </xf>
    <xf numFmtId="0" fontId="4" fillId="0" borderId="0" xfId="0" applyFont="1" applyBorder="1" applyAlignment="1">
      <alignment horizontal="center"/>
    </xf>
    <xf numFmtId="0" fontId="0" fillId="0" borderId="92" xfId="0" applyBorder="1"/>
    <xf numFmtId="0" fontId="0" fillId="0" borderId="75" xfId="0" applyNumberFormat="1" applyBorder="1"/>
    <xf numFmtId="170" fontId="20" fillId="8" borderId="0" xfId="0" applyNumberFormat="1" applyFont="1" applyFill="1" applyAlignment="1">
      <alignment horizontal="left"/>
    </xf>
    <xf numFmtId="1" fontId="4" fillId="0" borderId="14" xfId="0" applyNumberFormat="1" applyFont="1" applyBorder="1" applyAlignment="1">
      <alignment horizontal="center" vertical="center" shrinkToFit="1"/>
    </xf>
    <xf numFmtId="1" fontId="4" fillId="8" borderId="14" xfId="0" applyNumberFormat="1" applyFont="1" applyFill="1" applyBorder="1" applyAlignment="1">
      <alignment horizontal="center" vertical="center" shrinkToFit="1"/>
    </xf>
    <xf numFmtId="16" fontId="19" fillId="9" borderId="0" xfId="0" applyNumberFormat="1" applyFont="1" applyFill="1" applyAlignment="1">
      <alignment horizontal="left"/>
    </xf>
    <xf numFmtId="0" fontId="19" fillId="9" borderId="0" xfId="0" applyNumberFormat="1" applyFont="1" applyFill="1" applyAlignment="1">
      <alignment horizontal="center"/>
    </xf>
    <xf numFmtId="179" fontId="4" fillId="8" borderId="0" xfId="0" applyNumberFormat="1" applyFont="1" applyFill="1" applyAlignment="1">
      <alignment horizontal="left"/>
    </xf>
    <xf numFmtId="179" fontId="0" fillId="0" borderId="0" xfId="0" applyNumberFormat="1" applyAlignment="1">
      <alignment horizontal="left"/>
    </xf>
    <xf numFmtId="179" fontId="4" fillId="4" borderId="25" xfId="0" applyNumberFormat="1" applyFont="1" applyFill="1" applyBorder="1" applyAlignment="1">
      <alignment horizontal="center" vertical="center"/>
    </xf>
    <xf numFmtId="179" fontId="4" fillId="4" borderId="33" xfId="0" applyNumberFormat="1" applyFont="1" applyFill="1" applyBorder="1" applyAlignment="1">
      <alignment horizontal="center" vertical="center"/>
    </xf>
    <xf numFmtId="0" fontId="0" fillId="0" borderId="71" xfId="0" applyNumberFormat="1" applyBorder="1"/>
    <xf numFmtId="174" fontId="51" fillId="9" borderId="14" xfId="0" applyNumberFormat="1" applyFont="1" applyFill="1" applyBorder="1" applyAlignment="1">
      <alignment horizontal="left" vertical="center" wrapText="1"/>
    </xf>
    <xf numFmtId="0" fontId="57" fillId="9" borderId="22" xfId="0" applyFont="1" applyFill="1" applyBorder="1" applyAlignment="1">
      <alignment horizontal="left" vertical="center"/>
    </xf>
    <xf numFmtId="0" fontId="57" fillId="9" borderId="0" xfId="1" applyFont="1" applyFill="1" applyAlignment="1" applyProtection="1">
      <alignment horizontal="right" vertical="center"/>
    </xf>
    <xf numFmtId="0" fontId="57" fillId="9" borderId="0" xfId="0" applyFont="1" applyFill="1" applyAlignment="1">
      <alignment horizontal="left" vertical="center"/>
    </xf>
    <xf numFmtId="0" fontId="0" fillId="0" borderId="93" xfId="0" applyNumberFormat="1" applyBorder="1"/>
    <xf numFmtId="0" fontId="1" fillId="2" borderId="47" xfId="0" applyFont="1" applyFill="1" applyBorder="1" applyAlignment="1">
      <alignment horizontal="left" vertical="top"/>
    </xf>
    <xf numFmtId="1" fontId="4" fillId="8" borderId="14" xfId="0" quotePrefix="1" applyNumberFormat="1" applyFont="1" applyFill="1" applyBorder="1" applyAlignment="1">
      <alignment horizontal="center" vertical="center" shrinkToFit="1"/>
    </xf>
    <xf numFmtId="0" fontId="4" fillId="0" borderId="14" xfId="0" applyFont="1" applyBorder="1" applyAlignment="1">
      <alignment horizontal="center" vertical="center" wrapText="1"/>
    </xf>
    <xf numFmtId="170" fontId="0" fillId="0" borderId="22" xfId="0" applyNumberFormat="1" applyBorder="1" applyAlignment="1">
      <alignment horizontal="left" vertical="center"/>
    </xf>
    <xf numFmtId="0" fontId="0" fillId="8" borderId="0" xfId="0" applyFill="1" applyBorder="1" applyAlignment="1">
      <alignment vertical="center"/>
    </xf>
    <xf numFmtId="0" fontId="4" fillId="0" borderId="0" xfId="0" applyFont="1" applyBorder="1" applyAlignment="1">
      <alignment horizontal="center" vertical="center"/>
    </xf>
    <xf numFmtId="0" fontId="0" fillId="8" borderId="0" xfId="0" applyFill="1" applyBorder="1"/>
    <xf numFmtId="0" fontId="0" fillId="8" borderId="0" xfId="0" applyFill="1" applyBorder="1" applyAlignment="1">
      <alignment horizontal="center"/>
    </xf>
    <xf numFmtId="177" fontId="19" fillId="9" borderId="14" xfId="0" applyNumberFormat="1" applyFont="1" applyFill="1" applyBorder="1" applyAlignment="1">
      <alignment horizontal="left" vertical="center" wrapText="1"/>
    </xf>
    <xf numFmtId="0" fontId="63" fillId="8" borderId="21" xfId="0" applyFont="1" applyFill="1" applyBorder="1" applyAlignment="1">
      <alignment horizontal="center" vertical="center" shrinkToFit="1"/>
    </xf>
    <xf numFmtId="0" fontId="57" fillId="9" borderId="16" xfId="0" applyFont="1" applyFill="1" applyBorder="1" applyAlignment="1">
      <alignment horizontal="left" vertical="center"/>
    </xf>
    <xf numFmtId="0" fontId="57" fillId="9" borderId="21" xfId="0" applyFont="1" applyFill="1" applyBorder="1" applyAlignment="1">
      <alignment horizontal="left" vertical="center"/>
    </xf>
    <xf numFmtId="0" fontId="57" fillId="9" borderId="0" xfId="0" applyFont="1" applyFill="1" applyBorder="1" applyAlignment="1">
      <alignment horizontal="left" vertical="center"/>
    </xf>
    <xf numFmtId="0" fontId="26" fillId="8" borderId="14" xfId="0" applyFont="1" applyFill="1" applyBorder="1" applyAlignment="1">
      <alignment horizontal="right" vertical="center"/>
    </xf>
    <xf numFmtId="0" fontId="57" fillId="9" borderId="21" xfId="0" applyFont="1" applyFill="1" applyBorder="1" applyAlignment="1">
      <alignment horizontal="center" vertical="center"/>
    </xf>
    <xf numFmtId="0" fontId="57" fillId="9" borderId="22" xfId="0" applyFont="1" applyFill="1" applyBorder="1" applyAlignment="1">
      <alignment horizontal="right" vertical="center"/>
    </xf>
    <xf numFmtId="0" fontId="57" fillId="9" borderId="22" xfId="0" applyFont="1" applyFill="1" applyBorder="1" applyAlignment="1">
      <alignment horizontal="center" vertical="center"/>
    </xf>
    <xf numFmtId="0" fontId="57" fillId="9" borderId="14" xfId="0" applyFont="1" applyFill="1" applyBorder="1" applyAlignment="1">
      <alignment horizontal="right" vertical="center"/>
    </xf>
    <xf numFmtId="0" fontId="25" fillId="8" borderId="21" xfId="0" applyFont="1" applyFill="1" applyBorder="1" applyAlignment="1">
      <alignment horizontal="center" vertical="center" shrinkToFit="1"/>
    </xf>
    <xf numFmtId="0" fontId="25" fillId="8" borderId="16" xfId="0" applyFont="1" applyFill="1" applyBorder="1" applyAlignment="1">
      <alignment horizontal="center" vertical="center" shrinkToFit="1"/>
    </xf>
    <xf numFmtId="0" fontId="63" fillId="8" borderId="14" xfId="0" applyFont="1" applyFill="1" applyBorder="1" applyAlignment="1">
      <alignment horizontal="center" vertical="center" shrinkToFit="1"/>
    </xf>
    <xf numFmtId="0" fontId="55" fillId="0" borderId="70" xfId="0" applyFont="1" applyBorder="1" applyAlignment="1">
      <alignment horizontal="center" vertical="center" shrinkToFit="1"/>
    </xf>
    <xf numFmtId="0" fontId="55" fillId="0" borderId="14" xfId="0" applyFont="1" applyBorder="1" applyAlignment="1">
      <alignment horizontal="center" vertical="center" shrinkToFit="1"/>
    </xf>
    <xf numFmtId="0" fontId="55" fillId="0" borderId="14" xfId="0" quotePrefix="1" applyFont="1" applyBorder="1" applyAlignment="1">
      <alignment horizontal="center" vertical="center" shrinkToFit="1"/>
    </xf>
    <xf numFmtId="0" fontId="64" fillId="9" borderId="21" xfId="0" applyFont="1" applyFill="1" applyBorder="1" applyAlignment="1">
      <alignment horizontal="center" vertical="center"/>
    </xf>
    <xf numFmtId="0" fontId="55" fillId="0" borderId="69" xfId="0" applyFont="1" applyBorder="1" applyAlignment="1">
      <alignment horizontal="center" vertical="center" shrinkToFit="1"/>
    </xf>
    <xf numFmtId="0" fontId="64" fillId="9" borderId="21" xfId="0" applyFont="1" applyFill="1" applyBorder="1" applyAlignment="1">
      <alignment horizontal="center" vertical="center" wrapText="1"/>
    </xf>
    <xf numFmtId="0" fontId="55" fillId="0" borderId="96" xfId="0" applyFont="1" applyBorder="1" applyAlignment="1">
      <alignment horizontal="center" vertical="center" shrinkToFit="1"/>
    </xf>
    <xf numFmtId="0" fontId="55" fillId="0" borderId="97" xfId="0" applyFont="1" applyBorder="1" applyAlignment="1">
      <alignment horizontal="center" vertical="center" shrinkToFit="1"/>
    </xf>
    <xf numFmtId="0" fontId="55" fillId="0" borderId="98" xfId="0" applyFont="1" applyBorder="1" applyAlignment="1">
      <alignment horizontal="center" vertical="center" shrinkToFit="1"/>
    </xf>
    <xf numFmtId="0" fontId="55" fillId="0" borderId="96" xfId="0" quotePrefix="1" applyFont="1" applyBorder="1" applyAlignment="1">
      <alignment horizontal="center" vertical="center" shrinkToFit="1"/>
    </xf>
    <xf numFmtId="2" fontId="55" fillId="0" borderId="16" xfId="0" applyNumberFormat="1" applyFont="1" applyBorder="1" applyAlignment="1">
      <alignment horizontal="center" vertical="center" shrinkToFit="1"/>
    </xf>
    <xf numFmtId="2" fontId="55" fillId="0" borderId="94" xfId="0" applyNumberFormat="1" applyFont="1" applyBorder="1" applyAlignment="1">
      <alignment horizontal="center" vertical="center" shrinkToFit="1"/>
    </xf>
    <xf numFmtId="2" fontId="55" fillId="0" borderId="95" xfId="0" applyNumberFormat="1" applyFont="1" applyBorder="1" applyAlignment="1">
      <alignment horizontal="center" vertical="center" shrinkToFit="1"/>
    </xf>
    <xf numFmtId="2" fontId="55" fillId="0" borderId="16" xfId="0" quotePrefix="1" applyNumberFormat="1" applyFont="1" applyBorder="1" applyAlignment="1">
      <alignment horizontal="center" vertical="center" shrinkToFit="1"/>
    </xf>
    <xf numFmtId="0" fontId="26" fillId="0" borderId="96" xfId="0" applyFont="1" applyBorder="1" applyAlignment="1">
      <alignment horizontal="center" vertical="center" shrinkToFit="1"/>
    </xf>
    <xf numFmtId="0" fontId="26" fillId="0" borderId="97" xfId="0" applyFont="1" applyBorder="1" applyAlignment="1">
      <alignment horizontal="center" vertical="center" shrinkToFit="1"/>
    </xf>
    <xf numFmtId="0" fontId="40" fillId="0" borderId="98" xfId="0" applyFont="1" applyBorder="1" applyAlignment="1">
      <alignment horizontal="center" vertical="center" shrinkToFit="1"/>
    </xf>
    <xf numFmtId="0" fontId="40" fillId="0" borderId="96" xfId="0" applyFont="1" applyBorder="1" applyAlignment="1">
      <alignment horizontal="center" vertical="center" shrinkToFit="1"/>
    </xf>
    <xf numFmtId="0" fontId="40" fillId="0" borderId="96" xfId="0" quotePrefix="1" applyFont="1" applyBorder="1" applyAlignment="1">
      <alignment horizontal="center" vertical="center" shrinkToFit="1"/>
    </xf>
    <xf numFmtId="2" fontId="26" fillId="8" borderId="14" xfId="0" applyNumberFormat="1" applyFont="1" applyFill="1" applyBorder="1" applyAlignment="1">
      <alignment horizontal="right" vertical="center" shrinkToFit="1"/>
    </xf>
    <xf numFmtId="0" fontId="25" fillId="8" borderId="16" xfId="0" applyFont="1" applyFill="1" applyBorder="1" applyAlignment="1">
      <alignment vertical="center"/>
    </xf>
    <xf numFmtId="0" fontId="19" fillId="9" borderId="16" xfId="0" applyFont="1" applyFill="1" applyBorder="1" applyAlignment="1">
      <alignment vertical="center"/>
    </xf>
    <xf numFmtId="0" fontId="19" fillId="9" borderId="16" xfId="0" applyFont="1" applyFill="1" applyBorder="1" applyAlignment="1">
      <alignment horizontal="center" vertical="center" shrinkToFit="1"/>
    </xf>
    <xf numFmtId="0" fontId="65" fillId="9" borderId="21" xfId="0" applyFont="1" applyFill="1" applyBorder="1" applyAlignment="1">
      <alignment horizontal="center" vertical="center" shrinkToFit="1"/>
    </xf>
    <xf numFmtId="0" fontId="19" fillId="9" borderId="21" xfId="0" applyFont="1" applyFill="1" applyBorder="1" applyAlignment="1">
      <alignment horizontal="center" vertical="center" shrinkToFit="1"/>
    </xf>
    <xf numFmtId="0" fontId="19" fillId="9" borderId="8" xfId="0" applyFont="1" applyFill="1" applyBorder="1" applyAlignment="1">
      <alignment horizontal="center" vertical="center" shrinkToFit="1"/>
    </xf>
    <xf numFmtId="0" fontId="65" fillId="9" borderId="8" xfId="0" applyFont="1" applyFill="1" applyBorder="1" applyAlignment="1">
      <alignment horizontal="center" vertical="center" shrinkToFit="1"/>
    </xf>
    <xf numFmtId="0" fontId="57" fillId="9" borderId="9" xfId="0" applyFont="1" applyFill="1" applyBorder="1" applyAlignment="1">
      <alignment horizontal="right" vertical="center"/>
    </xf>
    <xf numFmtId="0" fontId="57" fillId="9" borderId="14" xfId="0" applyFont="1" applyFill="1" applyBorder="1" applyAlignment="1">
      <alignment vertical="center"/>
    </xf>
    <xf numFmtId="0" fontId="25" fillId="8" borderId="21" xfId="0" applyFont="1" applyFill="1" applyBorder="1" applyAlignment="1">
      <alignment vertical="center"/>
    </xf>
    <xf numFmtId="0" fontId="26" fillId="8" borderId="21" xfId="0" applyFont="1" applyFill="1" applyBorder="1" applyAlignment="1">
      <alignment horizontal="right" vertical="center"/>
    </xf>
    <xf numFmtId="0" fontId="55" fillId="8" borderId="0" xfId="0" applyFont="1" applyFill="1" applyBorder="1" applyAlignment="1">
      <alignment vertical="center" shrinkToFit="1"/>
    </xf>
    <xf numFmtId="0" fontId="57" fillId="9" borderId="16" xfId="0" applyFont="1" applyFill="1" applyBorder="1" applyAlignment="1">
      <alignment horizontal="center" vertical="center"/>
    </xf>
    <xf numFmtId="0" fontId="59" fillId="9" borderId="18" xfId="0" applyFont="1" applyFill="1" applyBorder="1" applyAlignment="1">
      <alignment horizontal="center" vertical="center" wrapText="1"/>
    </xf>
    <xf numFmtId="0" fontId="63" fillId="8" borderId="16" xfId="0" applyFont="1" applyFill="1" applyBorder="1" applyAlignment="1">
      <alignment horizontal="left" vertical="center" shrinkToFit="1"/>
    </xf>
    <xf numFmtId="0" fontId="63" fillId="8" borderId="21" xfId="0" applyFont="1" applyFill="1" applyBorder="1" applyAlignment="1">
      <alignment horizontal="left" vertical="center" shrinkToFit="1"/>
    </xf>
    <xf numFmtId="0" fontId="63" fillId="8" borderId="22" xfId="0" applyFont="1" applyFill="1" applyBorder="1" applyAlignment="1">
      <alignment horizontal="left" vertical="center" shrinkToFit="1"/>
    </xf>
    <xf numFmtId="0" fontId="57" fillId="9" borderId="16" xfId="0" applyFont="1" applyFill="1" applyBorder="1" applyAlignment="1">
      <alignment horizontal="left" vertical="center"/>
    </xf>
    <xf numFmtId="0" fontId="19" fillId="9" borderId="14" xfId="0" applyNumberFormat="1" applyFont="1" applyFill="1" applyBorder="1"/>
    <xf numFmtId="0" fontId="4" fillId="6" borderId="9" xfId="0" applyFont="1" applyFill="1" applyBorder="1"/>
    <xf numFmtId="0" fontId="4" fillId="6" borderId="10" xfId="0" applyFont="1" applyFill="1" applyBorder="1"/>
    <xf numFmtId="0" fontId="4" fillId="6" borderId="13" xfId="0" applyFont="1" applyFill="1" applyBorder="1"/>
    <xf numFmtId="0" fontId="4" fillId="6" borderId="105" xfId="0" applyFont="1" applyFill="1" applyBorder="1" applyAlignment="1">
      <alignment vertical="center"/>
    </xf>
    <xf numFmtId="0" fontId="4" fillId="6" borderId="106" xfId="0" applyFont="1" applyFill="1" applyBorder="1" applyAlignment="1">
      <alignment vertical="center"/>
    </xf>
    <xf numFmtId="0" fontId="4" fillId="6" borderId="107" xfId="0" applyFont="1" applyFill="1" applyBorder="1" applyAlignment="1">
      <alignment vertical="center"/>
    </xf>
    <xf numFmtId="0" fontId="4" fillId="6" borderId="9" xfId="0" applyFont="1" applyFill="1" applyBorder="1" applyAlignment="1">
      <alignment vertical="center"/>
    </xf>
    <xf numFmtId="0" fontId="1" fillId="6" borderId="104" xfId="0" applyFont="1" applyFill="1" applyBorder="1" applyAlignment="1">
      <alignment horizontal="left" vertical="top"/>
    </xf>
    <xf numFmtId="0" fontId="1" fillId="6" borderId="108" xfId="0" applyFont="1" applyFill="1" applyBorder="1" applyAlignment="1">
      <alignment horizontal="center" vertical="top"/>
    </xf>
    <xf numFmtId="0" fontId="4" fillId="6" borderId="103" xfId="0" applyFont="1" applyFill="1" applyBorder="1" applyAlignment="1">
      <alignment horizontal="center" vertical="center"/>
    </xf>
    <xf numFmtId="0" fontId="4" fillId="6" borderId="102" xfId="0" applyFont="1" applyFill="1" applyBorder="1" applyAlignment="1">
      <alignment horizontal="center" vertical="center"/>
    </xf>
    <xf numFmtId="0" fontId="4" fillId="0" borderId="15" xfId="0" applyFont="1" applyBorder="1" applyAlignment="1">
      <alignment horizontal="center"/>
    </xf>
    <xf numFmtId="0" fontId="4" fillId="0" borderId="62" xfId="0" applyFont="1" applyBorder="1" applyAlignment="1">
      <alignment horizontal="center"/>
    </xf>
    <xf numFmtId="0" fontId="4" fillId="0" borderId="20" xfId="0" applyFont="1" applyBorder="1" applyAlignment="1">
      <alignment horizontal="center"/>
    </xf>
    <xf numFmtId="0" fontId="4" fillId="0" borderId="59" xfId="0" applyFont="1" applyBorder="1" applyAlignment="1">
      <alignment horizontal="center"/>
    </xf>
    <xf numFmtId="0" fontId="1" fillId="0" borderId="15" xfId="0" applyFont="1" applyBorder="1" applyAlignment="1">
      <alignment horizontal="center" vertical="center"/>
    </xf>
    <xf numFmtId="0" fontId="1" fillId="0" borderId="0" xfId="0" applyFont="1" applyBorder="1" applyAlignment="1">
      <alignment horizontal="center" vertical="center"/>
    </xf>
    <xf numFmtId="0" fontId="1" fillId="0" borderId="62" xfId="0" applyFont="1" applyBorder="1" applyAlignment="1">
      <alignment horizontal="center" vertical="center"/>
    </xf>
    <xf numFmtId="0" fontId="1" fillId="0" borderId="20" xfId="0" applyFont="1" applyBorder="1" applyAlignment="1">
      <alignment horizontal="center" vertical="center"/>
    </xf>
    <xf numFmtId="0" fontId="1" fillId="0" borderId="59" xfId="0" applyFont="1" applyBorder="1" applyAlignment="1">
      <alignment horizontal="center" vertical="center"/>
    </xf>
    <xf numFmtId="2" fontId="4" fillId="0" borderId="16" xfId="0" applyNumberFormat="1" applyFont="1" applyBorder="1"/>
    <xf numFmtId="179" fontId="19" fillId="9" borderId="19" xfId="0" applyNumberFormat="1" applyFont="1" applyFill="1" applyBorder="1" applyAlignment="1">
      <alignment horizontal="center" vertical="center"/>
    </xf>
    <xf numFmtId="179" fontId="4" fillId="8" borderId="0" xfId="0" applyNumberFormat="1" applyFont="1" applyFill="1" applyAlignment="1">
      <alignment horizontal="center"/>
    </xf>
    <xf numFmtId="179" fontId="4" fillId="8" borderId="19" xfId="0" applyNumberFormat="1" applyFont="1" applyFill="1" applyBorder="1" applyAlignment="1">
      <alignment horizontal="center"/>
    </xf>
    <xf numFmtId="179" fontId="0" fillId="0" borderId="0" xfId="0" applyNumberFormat="1"/>
    <xf numFmtId="0" fontId="0" fillId="0" borderId="109" xfId="0" applyBorder="1"/>
    <xf numFmtId="0" fontId="0" fillId="0" borderId="93" xfId="0" applyBorder="1"/>
    <xf numFmtId="0" fontId="0" fillId="0" borderId="73" xfId="0" applyNumberFormat="1" applyBorder="1"/>
    <xf numFmtId="0" fontId="0" fillId="0" borderId="110" xfId="0" applyNumberFormat="1" applyBorder="1"/>
    <xf numFmtId="164" fontId="20" fillId="0" borderId="54" xfId="0" applyNumberFormat="1" applyFont="1" applyBorder="1" applyAlignment="1">
      <alignment horizontal="right"/>
    </xf>
    <xf numFmtId="164" fontId="20" fillId="0" borderId="31" xfId="0" applyNumberFormat="1" applyFont="1" applyBorder="1" applyAlignment="1">
      <alignment horizontal="right"/>
    </xf>
    <xf numFmtId="164" fontId="20" fillId="0" borderId="64" xfId="0" applyNumberFormat="1" applyFont="1" applyBorder="1" applyAlignment="1">
      <alignment horizontal="right"/>
    </xf>
    <xf numFmtId="164" fontId="20" fillId="0" borderId="55" xfId="0" applyNumberFormat="1" applyFont="1" applyBorder="1" applyAlignment="1">
      <alignment horizontal="right"/>
    </xf>
    <xf numFmtId="164" fontId="20" fillId="0" borderId="61" xfId="0" applyNumberFormat="1" applyFont="1" applyBorder="1" applyAlignment="1">
      <alignment horizontal="right"/>
    </xf>
    <xf numFmtId="164" fontId="4" fillId="0" borderId="55" xfId="0" applyNumberFormat="1" applyFont="1" applyBorder="1" applyAlignment="1">
      <alignment horizontal="right"/>
    </xf>
    <xf numFmtId="1" fontId="0" fillId="3" borderId="0" xfId="0" applyNumberFormat="1" applyFill="1" applyAlignment="1">
      <alignment horizontal="center"/>
    </xf>
    <xf numFmtId="1" fontId="4" fillId="5" borderId="0" xfId="0" applyNumberFormat="1" applyFont="1" applyFill="1" applyAlignment="1">
      <alignment horizontal="left"/>
    </xf>
    <xf numFmtId="1" fontId="0" fillId="5" borderId="0" xfId="0" applyNumberFormat="1" applyFill="1" applyAlignment="1">
      <alignment horizontal="left"/>
    </xf>
    <xf numFmtId="0" fontId="4" fillId="5" borderId="0" xfId="0" applyFont="1" applyFill="1" applyAlignment="1">
      <alignment horizontal="center"/>
    </xf>
    <xf numFmtId="1" fontId="0" fillId="5" borderId="0" xfId="0" applyNumberFormat="1" applyFill="1" applyAlignment="1">
      <alignment horizontal="center"/>
    </xf>
    <xf numFmtId="0" fontId="4" fillId="6" borderId="6" xfId="0" applyFont="1" applyFill="1" applyBorder="1" applyAlignment="1">
      <alignment horizontal="center" vertical="center"/>
    </xf>
    <xf numFmtId="0" fontId="4" fillId="6" borderId="0" xfId="0" applyFont="1" applyFill="1" applyBorder="1" applyAlignment="1">
      <alignment horizontal="center" vertical="center"/>
    </xf>
    <xf numFmtId="0" fontId="1" fillId="6" borderId="0" xfId="0" applyFont="1" applyFill="1" applyBorder="1" applyAlignment="1">
      <alignment horizontal="center" vertical="top" wrapText="1"/>
    </xf>
    <xf numFmtId="0" fontId="0" fillId="19" borderId="0" xfId="0" applyFill="1" applyAlignment="1">
      <alignment horizontal="left"/>
    </xf>
    <xf numFmtId="0" fontId="66" fillId="8" borderId="0" xfId="0" applyFont="1" applyFill="1" applyAlignment="1">
      <alignment horizontal="left" vertical="center"/>
    </xf>
    <xf numFmtId="0" fontId="63" fillId="8" borderId="22" xfId="0" applyFont="1" applyFill="1" applyBorder="1" applyAlignment="1">
      <alignment horizontal="center" vertical="center" shrinkToFit="1"/>
    </xf>
    <xf numFmtId="0" fontId="67" fillId="8" borderId="0" xfId="0" applyFont="1" applyFill="1" applyAlignment="1">
      <alignment horizontal="center" vertical="center"/>
    </xf>
    <xf numFmtId="0" fontId="4" fillId="8" borderId="16" xfId="0" applyFont="1" applyFill="1" applyBorder="1"/>
    <xf numFmtId="0" fontId="4" fillId="8" borderId="14" xfId="0" applyFont="1" applyFill="1" applyBorder="1"/>
    <xf numFmtId="171" fontId="4" fillId="8" borderId="8" xfId="0" applyNumberFormat="1" applyFont="1" applyFill="1" applyBorder="1"/>
    <xf numFmtId="171" fontId="4" fillId="8" borderId="12" xfId="0" applyNumberFormat="1" applyFont="1" applyFill="1" applyBorder="1"/>
    <xf numFmtId="0" fontId="4" fillId="8" borderId="14" xfId="0" applyNumberFormat="1" applyFont="1" applyFill="1" applyBorder="1" applyAlignment="1">
      <alignment horizontal="center"/>
    </xf>
    <xf numFmtId="2" fontId="4" fillId="8" borderId="14" xfId="0" applyNumberFormat="1" applyFont="1" applyFill="1" applyBorder="1" applyAlignment="1">
      <alignment horizontal="center"/>
    </xf>
    <xf numFmtId="0" fontId="19" fillId="9" borderId="0" xfId="0" applyFont="1" applyFill="1" applyAlignment="1">
      <alignment vertical="center"/>
    </xf>
    <xf numFmtId="0" fontId="24" fillId="11" borderId="14" xfId="0" applyFont="1" applyFill="1" applyBorder="1" applyAlignment="1">
      <alignment horizontal="center"/>
    </xf>
    <xf numFmtId="0" fontId="0" fillId="4" borderId="15" xfId="0" applyFill="1" applyBorder="1" applyAlignment="1">
      <alignment horizontal="center"/>
    </xf>
    <xf numFmtId="171" fontId="1" fillId="4" borderId="55" xfId="0" applyNumberFormat="1" applyFont="1" applyFill="1" applyBorder="1" applyAlignment="1">
      <alignment vertical="center"/>
    </xf>
    <xf numFmtId="2" fontId="4" fillId="4" borderId="2" xfId="0" applyNumberFormat="1" applyFont="1" applyFill="1" applyBorder="1" applyAlignment="1">
      <alignment vertical="center"/>
    </xf>
    <xf numFmtId="0" fontId="1" fillId="4" borderId="111" xfId="0" applyFont="1" applyFill="1" applyBorder="1" applyAlignment="1">
      <alignment horizontal="center" vertical="center"/>
    </xf>
    <xf numFmtId="171" fontId="1" fillId="4" borderId="19" xfId="0" applyNumberFormat="1" applyFont="1" applyFill="1" applyBorder="1" applyAlignment="1">
      <alignment horizontal="center" vertical="center"/>
    </xf>
    <xf numFmtId="0" fontId="4" fillId="4" borderId="112" xfId="0" applyFont="1" applyFill="1" applyBorder="1" applyAlignment="1">
      <alignment horizontal="center" vertical="center"/>
    </xf>
    <xf numFmtId="0" fontId="5" fillId="2" borderId="41" xfId="0" applyFont="1" applyFill="1" applyBorder="1" applyAlignment="1">
      <alignment vertical="center"/>
    </xf>
    <xf numFmtId="0" fontId="4" fillId="0" borderId="59" xfId="0" applyFont="1" applyBorder="1" applyAlignment="1">
      <alignment horizontal="left"/>
    </xf>
    <xf numFmtId="171" fontId="4" fillId="0" borderId="60" xfId="0" applyNumberFormat="1" applyFont="1" applyBorder="1" applyAlignment="1">
      <alignment horizontal="center"/>
    </xf>
    <xf numFmtId="1" fontId="4" fillId="0" borderId="59" xfId="0" applyNumberFormat="1" applyFont="1" applyBorder="1" applyAlignment="1">
      <alignment horizontal="center"/>
    </xf>
    <xf numFmtId="171" fontId="4" fillId="0" borderId="59" xfId="0" applyNumberFormat="1" applyFont="1" applyBorder="1" applyAlignment="1">
      <alignment horizontal="center"/>
    </xf>
    <xf numFmtId="1" fontId="4" fillId="0" borderId="61" xfId="0" applyNumberFormat="1" applyFont="1" applyBorder="1" applyAlignment="1">
      <alignment horizontal="center"/>
    </xf>
    <xf numFmtId="0" fontId="58" fillId="9" borderId="57" xfId="0" applyFont="1" applyFill="1" applyBorder="1" applyAlignment="1">
      <alignment horizontal="center" vertical="center" textRotation="90"/>
    </xf>
    <xf numFmtId="0" fontId="58" fillId="9" borderId="50" xfId="0" applyFont="1" applyFill="1" applyBorder="1" applyAlignment="1">
      <alignment horizontal="center" vertical="center" textRotation="90"/>
    </xf>
    <xf numFmtId="0" fontId="58" fillId="9" borderId="53" xfId="0" applyFont="1" applyFill="1" applyBorder="1" applyAlignment="1">
      <alignment horizontal="center" vertical="center" textRotation="90"/>
    </xf>
    <xf numFmtId="0" fontId="58" fillId="9" borderId="15" xfId="0" applyFont="1" applyFill="1" applyBorder="1" applyAlignment="1">
      <alignment horizontal="center" vertical="center" textRotation="90"/>
    </xf>
    <xf numFmtId="0" fontId="58" fillId="9" borderId="0" xfId="0" applyFont="1" applyFill="1" applyAlignment="1">
      <alignment horizontal="center" vertical="center" textRotation="90"/>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8" borderId="3" xfId="0" applyFont="1" applyFill="1" applyBorder="1" applyAlignment="1">
      <alignment horizontal="center" vertical="top"/>
    </xf>
    <xf numFmtId="0" fontId="4" fillId="8" borderId="5" xfId="0" applyFont="1" applyFill="1" applyBorder="1" applyAlignment="1">
      <alignment horizontal="center" vertical="top"/>
    </xf>
    <xf numFmtId="0" fontId="29" fillId="9" borderId="16" xfId="0" applyFont="1" applyFill="1" applyBorder="1" applyAlignment="1">
      <alignment vertical="center"/>
    </xf>
    <xf numFmtId="0" fontId="29" fillId="9" borderId="21" xfId="0" applyFont="1" applyFill="1" applyBorder="1" applyAlignment="1">
      <alignment vertical="center"/>
    </xf>
    <xf numFmtId="0" fontId="29" fillId="9" borderId="22" xfId="0" applyFont="1" applyFill="1" applyBorder="1" applyAlignment="1">
      <alignment vertical="center"/>
    </xf>
    <xf numFmtId="0" fontId="0" fillId="8" borderId="8" xfId="0" applyFill="1" applyBorder="1" applyAlignment="1">
      <alignment horizontal="center"/>
    </xf>
    <xf numFmtId="0" fontId="26" fillId="8" borderId="16" xfId="0" applyFont="1" applyFill="1" applyBorder="1" applyAlignment="1">
      <alignment horizontal="center" vertical="center"/>
    </xf>
    <xf numFmtId="0" fontId="26" fillId="8" borderId="22" xfId="0" applyFont="1" applyFill="1" applyBorder="1" applyAlignment="1">
      <alignment horizontal="center" vertical="center"/>
    </xf>
    <xf numFmtId="0" fontId="57" fillId="9" borderId="21" xfId="0" applyFont="1" applyFill="1" applyBorder="1" applyAlignment="1">
      <alignment horizontal="center" vertical="center"/>
    </xf>
    <xf numFmtId="0" fontId="26" fillId="8" borderId="21" xfId="0" applyFont="1" applyFill="1" applyBorder="1" applyAlignment="1">
      <alignment horizontal="center" vertical="center"/>
    </xf>
    <xf numFmtId="0" fontId="25" fillId="8" borderId="7" xfId="0" applyFont="1" applyFill="1" applyBorder="1" applyAlignment="1">
      <alignment horizontal="center" vertical="center" shrinkToFit="1"/>
    </xf>
    <xf numFmtId="0" fontId="25" fillId="8" borderId="8" xfId="0" applyFont="1" applyFill="1" applyBorder="1" applyAlignment="1">
      <alignment horizontal="center" vertical="center" shrinkToFit="1"/>
    </xf>
    <xf numFmtId="0" fontId="25" fillId="8" borderId="9" xfId="0" applyFont="1" applyFill="1" applyBorder="1" applyAlignment="1">
      <alignment horizontal="center" vertical="center" shrinkToFit="1"/>
    </xf>
    <xf numFmtId="0" fontId="25" fillId="8" borderId="11" xfId="0" applyFont="1" applyFill="1" applyBorder="1" applyAlignment="1">
      <alignment horizontal="center" vertical="center" shrinkToFit="1"/>
    </xf>
    <xf numFmtId="0" fontId="25" fillId="8" borderId="12" xfId="0" applyFont="1" applyFill="1" applyBorder="1" applyAlignment="1">
      <alignment horizontal="center" vertical="center" shrinkToFit="1"/>
    </xf>
    <xf numFmtId="0" fontId="25" fillId="8" borderId="13" xfId="0" applyFont="1" applyFill="1" applyBorder="1" applyAlignment="1">
      <alignment horizontal="center" vertical="center" shrinkToFit="1"/>
    </xf>
    <xf numFmtId="0" fontId="57" fillId="9" borderId="16" xfId="0" quotePrefix="1" applyFont="1" applyFill="1" applyBorder="1" applyAlignment="1">
      <alignment horizontal="center" vertical="center" shrinkToFit="1"/>
    </xf>
    <xf numFmtId="0" fontId="57" fillId="9" borderId="22" xfId="0" quotePrefix="1" applyFont="1" applyFill="1" applyBorder="1" applyAlignment="1">
      <alignment horizontal="center" vertical="center" shrinkToFit="1"/>
    </xf>
    <xf numFmtId="0" fontId="57" fillId="9" borderId="16" xfId="0" applyFont="1" applyFill="1" applyBorder="1" applyAlignment="1">
      <alignment horizontal="center" vertical="center"/>
    </xf>
    <xf numFmtId="0" fontId="57" fillId="9" borderId="22" xfId="0" applyFont="1" applyFill="1" applyBorder="1" applyAlignment="1">
      <alignment horizontal="center" vertical="center"/>
    </xf>
    <xf numFmtId="0" fontId="25" fillId="8" borderId="16" xfId="0" applyFont="1" applyFill="1" applyBorder="1" applyAlignment="1">
      <alignment horizontal="center" vertical="center" shrinkToFit="1"/>
    </xf>
    <xf numFmtId="0" fontId="25" fillId="8" borderId="22" xfId="0" applyFont="1" applyFill="1" applyBorder="1" applyAlignment="1">
      <alignment horizontal="center" vertical="center" shrinkToFit="1"/>
    </xf>
    <xf numFmtId="0" fontId="57" fillId="9" borderId="0" xfId="0" applyFont="1" applyFill="1" applyBorder="1" applyAlignment="1">
      <alignment horizontal="right" vertical="center"/>
    </xf>
    <xf numFmtId="0" fontId="63" fillId="8" borderId="16" xfId="0" applyFont="1" applyFill="1" applyBorder="1" applyAlignment="1">
      <alignment horizontal="center" vertical="center" shrinkToFit="1"/>
    </xf>
    <xf numFmtId="0" fontId="63" fillId="8" borderId="21" xfId="0" applyFont="1" applyFill="1" applyBorder="1" applyAlignment="1">
      <alignment horizontal="center" vertical="center" shrinkToFit="1"/>
    </xf>
    <xf numFmtId="0" fontId="57" fillId="9" borderId="16" xfId="0" applyFont="1" applyFill="1" applyBorder="1" applyAlignment="1">
      <alignment horizontal="left" vertical="center"/>
    </xf>
    <xf numFmtId="0" fontId="57" fillId="9" borderId="21" xfId="0" applyFont="1" applyFill="1" applyBorder="1" applyAlignment="1">
      <alignment horizontal="left" vertical="center"/>
    </xf>
    <xf numFmtId="0" fontId="57" fillId="9" borderId="22" xfId="0" applyFont="1" applyFill="1" applyBorder="1" applyAlignment="1">
      <alignment horizontal="left" vertical="center"/>
    </xf>
    <xf numFmtId="0" fontId="18" fillId="9" borderId="90" xfId="0" applyFont="1" applyFill="1" applyBorder="1" applyAlignment="1">
      <alignment vertical="center"/>
    </xf>
    <xf numFmtId="0" fontId="18" fillId="9" borderId="91" xfId="0" applyFont="1" applyFill="1" applyBorder="1" applyAlignment="1">
      <alignment vertical="center"/>
    </xf>
    <xf numFmtId="0" fontId="63" fillId="8" borderId="16" xfId="0" quotePrefix="1" applyFont="1" applyFill="1" applyBorder="1" applyAlignment="1">
      <alignment horizontal="center" vertical="center" shrinkToFit="1"/>
    </xf>
    <xf numFmtId="0" fontId="63" fillId="8" borderId="22" xfId="0" applyFont="1" applyFill="1" applyBorder="1" applyAlignment="1">
      <alignment horizontal="center" vertical="center" shrinkToFit="1"/>
    </xf>
    <xf numFmtId="8" fontId="25" fillId="0" borderId="95" xfId="0" applyNumberFormat="1" applyFont="1" applyBorder="1" applyAlignment="1">
      <alignment horizontal="left" vertical="center"/>
    </xf>
    <xf numFmtId="8" fontId="25" fillId="0" borderId="101" xfId="0" applyNumberFormat="1" applyFont="1" applyBorder="1" applyAlignment="1">
      <alignment horizontal="left" vertical="center"/>
    </xf>
    <xf numFmtId="0" fontId="25" fillId="8" borderId="21" xfId="0" applyFont="1" applyFill="1" applyBorder="1" applyAlignment="1">
      <alignment horizontal="center" vertical="center" shrinkToFit="1"/>
    </xf>
    <xf numFmtId="8" fontId="25" fillId="0" borderId="16" xfId="0" applyNumberFormat="1" applyFont="1" applyBorder="1" applyAlignment="1">
      <alignment horizontal="left" vertical="center"/>
    </xf>
    <xf numFmtId="8" fontId="25" fillId="0" borderId="99" xfId="0" applyNumberFormat="1" applyFont="1" applyBorder="1" applyAlignment="1">
      <alignment horizontal="left" vertical="center"/>
    </xf>
    <xf numFmtId="0" fontId="59" fillId="9" borderId="3" xfId="0" applyFont="1" applyFill="1" applyBorder="1" applyAlignment="1">
      <alignment horizontal="center" vertical="center" textRotation="90"/>
    </xf>
    <xf numFmtId="0" fontId="59" fillId="9" borderId="4" xfId="0" applyFont="1" applyFill="1" applyBorder="1" applyAlignment="1">
      <alignment horizontal="center" vertical="center" textRotation="90"/>
    </xf>
    <xf numFmtId="0" fontId="59" fillId="9" borderId="5" xfId="0" applyFont="1" applyFill="1" applyBorder="1" applyAlignment="1">
      <alignment horizontal="center" vertical="center" textRotation="90"/>
    </xf>
    <xf numFmtId="0" fontId="26" fillId="0" borderId="16" xfId="0" applyFont="1" applyBorder="1" applyAlignment="1">
      <alignment horizontal="left" vertical="center" shrinkToFit="1"/>
    </xf>
    <xf numFmtId="0" fontId="26" fillId="0" borderId="99" xfId="0" applyFont="1" applyBorder="1" applyAlignment="1">
      <alignment horizontal="left" vertical="center" shrinkToFit="1"/>
    </xf>
    <xf numFmtId="8" fontId="26" fillId="0" borderId="16" xfId="0" applyNumberFormat="1" applyFont="1" applyBorder="1" applyAlignment="1">
      <alignment horizontal="left" vertical="center"/>
    </xf>
    <xf numFmtId="8" fontId="26" fillId="0" borderId="99" xfId="0" applyNumberFormat="1" applyFont="1" applyBorder="1" applyAlignment="1">
      <alignment horizontal="left" vertical="center"/>
    </xf>
    <xf numFmtId="8" fontId="26" fillId="0" borderId="94" xfId="0" applyNumberFormat="1" applyFont="1" applyBorder="1" applyAlignment="1">
      <alignment horizontal="left" vertical="center"/>
    </xf>
    <xf numFmtId="8" fontId="26" fillId="0" borderId="100" xfId="0" applyNumberFormat="1" applyFont="1" applyBorder="1" applyAlignment="1">
      <alignment horizontal="left" vertical="center"/>
    </xf>
  </cellXfs>
  <cellStyles count="2">
    <cellStyle name="Hyperlink" xfId="1" builtinId="8"/>
    <cellStyle name="Normal" xfId="0" builtinId="0"/>
  </cellStyles>
  <dxfs count="229">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theme="9" tint="0.79998168889431442"/>
      </font>
    </dxf>
    <dxf>
      <font>
        <color theme="9" tint="0.79998168889431442"/>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chrisgriffinsays.co.uk/wp-content/uploads/2012/10/bet2.png" TargetMode="External"/><Relationship Id="rId7" Type="http://schemas.openxmlformats.org/officeDocument/2006/relationships/hyperlink" Target="http://www.chrisgriffinsays.co.uk/wp-content/uploads/2012/10/bet4.png" TargetMode="External"/><Relationship Id="rId2" Type="http://schemas.openxmlformats.org/officeDocument/2006/relationships/image" Target="../media/image4.png"/><Relationship Id="rId1" Type="http://schemas.openxmlformats.org/officeDocument/2006/relationships/hyperlink" Target="http://www.chrisgriffinsays.co.uk/wp-content/uploads/2012/10/bet1.png" TargetMode="External"/><Relationship Id="rId6" Type="http://schemas.openxmlformats.org/officeDocument/2006/relationships/image" Target="../media/image6.png"/><Relationship Id="rId5" Type="http://schemas.openxmlformats.org/officeDocument/2006/relationships/hyperlink" Target="http://www.chrisgriffinsays.co.uk/wp-content/uploads/2012/10/bet3.png" TargetMode="External"/><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0</xdr:row>
      <xdr:rowOff>746760</xdr:rowOff>
    </xdr:from>
    <xdr:to>
      <xdr:col>0</xdr:col>
      <xdr:colOff>3284220</xdr:colOff>
      <xdr:row>8</xdr:row>
      <xdr:rowOff>0</xdr:rowOff>
    </xdr:to>
    <xdr:pic>
      <xdr:nvPicPr>
        <xdr:cNvPr id="1637390" name="Picture 2">
          <a:extLst>
            <a:ext uri="{FF2B5EF4-FFF2-40B4-BE49-F238E27FC236}">
              <a16:creationId xmlns:a16="http://schemas.microsoft.com/office/drawing/2014/main" id="{00000000-0008-0000-0000-00000EFC1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746760"/>
          <a:ext cx="3185160" cy="3108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195792</xdr:colOff>
      <xdr:row>0</xdr:row>
      <xdr:rowOff>137583</xdr:rowOff>
    </xdr:from>
    <xdr:to>
      <xdr:col>6</xdr:col>
      <xdr:colOff>656166</xdr:colOff>
      <xdr:row>0</xdr:row>
      <xdr:rowOff>399521</xdr:rowOff>
    </xdr:to>
    <xdr:sp macro="[0]!ClearPlayers" textlink="">
      <xdr:nvSpPr>
        <xdr:cNvPr id="2" name="Rounded Rectangle 1">
          <a:extLst>
            <a:ext uri="{FF2B5EF4-FFF2-40B4-BE49-F238E27FC236}">
              <a16:creationId xmlns:a16="http://schemas.microsoft.com/office/drawing/2014/main" id="{5B1C8041-7241-4A19-A9D4-8218C86E6C52}"/>
            </a:ext>
          </a:extLst>
        </xdr:cNvPr>
        <xdr:cNvSpPr/>
      </xdr:nvSpPr>
      <xdr:spPr>
        <a:xfrm>
          <a:off x="4820709" y="137583"/>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6</xdr:col>
      <xdr:colOff>814917</xdr:colOff>
      <xdr:row>0</xdr:row>
      <xdr:rowOff>142875</xdr:rowOff>
    </xdr:from>
    <xdr:to>
      <xdr:col>6</xdr:col>
      <xdr:colOff>1275291</xdr:colOff>
      <xdr:row>0</xdr:row>
      <xdr:rowOff>404813</xdr:rowOff>
    </xdr:to>
    <xdr:sp macro="[0]!SortPlayersNew" textlink="">
      <xdr:nvSpPr>
        <xdr:cNvPr id="3" name="Rounded Rectangle 1">
          <a:extLst>
            <a:ext uri="{FF2B5EF4-FFF2-40B4-BE49-F238E27FC236}">
              <a16:creationId xmlns:a16="http://schemas.microsoft.com/office/drawing/2014/main" id="{3D030DA4-FA5E-4A23-B7EF-295746A7926D}"/>
            </a:ext>
          </a:extLst>
        </xdr:cNvPr>
        <xdr:cNvSpPr/>
      </xdr:nvSpPr>
      <xdr:spPr>
        <a:xfrm>
          <a:off x="6281209"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↕New</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6</xdr:col>
      <xdr:colOff>1476375</xdr:colOff>
      <xdr:row>0</xdr:row>
      <xdr:rowOff>142875</xdr:rowOff>
    </xdr:from>
    <xdr:to>
      <xdr:col>6</xdr:col>
      <xdr:colOff>1936749</xdr:colOff>
      <xdr:row>0</xdr:row>
      <xdr:rowOff>404813</xdr:rowOff>
    </xdr:to>
    <xdr:sp macro="[0]!SortPlayersOld" textlink="">
      <xdr:nvSpPr>
        <xdr:cNvPr id="4" name="Rounded Rectangle 1">
          <a:extLst>
            <a:ext uri="{FF2B5EF4-FFF2-40B4-BE49-F238E27FC236}">
              <a16:creationId xmlns:a16="http://schemas.microsoft.com/office/drawing/2014/main" id="{E179F064-DC05-40E4-BEA8-58E24829304F}"/>
            </a:ext>
          </a:extLst>
        </xdr:cNvPr>
        <xdr:cNvSpPr/>
      </xdr:nvSpPr>
      <xdr:spPr>
        <a:xfrm>
          <a:off x="6942667"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↕Old</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102870</xdr:colOff>
      <xdr:row>0</xdr:row>
      <xdr:rowOff>74083</xdr:rowOff>
    </xdr:from>
    <xdr:to>
      <xdr:col>20</xdr:col>
      <xdr:colOff>621648</xdr:colOff>
      <xdr:row>0</xdr:row>
      <xdr:rowOff>338667</xdr:rowOff>
    </xdr:to>
    <xdr:sp macro="[0]!SortTable" textlink="">
      <xdr:nvSpPr>
        <xdr:cNvPr id="2" name="Rounded Rectangle 1">
          <a:extLst>
            <a:ext uri="{FF2B5EF4-FFF2-40B4-BE49-F238E27FC236}">
              <a16:creationId xmlns:a16="http://schemas.microsoft.com/office/drawing/2014/main" id="{00000000-0008-0000-0100-000002000000}"/>
            </a:ext>
          </a:extLst>
        </xdr:cNvPr>
        <xdr:cNvSpPr/>
      </xdr:nvSpPr>
      <xdr:spPr>
        <a:xfrm>
          <a:off x="12559453" y="74083"/>
          <a:ext cx="518778" cy="264584"/>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solidFill>
                <a:srgbClr val="FFFF00"/>
              </a:solidFill>
              <a:latin typeface="Arial" panose="020B0604020202020204" pitchFamily="34" charset="0"/>
              <a:cs typeface="Arial" panose="020B0604020202020204" pitchFamily="34" charset="0"/>
            </a:rPr>
            <a:t>Sort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42863</xdr:colOff>
      <xdr:row>0</xdr:row>
      <xdr:rowOff>52387</xdr:rowOff>
    </xdr:from>
    <xdr:to>
      <xdr:col>1</xdr:col>
      <xdr:colOff>890588</xdr:colOff>
      <xdr:row>0</xdr:row>
      <xdr:rowOff>295275</xdr:rowOff>
    </xdr:to>
    <xdr:sp macro="[0]!MatchClear" textlink="">
      <xdr:nvSpPr>
        <xdr:cNvPr id="2" name="Rounded Rectangle 1">
          <a:extLst>
            <a:ext uri="{FF2B5EF4-FFF2-40B4-BE49-F238E27FC236}">
              <a16:creationId xmlns:a16="http://schemas.microsoft.com/office/drawing/2014/main" id="{AA713B48-EC96-4035-983A-0A0C4CE38F9B}"/>
            </a:ext>
          </a:extLst>
        </xdr:cNvPr>
        <xdr:cNvSpPr/>
      </xdr:nvSpPr>
      <xdr:spPr>
        <a:xfrm>
          <a:off x="42863" y="52387"/>
          <a:ext cx="847725" cy="24288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Clear Match</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29</xdr:col>
      <xdr:colOff>34528</xdr:colOff>
      <xdr:row>0</xdr:row>
      <xdr:rowOff>228124</xdr:rowOff>
    </xdr:from>
    <xdr:to>
      <xdr:col>29</xdr:col>
      <xdr:colOff>989753</xdr:colOff>
      <xdr:row>0</xdr:row>
      <xdr:rowOff>523727</xdr:rowOff>
    </xdr:to>
    <xdr:sp macro="[0]!SortWeekRankSoFar" textlink="">
      <xdr:nvSpPr>
        <xdr:cNvPr id="2" name="Rectangle 1">
          <a:extLst>
            <a:ext uri="{FF2B5EF4-FFF2-40B4-BE49-F238E27FC236}">
              <a16:creationId xmlns:a16="http://schemas.microsoft.com/office/drawing/2014/main" id="{00000000-0008-0000-0A00-000002000000}"/>
            </a:ext>
          </a:extLst>
        </xdr:cNvPr>
        <xdr:cNvSpPr/>
      </xdr:nvSpPr>
      <xdr:spPr>
        <a:xfrm>
          <a:off x="15774591" y="228124"/>
          <a:ext cx="955225" cy="295603"/>
        </a:xfrm>
        <a:prstGeom prst="rect">
          <a:avLst/>
        </a:prstGeom>
        <a:solidFill>
          <a:srgbClr val="7030A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Player ↕</a:t>
          </a:r>
        </a:p>
      </xdr:txBody>
    </xdr:sp>
    <xdr:clientData/>
  </xdr:twoCellAnchor>
  <xdr:twoCellAnchor>
    <xdr:from>
      <xdr:col>9</xdr:col>
      <xdr:colOff>47625</xdr:colOff>
      <xdr:row>0</xdr:row>
      <xdr:rowOff>47625</xdr:rowOff>
    </xdr:from>
    <xdr:to>
      <xdr:col>9</xdr:col>
      <xdr:colOff>1089421</xdr:colOff>
      <xdr:row>0</xdr:row>
      <xdr:rowOff>309563</xdr:rowOff>
    </xdr:to>
    <xdr:sp macro="[0]!PicksClear1" textlink="">
      <xdr:nvSpPr>
        <xdr:cNvPr id="3" name="Rounded Rectangle 1">
          <a:extLst>
            <a:ext uri="{FF2B5EF4-FFF2-40B4-BE49-F238E27FC236}">
              <a16:creationId xmlns:a16="http://schemas.microsoft.com/office/drawing/2014/main" id="{B2503CE2-59C5-41EE-9DEA-D8721FB4182E}"/>
            </a:ext>
          </a:extLst>
        </xdr:cNvPr>
        <xdr:cNvSpPr/>
      </xdr:nvSpPr>
      <xdr:spPr>
        <a:xfrm>
          <a:off x="7596188" y="47625"/>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1st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14</xdr:col>
      <xdr:colOff>35719</xdr:colOff>
      <xdr:row>0</xdr:row>
      <xdr:rowOff>47626</xdr:rowOff>
    </xdr:from>
    <xdr:to>
      <xdr:col>14</xdr:col>
      <xdr:colOff>1077515</xdr:colOff>
      <xdr:row>0</xdr:row>
      <xdr:rowOff>309564</xdr:rowOff>
    </xdr:to>
    <xdr:sp macro="[0]!PicksClear2" textlink="">
      <xdr:nvSpPr>
        <xdr:cNvPr id="4" name="Rounded Rectangle 1">
          <a:extLst>
            <a:ext uri="{FF2B5EF4-FFF2-40B4-BE49-F238E27FC236}">
              <a16:creationId xmlns:a16="http://schemas.microsoft.com/office/drawing/2014/main" id="{F55305F1-C586-4B5D-A9A9-AD2825E5E4A6}"/>
            </a:ext>
          </a:extLst>
        </xdr:cNvPr>
        <xdr:cNvSpPr/>
      </xdr:nvSpPr>
      <xdr:spPr>
        <a:xfrm>
          <a:off x="12328923" y="47626"/>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2nd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4</xdr:col>
      <xdr:colOff>146685</xdr:colOff>
      <xdr:row>0</xdr:row>
      <xdr:rowOff>304800</xdr:rowOff>
    </xdr:from>
    <xdr:ext cx="1609048" cy="649665"/>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3549015" y="304800"/>
          <a:ext cx="1586443"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Change Pivot data source  to reflect rows</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in Bets, ie if 90 players:  Bets!$I$1:$M$271 </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oneCellAnchor>
    <xdr:from>
      <xdr:col>8</xdr:col>
      <xdr:colOff>184785</xdr:colOff>
      <xdr:row>0</xdr:row>
      <xdr:rowOff>152400</xdr:rowOff>
    </xdr:from>
    <xdr:ext cx="1634584" cy="649665"/>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5678805" y="152400"/>
          <a:ext cx="1635522"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Paste the results from the pivot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(Cols A-C) on the left i</a:t>
          </a:r>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nto the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below</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twoCellAnchor>
    <xdr:from>
      <xdr:col>8</xdr:col>
      <xdr:colOff>37148</xdr:colOff>
      <xdr:row>0</xdr:row>
      <xdr:rowOff>1009650</xdr:rowOff>
    </xdr:from>
    <xdr:to>
      <xdr:col>8</xdr:col>
      <xdr:colOff>549219</xdr:colOff>
      <xdr:row>0</xdr:row>
      <xdr:rowOff>1207770</xdr:rowOff>
    </xdr:to>
    <xdr:sp macro="[0]!ClearTopPicks" textlink="">
      <xdr:nvSpPr>
        <xdr:cNvPr id="3" name="Rectangle: Rounded Corners 2">
          <a:extLst>
            <a:ext uri="{FF2B5EF4-FFF2-40B4-BE49-F238E27FC236}">
              <a16:creationId xmlns:a16="http://schemas.microsoft.com/office/drawing/2014/main" id="{00000000-0008-0000-0E00-000003000000}"/>
            </a:ext>
          </a:extLst>
        </xdr:cNvPr>
        <xdr:cNvSpPr/>
      </xdr:nvSpPr>
      <xdr:spPr>
        <a:xfrm>
          <a:off x="5752148" y="1009650"/>
          <a:ext cx="512071" cy="19812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solidFill>
                <a:schemeClr val="tx1"/>
              </a:solidFill>
            </a:rPr>
            <a:t>Clear</a:t>
          </a:r>
        </a:p>
      </xdr:txBody>
    </xdr:sp>
    <xdr:clientData/>
  </xdr:twoCellAnchor>
  <xdr:twoCellAnchor>
    <xdr:from>
      <xdr:col>9</xdr:col>
      <xdr:colOff>9525</xdr:colOff>
      <xdr:row>1</xdr:row>
      <xdr:rowOff>80963</xdr:rowOff>
    </xdr:from>
    <xdr:to>
      <xdr:col>9</xdr:col>
      <xdr:colOff>612084</xdr:colOff>
      <xdr:row>2</xdr:row>
      <xdr:rowOff>95251</xdr:rowOff>
    </xdr:to>
    <xdr:sp macro="[0]!SortTopPicksDown" textlink="">
      <xdr:nvSpPr>
        <xdr:cNvPr id="8" name="Rectangle: Rounded Corners 7">
          <a:extLst>
            <a:ext uri="{FF2B5EF4-FFF2-40B4-BE49-F238E27FC236}">
              <a16:creationId xmlns:a16="http://schemas.microsoft.com/office/drawing/2014/main" id="{5824A2C1-788C-45B2-9650-11982B0BE9C2}"/>
            </a:ext>
          </a:extLst>
        </xdr:cNvPr>
        <xdr:cNvSpPr/>
      </xdr:nvSpPr>
      <xdr:spPr>
        <a:xfrm>
          <a:off x="7767638" y="1300163"/>
          <a:ext cx="602559" cy="176213"/>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↕Down</a:t>
          </a:r>
        </a:p>
      </xdr:txBody>
    </xdr:sp>
    <xdr:clientData/>
  </xdr:twoCellAnchor>
  <xdr:twoCellAnchor>
    <xdr:from>
      <xdr:col>10</xdr:col>
      <xdr:colOff>28575</xdr:colOff>
      <xdr:row>1</xdr:row>
      <xdr:rowOff>66675</xdr:rowOff>
    </xdr:from>
    <xdr:to>
      <xdr:col>10</xdr:col>
      <xdr:colOff>631134</xdr:colOff>
      <xdr:row>2</xdr:row>
      <xdr:rowOff>80963</xdr:rowOff>
    </xdr:to>
    <xdr:sp macro="[0]!SortTopPicksUp" textlink="">
      <xdr:nvSpPr>
        <xdr:cNvPr id="10" name="Rectangle: Rounded Corners 9">
          <a:extLst>
            <a:ext uri="{FF2B5EF4-FFF2-40B4-BE49-F238E27FC236}">
              <a16:creationId xmlns:a16="http://schemas.microsoft.com/office/drawing/2014/main" id="{2083F34A-E459-44E7-8394-DEB590E36093}"/>
            </a:ext>
          </a:extLst>
        </xdr:cNvPr>
        <xdr:cNvSpPr/>
      </xdr:nvSpPr>
      <xdr:spPr>
        <a:xfrm>
          <a:off x="8624888" y="1285875"/>
          <a:ext cx="602559" cy="176213"/>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↕Up</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76200</xdr:rowOff>
    </xdr:from>
    <xdr:to>
      <xdr:col>0</xdr:col>
      <xdr:colOff>956795</xdr:colOff>
      <xdr:row>0</xdr:row>
      <xdr:rowOff>365760</xdr:rowOff>
    </xdr:to>
    <xdr:sp macro="[0]!SortPizzaRace" textlink="">
      <xdr:nvSpPr>
        <xdr:cNvPr id="2" name="Rectangle 1">
          <a:extLst>
            <a:ext uri="{FF2B5EF4-FFF2-40B4-BE49-F238E27FC236}">
              <a16:creationId xmlns:a16="http://schemas.microsoft.com/office/drawing/2014/main" id="{00000000-0008-0000-1200-000002000000}"/>
            </a:ext>
          </a:extLst>
        </xdr:cNvPr>
        <xdr:cNvSpPr/>
      </xdr:nvSpPr>
      <xdr:spPr>
        <a:xfrm>
          <a:off x="38100" y="76200"/>
          <a:ext cx="914400"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twoCellAnchor>
    <xdr:from>
      <xdr:col>8</xdr:col>
      <xdr:colOff>38100</xdr:colOff>
      <xdr:row>0</xdr:row>
      <xdr:rowOff>76200</xdr:rowOff>
    </xdr:from>
    <xdr:to>
      <xdr:col>8</xdr:col>
      <xdr:colOff>1147444</xdr:colOff>
      <xdr:row>0</xdr:row>
      <xdr:rowOff>365760</xdr:rowOff>
    </xdr:to>
    <xdr:sp macro="[0]!SortPizzaRace2" textlink="">
      <xdr:nvSpPr>
        <xdr:cNvPr id="3" name="Rectangle 2">
          <a:extLst>
            <a:ext uri="{FF2B5EF4-FFF2-40B4-BE49-F238E27FC236}">
              <a16:creationId xmlns:a16="http://schemas.microsoft.com/office/drawing/2014/main" id="{00000000-0008-0000-1200-000003000000}"/>
            </a:ext>
          </a:extLst>
        </xdr:cNvPr>
        <xdr:cNvSpPr/>
      </xdr:nvSpPr>
      <xdr:spPr>
        <a:xfrm>
          <a:off x="4943475" y="76200"/>
          <a:ext cx="1076325"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7856220</xdr:colOff>
      <xdr:row>16</xdr:row>
      <xdr:rowOff>0</xdr:rowOff>
    </xdr:to>
    <xdr:pic>
      <xdr:nvPicPr>
        <xdr:cNvPr id="1641612" name="Picture 1" descr="bet1">
          <a:hlinkClick xmlns:r="http://schemas.openxmlformats.org/officeDocument/2006/relationships" r:id="rId1"/>
          <a:extLst>
            <a:ext uri="{FF2B5EF4-FFF2-40B4-BE49-F238E27FC236}">
              <a16:creationId xmlns:a16="http://schemas.microsoft.com/office/drawing/2014/main" id="{00000000-0008-0000-1300-00008C0C19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 y="422910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7856220</xdr:colOff>
      <xdr:row>25</xdr:row>
      <xdr:rowOff>0</xdr:rowOff>
    </xdr:to>
    <xdr:pic>
      <xdr:nvPicPr>
        <xdr:cNvPr id="1641613" name="Picture 2" descr="bet2">
          <a:hlinkClick xmlns:r="http://schemas.openxmlformats.org/officeDocument/2006/relationships" r:id="rId3"/>
          <a:extLst>
            <a:ext uri="{FF2B5EF4-FFF2-40B4-BE49-F238E27FC236}">
              <a16:creationId xmlns:a16="http://schemas.microsoft.com/office/drawing/2014/main" id="{00000000-0008-0000-1300-00008D0C19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4840" y="595884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29</xdr:row>
      <xdr:rowOff>0</xdr:rowOff>
    </xdr:from>
    <xdr:to>
      <xdr:col>1</xdr:col>
      <xdr:colOff>7856220</xdr:colOff>
      <xdr:row>34</xdr:row>
      <xdr:rowOff>0</xdr:rowOff>
    </xdr:to>
    <xdr:pic>
      <xdr:nvPicPr>
        <xdr:cNvPr id="1641614" name="Picture 3" descr="bet3">
          <a:hlinkClick xmlns:r="http://schemas.openxmlformats.org/officeDocument/2006/relationships" r:id="rId5"/>
          <a:extLst>
            <a:ext uri="{FF2B5EF4-FFF2-40B4-BE49-F238E27FC236}">
              <a16:creationId xmlns:a16="http://schemas.microsoft.com/office/drawing/2014/main" id="{00000000-0008-0000-1300-00008E0C19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4840" y="768858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1</xdr:col>
      <xdr:colOff>7856220</xdr:colOff>
      <xdr:row>43</xdr:row>
      <xdr:rowOff>7620</xdr:rowOff>
    </xdr:to>
    <xdr:pic>
      <xdr:nvPicPr>
        <xdr:cNvPr id="1641615" name="Picture 4" descr="bet4">
          <a:hlinkClick xmlns:r="http://schemas.openxmlformats.org/officeDocument/2006/relationships" r:id="rId7"/>
          <a:extLst>
            <a:ext uri="{FF2B5EF4-FFF2-40B4-BE49-F238E27FC236}">
              <a16:creationId xmlns:a16="http://schemas.microsoft.com/office/drawing/2014/main" id="{00000000-0008-0000-1300-00008F0C19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4840" y="9425940"/>
          <a:ext cx="7856220" cy="967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329565</xdr:colOff>
      <xdr:row>45</xdr:row>
      <xdr:rowOff>19051</xdr:rowOff>
    </xdr:from>
    <xdr:to>
      <xdr:col>2</xdr:col>
      <xdr:colOff>1055481</xdr:colOff>
      <xdr:row>45</xdr:row>
      <xdr:rowOff>448762</xdr:rowOff>
    </xdr:to>
    <xdr:sp macro="" textlink="">
      <xdr:nvSpPr>
        <xdr:cNvPr id="6" name="Rounded Rectangular Callout 5">
          <a:extLst>
            <a:ext uri="{FF2B5EF4-FFF2-40B4-BE49-F238E27FC236}">
              <a16:creationId xmlns:a16="http://schemas.microsoft.com/office/drawing/2014/main" id="{00000000-0008-0000-1300-000006000000}"/>
            </a:ext>
          </a:extLst>
        </xdr:cNvPr>
        <xdr:cNvSpPr/>
      </xdr:nvSpPr>
      <xdr:spPr>
        <a:xfrm>
          <a:off x="9296400" y="10744201"/>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251460</xdr:colOff>
      <xdr:row>53</xdr:row>
      <xdr:rowOff>66675</xdr:rowOff>
    </xdr:from>
    <xdr:to>
      <xdr:col>2</xdr:col>
      <xdr:colOff>1033147</xdr:colOff>
      <xdr:row>53</xdr:row>
      <xdr:rowOff>479997</xdr:rowOff>
    </xdr:to>
    <xdr:sp macro="" textlink="">
      <xdr:nvSpPr>
        <xdr:cNvPr id="9" name="Rounded Rectangular Callout 8">
          <a:extLst>
            <a:ext uri="{FF2B5EF4-FFF2-40B4-BE49-F238E27FC236}">
              <a16:creationId xmlns:a16="http://schemas.microsoft.com/office/drawing/2014/main" id="{00000000-0008-0000-1300-000009000000}"/>
            </a:ext>
          </a:extLst>
        </xdr:cNvPr>
        <xdr:cNvSpPr/>
      </xdr:nvSpPr>
      <xdr:spPr>
        <a:xfrm>
          <a:off x="9239250" y="1422082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327660</xdr:colOff>
      <xdr:row>69</xdr:row>
      <xdr:rowOff>0</xdr:rowOff>
    </xdr:from>
    <xdr:to>
      <xdr:col>2</xdr:col>
      <xdr:colOff>1074515</xdr:colOff>
      <xdr:row>69</xdr:row>
      <xdr:rowOff>413535</xdr:rowOff>
    </xdr:to>
    <xdr:sp macro="" textlink="">
      <xdr:nvSpPr>
        <xdr:cNvPr id="10" name="Rounded Rectangular Callout 9">
          <a:extLst>
            <a:ext uri="{FF2B5EF4-FFF2-40B4-BE49-F238E27FC236}">
              <a16:creationId xmlns:a16="http://schemas.microsoft.com/office/drawing/2014/main" id="{00000000-0008-0000-1300-00000A000000}"/>
            </a:ext>
          </a:extLst>
        </xdr:cNvPr>
        <xdr:cNvSpPr/>
      </xdr:nvSpPr>
      <xdr:spPr>
        <a:xfrm>
          <a:off x="9286875" y="200596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72</xdr:row>
      <xdr:rowOff>125730</xdr:rowOff>
    </xdr:from>
    <xdr:to>
      <xdr:col>2</xdr:col>
      <xdr:colOff>1112615</xdr:colOff>
      <xdr:row>73</xdr:row>
      <xdr:rowOff>518266</xdr:rowOff>
    </xdr:to>
    <xdr:sp macro="" textlink="">
      <xdr:nvSpPr>
        <xdr:cNvPr id="11" name="Rounded Rectangular Callout 10">
          <a:extLst>
            <a:ext uri="{FF2B5EF4-FFF2-40B4-BE49-F238E27FC236}">
              <a16:creationId xmlns:a16="http://schemas.microsoft.com/office/drawing/2014/main" id="{00000000-0008-0000-1300-00000B000000}"/>
            </a:ext>
          </a:extLst>
        </xdr:cNvPr>
        <xdr:cNvSpPr/>
      </xdr:nvSpPr>
      <xdr:spPr>
        <a:xfrm>
          <a:off x="9324975" y="2171700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75</xdr:row>
      <xdr:rowOff>76200</xdr:rowOff>
    </xdr:from>
    <xdr:to>
      <xdr:col>2</xdr:col>
      <xdr:colOff>1112615</xdr:colOff>
      <xdr:row>76</xdr:row>
      <xdr:rowOff>114300</xdr:rowOff>
    </xdr:to>
    <xdr:sp macro="" textlink="">
      <xdr:nvSpPr>
        <xdr:cNvPr id="12" name="Rounded Rectangular Callout 11">
          <a:extLst>
            <a:ext uri="{FF2B5EF4-FFF2-40B4-BE49-F238E27FC236}">
              <a16:creationId xmlns:a16="http://schemas.microsoft.com/office/drawing/2014/main" id="{00000000-0008-0000-1300-00000C000000}"/>
            </a:ext>
          </a:extLst>
        </xdr:cNvPr>
        <xdr:cNvSpPr/>
      </xdr:nvSpPr>
      <xdr:spPr>
        <a:xfrm>
          <a:off x="9324975" y="224218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184785</xdr:colOff>
      <xdr:row>2</xdr:row>
      <xdr:rowOff>142875</xdr:rowOff>
    </xdr:from>
    <xdr:to>
      <xdr:col>2</xdr:col>
      <xdr:colOff>921004</xdr:colOff>
      <xdr:row>3</xdr:row>
      <xdr:rowOff>371475</xdr:rowOff>
    </xdr:to>
    <xdr:sp macro="" textlink="">
      <xdr:nvSpPr>
        <xdr:cNvPr id="13" name="Rounded Rectangular Callout 12">
          <a:extLst>
            <a:ext uri="{FF2B5EF4-FFF2-40B4-BE49-F238E27FC236}">
              <a16:creationId xmlns:a16="http://schemas.microsoft.com/office/drawing/2014/main" id="{00000000-0008-0000-1300-00000D000000}"/>
            </a:ext>
          </a:extLst>
        </xdr:cNvPr>
        <xdr:cNvSpPr/>
      </xdr:nvSpPr>
      <xdr:spPr>
        <a:xfrm>
          <a:off x="9153525" y="90487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4422.518565856481" createdVersion="6" refreshedVersion="7" minRefreshableVersion="3" recordCount="97" xr:uid="{9A9CE513-00D2-49F6-B4D3-B6CAFCD08CEA}">
  <cacheSource type="worksheet">
    <worksheetSource ref="A1:F98" sheet="Players"/>
  </cacheSource>
  <cacheFields count="6">
    <cacheField name="Prev/Final_x000a_Pos" numFmtId="174">
      <sharedItems containsString="0" containsBlank="1" containsNumber="1" containsInteger="1" minValue="1" maxValue="16"/>
    </cacheField>
    <cacheField name="Prev/Final_x000a_Div" numFmtId="0">
      <sharedItems containsBlank="1"/>
    </cacheField>
    <cacheField name="Players" numFmtId="0">
      <sharedItems containsBlank="1"/>
    </cacheField>
    <cacheField name="Resigned?" numFmtId="171">
      <sharedItems containsBlank="1"/>
    </cacheField>
    <cacheField name="Next_x000a_Div" numFmtId="171">
      <sharedItems containsBlank="1" count="6">
        <s v="A"/>
        <s v="B"/>
        <s v="C"/>
        <s v="D"/>
        <s v="E"/>
        <m/>
      </sharedItems>
    </cacheField>
    <cacheField name="Closing _x000a_Balance" numFmtId="171">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4558.323392708335" createdVersion="7" refreshedVersion="7" minRefreshableVersion="3" recordCount="62" xr:uid="{C852E082-0777-4EAE-9EB4-1F9C7A7FAB5C}">
  <cacheSource type="worksheet">
    <worksheetSource ref="A1:R63" sheet="Table"/>
  </cacheSource>
  <cacheFields count="18">
    <cacheField name="PL38/Week 20" numFmtId="0">
      <sharedItems containsBlank="1"/>
    </cacheField>
    <cacheField name="Place Prize" numFmtId="0">
      <sharedItems/>
    </cacheField>
    <cacheField name="Promotion/_x000a_Relegation" numFmtId="0">
      <sharedItems containsBlank="1"/>
    </cacheField>
    <cacheField name="Pos" numFmtId="0">
      <sharedItems containsSemiMixedTypes="0" containsString="0" containsNumber="1" containsInteger="1" minValue="1" maxValue="16"/>
    </cacheField>
    <cacheField name="Div" numFmtId="0">
      <sharedItems/>
    </cacheField>
    <cacheField name="Player" numFmtId="0">
      <sharedItems/>
    </cacheField>
    <cacheField name="↓" numFmtId="0">
      <sharedItems containsNonDate="0" containsString="0" containsBlank="1"/>
    </cacheField>
    <cacheField name="New_x000a_Div" numFmtId="0">
      <sharedItems containsNonDate="0" containsString="0" containsBlank="1"/>
    </cacheField>
    <cacheField name="Total_x000a_Score" numFmtId="171">
      <sharedItems containsSemiMixedTypes="0" containsString="0" containsNumber="1" minValue="-140" maxValue="169.73645789898993"/>
    </cacheField>
    <cacheField name="Total_x000a_correct" numFmtId="1">
      <sharedItems containsSemiMixedTypes="0" containsString="0" containsNumber="1" containsInteger="1" minValue="0" maxValue="39"/>
    </cacheField>
    <cacheField name="Week_x000a_Score" numFmtId="171">
      <sharedItems containsSemiMixedTypes="0" containsString="0" containsNumber="1" minValue="-7" maxValue="21.781818181818181"/>
    </cacheField>
    <cacheField name="Week_x000a_Correct" numFmtId="1">
      <sharedItems containsSemiMixedTypes="0" containsString="0" containsNumber="1" containsInteger="1" minValue="0" maxValue="4" count="5">
        <n v="0"/>
        <n v="2"/>
        <n v="3"/>
        <n v="1"/>
        <n v="4" u="1"/>
      </sharedItems>
    </cacheField>
    <cacheField name="Brought_x000a_Forward" numFmtId="2">
      <sharedItems/>
    </cacheField>
    <cacheField name="League_x000a_Place_x000a_Prize" numFmtId="8">
      <sharedItems containsSemiMixedTypes="0" containsString="0" containsNumber="1" minValue="0" maxValue="108.675"/>
    </cacheField>
    <cacheField name="Weekly_x000a_Prizes" numFmtId="8">
      <sharedItems containsSemiMixedTypes="0" containsString="0" containsNumber="1" containsInteger="1" minValue="0" maxValue="25"/>
    </cacheField>
    <cacheField name="Cup_x000a_Prize" numFmtId="8">
      <sharedItems containsSemiMixedTypes="0" containsString="0" containsNumber="1" containsInteger="1" minValue="0" maxValue="25"/>
    </cacheField>
    <cacheField name="Total_x000a_Prize" numFmtId="8">
      <sharedItems containsSemiMixedTypes="0" containsString="0" containsNumber="1" minValue="0" maxValue="118.675"/>
    </cacheField>
    <cacheField name="Season_x000a_Balance" numFmtId="164">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4558.323549074077" createdVersion="6" refreshedVersion="7" recordCount="174" xr:uid="{00000000-000A-0000-FFFF-FFFF15000000}">
  <cacheSource type="worksheet">
    <worksheetSource ref="J1:N175" sheet="Picks"/>
  </cacheSource>
  <cacheFields count="5">
    <cacheField name="Wk1" numFmtId="0">
      <sharedItems containsBlank="1" count="301">
        <s v="Brighton"/>
        <s v="West ham"/>
        <s v="Oldham"/>
        <s v="Brentford"/>
        <s v="Huddersfield draw"/>
        <s v="Blackburn"/>
        <s v="Mansfield"/>
        <s v="Tranmere"/>
        <s v="Aldershot"/>
        <s v="Arsenal"/>
        <s v="Chelsea"/>
        <s v="Blackpool"/>
        <s v="Cheltenham Draw"/>
        <s v="Carlisle Draw"/>
        <s v="Colchester Draw"/>
        <s v="Hull draw"/>
        <s v="Brighton draw"/>
        <s v="Lincoln draw"/>
        <m/>
        <s v="Villa"/>
        <s v="Huddersfield"/>
        <s v="Wigan"/>
        <s v="Bristol R"/>
        <s v="Rotherham"/>
        <s v="Shrewsbury"/>
        <s v="Scunthorpe"/>
        <s v="Wolves draw"/>
        <s v="Spurs draw"/>
        <s v="Wolves"/>
        <s v="Millwall"/>
        <s v="Sheff U"/>
        <s v="Middlesbro"/>
        <s v="Accrington"/>
        <s v="Man C draw"/>
        <s v="Southend"/>
        <s v="Spurs"/>
        <s v="Leicester"/>
        <s v="Norwich"/>
        <s v="Dagenham"/>
        <s v="Cardiff Draw"/>
        <s v="MK Dons"/>
        <s v="Middlesbro draw"/>
        <s v="Burnley draw"/>
        <s v="Villa draw"/>
        <s v="Lincoln"/>
        <s v="Forest"/>
        <s v="Stockport"/>
        <s v="Bromley"/>
        <s v="Southampton"/>
        <s v="Hartlepool"/>
        <s v="Fleetwood draw"/>
        <s v="Stockport draw"/>
        <s v="Man C"/>
        <s v="Plymouth"/>
        <s v="Hull"/>
        <s v="Colchester"/>
        <s v="Palace"/>
        <s v="Leicester draw" u="1"/>
        <s v="Forest draw" u="1"/>
        <s v="Sudbury" u="1"/>
        <s v="Newcastle Draw" u="1"/>
        <s v="Macedonia" u="1"/>
        <s v="Austria draw" u="1"/>
        <s v="Turkey draw" u="1"/>
        <s v="Oxford" u="1"/>
        <s v="Derby" u="1"/>
        <s v="Eastleigh draw" u="1"/>
        <s v="Coventry" u="1"/>
        <s v="Doncaster" u="1"/>
        <s v="Orient" u="1"/>
        <s v="Albania" u="1"/>
        <s v="Leeds" u="1"/>
        <s v="Israel" u="1"/>
        <s v="N Ireland draw" u="1"/>
        <s v="Crewe" u="1"/>
        <s v="Bristol C draw" u="1"/>
        <s v="Germany" u="1"/>
        <s v="Blackburn draw" u="1"/>
        <s v="Stevenage Draw" u="1"/>
        <s v="Skem" u="1"/>
        <s v="Cambridge" u="1"/>
        <s v="Salford" u="1"/>
        <s v="Bradford draw" u="1"/>
        <s v="Woking" u="1"/>
        <s v="Wigan draw" u="1"/>
        <s v="Hartlepool draw" u="1"/>
        <s v="Sheff W" u="1"/>
        <s v="Mansfield Draw" u="1"/>
        <s v="Slovenia draw" u="1"/>
        <s v="Boreham wood draw" u="1"/>
        <s v="Man U draw" u="1"/>
        <s v="Albania draw" u="1"/>
        <s v="Swindon" u="1"/>
        <s v="Watford" u="1"/>
        <s v="Maidenhead" u="1"/>
        <s v="Dover Draw" u="1"/>
        <s v="Halifax" u="1"/>
        <s v="St Albans" u="1"/>
        <s v="Everton" u="1"/>
        <s v="Southampton draw" u="1"/>
        <s v="Norwich draw" u="1"/>
        <s v="Torquay" u="1"/>
        <s v="Barrow" u="1"/>
        <s v="Brackley" u="1"/>
        <s v="Salford draw" u="1"/>
        <s v="Sweden" u="1"/>
        <s v="England" u="1"/>
        <s v="Sheff U draw" u="1"/>
        <s v="Oldham draw" u="1"/>
        <s v="Ireland" u="1"/>
        <s v="Sheff W Draw" u="1"/>
        <s v="France" u="1"/>
        <s v="Oxford Draw" u="1"/>
        <s v="Italy draw" u="1"/>
        <s v="Swindon draw" u="1"/>
        <s v="Netherlands" u="1"/>
        <s v="Watford Draw" u="1"/>
        <s v="Sunderland" u="1"/>
        <s v="Shrewsbury draw" u="1"/>
        <s v="Orient draw" u="1"/>
        <s v="Liverpool draw" u="1"/>
        <s v="Everton Draw" u="1"/>
        <s v="Israel Draw" u="1"/>
        <s v="Harrogate draw" u="1"/>
        <s v="Burnley" u="1"/>
        <s v="Wimbledon draw" u="1"/>
        <s v="Switzerland Draw" u="1"/>
        <s v="Bolton" u="1"/>
        <s v="Morecambe" u="1"/>
        <s v="Portsmouth draw" u="1"/>
        <s v="Estonia" u="1"/>
        <s v="England draw" u="1"/>
        <s v="Luton" u="1"/>
        <s v="Birmingham draw" u="1"/>
        <s v="Ireland draw" u="1"/>
        <s v="Barnsley draw" u="1"/>
        <s v="Crawley" u="1"/>
        <s v="Hungary" u="1"/>
        <s v="Wealdstone Draw" u="1"/>
        <s v="Kings Lynn" u="1"/>
        <s v="Altrincham" u="1"/>
        <s v="Bradford" u="1"/>
        <s v="Chesterfield" u="1"/>
        <s v="Stoke" u="1"/>
        <s v="Bournemouth draw" u="1"/>
        <s v="Slovenia" u="1"/>
        <s v="Bulgaria" u="1"/>
        <s v="Russia" u="1"/>
        <s v="Oxford C" u="1"/>
        <s v="Doncaster draw" u="1"/>
        <s v="Wales draw" u="1"/>
        <s v="Azerbaijan" u="1"/>
        <s v="Barrow draw" u="1"/>
        <s v="Ukraine" u="1"/>
        <s v="Sutton" u="1"/>
        <s v="Crawley draw" u="1"/>
        <s v="Serbia" u="1"/>
        <s v="West Brom" u="1"/>
        <s v="Plymouth draw" u="1"/>
        <s v="Walsall" u="1"/>
        <s v="Moldova" u="1"/>
        <s v="Forest Green draw" u="1"/>
        <s v="Peterborough" u="1"/>
        <s v="Cambridge draw" u="1"/>
        <s v="Wycombe" u="1"/>
        <s v="Swansea" u="1"/>
        <s v="Gillingham" u="1"/>
        <s v="Barnet" u="1"/>
        <s v="Wrexham" u="1"/>
        <s v="Romania" u="1"/>
        <s v="Greece" u="1"/>
        <s v="Bolton draw" u="1"/>
        <s v="Ukraine draw" u="1"/>
        <s v="Reading" u="1"/>
        <s v="Bournemouth" u="1"/>
        <s v="Yeovil" u="1"/>
        <s v="Walsall draw" u="1"/>
        <s v="Darlington 1883" u="1"/>
        <s v="Moldova draw" u="1"/>
        <s v="Man U" u="1"/>
        <s v="Finland" u="1"/>
        <s v="Czechia" u="1"/>
        <s v="Dover" u="1"/>
        <s v="Barnsley" u="1"/>
        <s v="Denmark" u="1"/>
        <s v="Wycombe Draw" u="1"/>
        <s v="Swansea draw" u="1"/>
        <s v="Maidenhead Draw" u="1"/>
        <s v="Ebbsfleet" u="1"/>
        <s v="Iceland" u="1"/>
        <s v="Reading draw" u="1"/>
        <s v="Bristol R draw" u="1"/>
        <s v="MK Dons draw" u="1"/>
        <s v="Sutton draw" u="1"/>
        <s v="Serbia draw" u="1"/>
        <s v="Bromley draw" u="1"/>
        <s v="Montenegro" u="1"/>
        <s v="Finland draw" u="1"/>
        <s v="Morecambe Draw" u="1"/>
        <s v="Italy" u="1"/>
        <s v="Czechia Draw" u="1"/>
        <s v="Switzerland" u="1"/>
        <s v="Bosnia" u="1"/>
        <s v="Slovakia draw" u="1"/>
        <s v="Sunderland draw" u="1"/>
        <s v="West Ham draw" u="1"/>
        <s v="Barnet draw" u="1"/>
        <s v="Millwall draw" u="1"/>
        <s v="Marine" u="1"/>
        <s v="Northampton draw" u="1"/>
        <s v="Accrington Draw" u="1"/>
        <s v="Chelsea draw" u="1"/>
        <s v="Southend draw" u="1"/>
        <s v="Grimsby" u="1"/>
        <s v="Norway" u="1"/>
        <s v="Faroe Islands" u="1"/>
        <s v="Yeovil draw" u="1"/>
        <s v="Croatia" u="1"/>
        <s v="Port vale" u="1"/>
        <s v="Kings Lynn draw" u="1"/>
        <s v="Armenia" u="1"/>
        <s v="Fulham" u="1"/>
        <s v="Northampton" u="1"/>
        <s v="Chorley" u="1"/>
        <s v="West Brom Draw" u="1"/>
        <s v="Derby Draw" u="1"/>
        <s v="Brentford Draw" u="1"/>
        <s v="Wales" u="1"/>
        <s v="Blackpool draw" u="1"/>
        <s v="Leeds draw" u="1"/>
        <s v="Newcastle" u="1"/>
        <s v="Grimsby Draw" u="1"/>
        <s v="Crewe Draw" u="1"/>
        <s v="Eastleigh" u="1"/>
        <s v="AFC Fylde" u="1"/>
        <s v="Burton" u="1"/>
        <s v="Notts Co draw" u="1"/>
        <s v="Buxton" u="1"/>
        <s v="Rochdale Draw" u="1"/>
        <s v="N Ireland" u="1"/>
        <s v="Rotherham draw" u="1"/>
        <s v="Scotland draw" u="1"/>
        <s v="Chorley draw" u="1"/>
        <s v="Bristol C" u="1"/>
        <s v="Bosnia draw" u="1"/>
        <s v="Stevenage" u="1"/>
        <s v="Charlton draw" u="1"/>
        <s v="Preston" u="1"/>
        <s v="Gillingham draw" u="1"/>
        <s v="Slovakia" u="1"/>
        <s v="Marine draw" u="1"/>
        <s v="Boreham wood" u="1"/>
        <s v="Exeter" u="1"/>
        <s v="Ipswich" u="1"/>
        <s v="Tranmere draw" u="1"/>
        <s v="Malta" u="1"/>
        <s v="Georgia" u="1"/>
        <s v="Poland" u="1"/>
        <s v="Norway draw" u="1"/>
        <s v="Fleetwood" u="1"/>
        <s v="Arsenal Draw" u="1"/>
        <s v="Coventry draw" u="1"/>
        <s v="Netherlands draw" u="1"/>
        <s v="Turkey" u="1"/>
        <s v="Solihull" u="1"/>
        <s v="Belarus" u="1"/>
        <s v="Fulham draw" u="1"/>
        <s v="Preston draw" u="1"/>
        <s v="QPR" u="1"/>
        <s v="Ipswich Draw" u="1"/>
        <s v="Belgium" u="1"/>
        <s v="Palace draw" u="1"/>
        <s v="Cheltenham" u="1"/>
        <s v="Portsmouth" u="1"/>
        <s v="Georgia draw" u="1"/>
        <s v="Newport" u="1"/>
        <s v="Peterborough Draw" u="1"/>
        <s v="Burton Draw" u="1"/>
        <s v="QPR draw" u="1"/>
        <s v="Birmingham" u="1"/>
        <s v="Liverpool" u="1"/>
        <s v="Cardiff" u="1"/>
        <s v="Luton draw" u="1"/>
        <s v="Wealdstone" u="1"/>
        <s v="Scunthorpe draw" u="1"/>
        <s v="Notts Co" u="1"/>
        <s v="Harrogate" u="1"/>
        <s v="Wimbledon" u="1"/>
        <s v="Austria" u="1"/>
        <s v="Rochdale" u="1"/>
        <s v="Port Vale draw" u="1"/>
        <s v="Forest Green" u="1"/>
        <s v="Scotland" u="1"/>
        <s v="Lithuania" u="1"/>
        <s v="Belgium draw" u="1"/>
        <s v="Carlisle" u="1"/>
        <s v="Stoke draw" u="1"/>
        <s v="Portugal" u="1"/>
        <s v="Charlton" u="1"/>
        <s v="Exeter draw" u="1"/>
        <s v="Newport draw" u="1"/>
      </sharedItems>
    </cacheField>
    <cacheField name="Frac" numFmtId="0">
      <sharedItems/>
    </cacheField>
    <cacheField name="Dec" numFmtId="176">
      <sharedItems containsMixedTypes="1" containsNumber="1" minValue="1.2" maxValue="13"/>
    </cacheField>
    <cacheField name="Bet up " numFmtId="0">
      <sharedItems containsMixedTypes="1" containsNumber="1" containsInteger="1" minValue="0" maxValue="1" count="3">
        <n v="1"/>
        <n v="0"/>
        <e v="#N/A"/>
      </sharedItems>
    </cacheField>
    <cacheField name="Points" numFmtId="2">
      <sharedItems containsMixedTypes="1" containsNumber="1" minValue="0" maxValue="4.4000000000000004"/>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n v="1"/>
    <s v="A"/>
    <s v="Gerard Ventom"/>
    <s v="N"/>
    <x v="0"/>
    <m/>
  </r>
  <r>
    <n v="2"/>
    <s v="A"/>
    <s v="Steve Baxter"/>
    <s v="N"/>
    <x v="0"/>
    <m/>
  </r>
  <r>
    <n v="3"/>
    <s v="A"/>
    <s v="Nigel Heyes"/>
    <s v="N"/>
    <x v="0"/>
    <m/>
  </r>
  <r>
    <n v="4"/>
    <s v="A"/>
    <s v="Barry Birchall"/>
    <s v="N"/>
    <x v="0"/>
    <m/>
  </r>
  <r>
    <n v="5"/>
    <s v="A"/>
    <s v="Kei Lok Ma"/>
    <s v="N"/>
    <x v="0"/>
    <m/>
  </r>
  <r>
    <n v="6"/>
    <s v="A"/>
    <s v="Mark Bunn"/>
    <s v="N"/>
    <x v="0"/>
    <m/>
  </r>
  <r>
    <n v="7"/>
    <s v="A"/>
    <s v="Mark Saunders"/>
    <s v="N"/>
    <x v="0"/>
    <m/>
  </r>
  <r>
    <n v="8"/>
    <s v="A"/>
    <s v="Alfie Davies"/>
    <s v="N"/>
    <x v="0"/>
    <m/>
  </r>
  <r>
    <n v="9"/>
    <s v="A"/>
    <s v="Pete Baron"/>
    <s v="N"/>
    <x v="1"/>
    <m/>
  </r>
  <r>
    <n v="10"/>
    <s v="A"/>
    <s v="Chris Luck"/>
    <s v="N"/>
    <x v="1"/>
    <m/>
  </r>
  <r>
    <n v="11"/>
    <s v="A"/>
    <s v="Stephen Troop"/>
    <s v="N"/>
    <x v="1"/>
    <m/>
  </r>
  <r>
    <n v="12"/>
    <s v="A"/>
    <s v="Mike Penk"/>
    <s v="N"/>
    <x v="1"/>
    <m/>
  </r>
  <r>
    <n v="13"/>
    <s v="A"/>
    <s v="Alick Rocca"/>
    <s v="N"/>
    <x v="1"/>
    <m/>
  </r>
  <r>
    <n v="14"/>
    <s v="A"/>
    <s v="Andy White"/>
    <s v="N"/>
    <x v="1"/>
    <m/>
  </r>
  <r>
    <n v="15"/>
    <s v="A"/>
    <s v="Alan Rogers"/>
    <s v="N"/>
    <x v="1"/>
    <m/>
  </r>
  <r>
    <n v="16"/>
    <s v="A"/>
    <s v="Stephen Barr"/>
    <s v="N"/>
    <x v="1"/>
    <m/>
  </r>
  <r>
    <n v="1"/>
    <s v="B"/>
    <s v="Mal Stott"/>
    <s v="N"/>
    <x v="0"/>
    <m/>
  </r>
  <r>
    <n v="2"/>
    <s v="B"/>
    <s v="Kevin Carter"/>
    <s v="N"/>
    <x v="0"/>
    <m/>
  </r>
  <r>
    <n v="3"/>
    <s v="B"/>
    <s v="Paul Fairhurst"/>
    <s v="N"/>
    <x v="0"/>
    <m/>
  </r>
  <r>
    <n v="4"/>
    <s v="B"/>
    <s v="Sally Williams"/>
    <s v="N"/>
    <x v="0"/>
    <m/>
  </r>
  <r>
    <n v="5"/>
    <s v="B"/>
    <s v="Chris Bow"/>
    <s v="N"/>
    <x v="0"/>
    <m/>
  </r>
  <r>
    <n v="6"/>
    <s v="B"/>
    <s v="Phil Miller"/>
    <s v="N"/>
    <x v="0"/>
    <m/>
  </r>
  <r>
    <n v="7"/>
    <s v="B"/>
    <s v="Steve Carter"/>
    <s v="N"/>
    <x v="0"/>
    <m/>
  </r>
  <r>
    <n v="8"/>
    <s v="B"/>
    <s v="Lennie Bow"/>
    <s v="N"/>
    <x v="0"/>
    <m/>
  </r>
  <r>
    <n v="9"/>
    <s v="B"/>
    <s v="Charlie Griffiths"/>
    <s v="N"/>
    <x v="1"/>
    <m/>
  </r>
  <r>
    <n v="10"/>
    <s v="B"/>
    <s v="Mo Sudell"/>
    <s v="N"/>
    <x v="1"/>
    <m/>
  </r>
  <r>
    <n v="11"/>
    <s v="B"/>
    <s v="Rob England"/>
    <s v="N"/>
    <x v="2"/>
    <m/>
  </r>
  <r>
    <n v="12"/>
    <s v="B"/>
    <s v="Chris Griffin"/>
    <s v="N"/>
    <x v="2"/>
    <m/>
  </r>
  <r>
    <n v="13"/>
    <s v="B"/>
    <s v="Chris Townsend"/>
    <s v="N"/>
    <x v="2"/>
    <m/>
  </r>
  <r>
    <n v="14"/>
    <s v="B"/>
    <s v="Paul Fiddler"/>
    <s v="N"/>
    <x v="2"/>
    <m/>
  </r>
  <r>
    <n v="15"/>
    <s v="B"/>
    <s v="Andy Charleston"/>
    <s v="N"/>
    <x v="2"/>
    <m/>
  </r>
  <r>
    <n v="16"/>
    <s v="B"/>
    <s v="Oscar Jackson"/>
    <s v="N"/>
    <x v="2"/>
    <m/>
  </r>
  <r>
    <n v="1"/>
    <s v="C"/>
    <s v="Howard Bradley"/>
    <s v="N"/>
    <x v="1"/>
    <m/>
  </r>
  <r>
    <n v="2"/>
    <s v="C"/>
    <s v="John Ronan"/>
    <s v="N"/>
    <x v="1"/>
    <m/>
  </r>
  <r>
    <n v="3"/>
    <s v="C"/>
    <s v="Vinny Topping"/>
    <s v="N"/>
    <x v="1"/>
    <m/>
  </r>
  <r>
    <n v="4"/>
    <s v="C"/>
    <s v="Simon Greenhalgh"/>
    <s v="N"/>
    <x v="1"/>
    <m/>
  </r>
  <r>
    <n v="5"/>
    <s v="C"/>
    <s v="James Bell"/>
    <s v="N"/>
    <x v="1"/>
    <m/>
  </r>
  <r>
    <n v="6"/>
    <s v="C"/>
    <s v="Dave Orrell"/>
    <s v="N"/>
    <x v="1"/>
    <m/>
  </r>
  <r>
    <n v="7"/>
    <s v="C"/>
    <s v="Tom Robinson"/>
    <s v="N"/>
    <x v="2"/>
    <m/>
  </r>
  <r>
    <n v="8"/>
    <s v="C"/>
    <s v="Graham Miller"/>
    <s v="N"/>
    <x v="2"/>
    <m/>
  </r>
  <r>
    <n v="9"/>
    <s v="C"/>
    <s v="Paul Allen"/>
    <s v="N"/>
    <x v="2"/>
    <m/>
  </r>
  <r>
    <n v="10"/>
    <s v="C"/>
    <s v="Paul Barnes"/>
    <s v="Y"/>
    <x v="3"/>
    <m/>
  </r>
  <r>
    <n v="11"/>
    <s v="C"/>
    <s v="Martin Molyneux"/>
    <s v="N"/>
    <x v="3"/>
    <m/>
  </r>
  <r>
    <n v="12"/>
    <s v="C"/>
    <s v="Dave Bell"/>
    <s v="N"/>
    <x v="3"/>
    <m/>
  </r>
  <r>
    <n v="13"/>
    <s v="C"/>
    <s v="Gareth Powell"/>
    <s v="N"/>
    <x v="3"/>
    <m/>
  </r>
  <r>
    <n v="14"/>
    <s v="C"/>
    <s v="Martin Tarbuck"/>
    <s v="N"/>
    <x v="3"/>
    <m/>
  </r>
  <r>
    <n v="15"/>
    <s v="C"/>
    <s v="Ashley Houghton"/>
    <s v="N"/>
    <x v="3"/>
    <m/>
  </r>
  <r>
    <n v="16"/>
    <s v="C"/>
    <s v="Joel Bent"/>
    <s v="Y"/>
    <x v="4"/>
    <m/>
  </r>
  <r>
    <n v="1"/>
    <s v="D"/>
    <s v="Alan White"/>
    <s v="N"/>
    <x v="2"/>
    <m/>
  </r>
  <r>
    <n v="2"/>
    <s v="D"/>
    <s v="Ben Rosser"/>
    <s v="N"/>
    <x v="2"/>
    <m/>
  </r>
  <r>
    <n v="3"/>
    <s v="D"/>
    <s v="Jack Walsh"/>
    <s v="N"/>
    <x v="2"/>
    <m/>
  </r>
  <r>
    <n v="4"/>
    <s v="D"/>
    <s v="Paul Ridgeway"/>
    <s v="Y"/>
    <x v="4"/>
    <m/>
  </r>
  <r>
    <n v="5"/>
    <s v="D"/>
    <s v="Nick Blocksidge"/>
    <s v="N"/>
    <x v="2"/>
    <m/>
  </r>
  <r>
    <n v="6"/>
    <s v="D"/>
    <s v="Gareth McGuire"/>
    <s v="N"/>
    <x v="2"/>
    <m/>
  </r>
  <r>
    <n v="7"/>
    <s v="D"/>
    <s v="David Dunn"/>
    <s v="N"/>
    <x v="2"/>
    <m/>
  </r>
  <r>
    <n v="8"/>
    <s v="D"/>
    <s v="Paul Adderley"/>
    <s v="N"/>
    <x v="2"/>
    <m/>
  </r>
  <r>
    <n v="9"/>
    <s v="D"/>
    <s v="Liam Wah"/>
    <s v="N"/>
    <x v="3"/>
    <m/>
  </r>
  <r>
    <n v="10"/>
    <s v="D"/>
    <s v="Ian Davies"/>
    <s v="N"/>
    <x v="3"/>
    <m/>
  </r>
  <r>
    <m/>
    <m/>
    <s v="Andy Hargreaves"/>
    <s v="X"/>
    <x v="3"/>
    <m/>
  </r>
  <r>
    <m/>
    <m/>
    <s v="Alan Bond"/>
    <s v="X"/>
    <x v="3"/>
    <m/>
  </r>
  <r>
    <m/>
    <m/>
    <s v="John Murphy"/>
    <s v="X"/>
    <x v="3"/>
    <m/>
  </r>
  <r>
    <m/>
    <m/>
    <s v="Bob Bailey"/>
    <s v="X"/>
    <x v="3"/>
    <m/>
  </r>
  <r>
    <m/>
    <m/>
    <s v="Dan Gibbard"/>
    <s v="X"/>
    <x v="3"/>
    <m/>
  </r>
  <r>
    <m/>
    <m/>
    <s v="Frank Allen"/>
    <s v="X"/>
    <x v="3"/>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2">
  <r>
    <s v="Division A"/>
    <s v="A1"/>
    <m/>
    <n v="1"/>
    <s v="A"/>
    <s v="Paul Fairhurst"/>
    <m/>
    <m/>
    <n v="169.73645789898993"/>
    <n v="18"/>
    <n v="-1"/>
    <x v="0"/>
    <e v="#REF!"/>
    <n v="108.675"/>
    <n v="10"/>
    <n v="0"/>
    <n v="118.675"/>
    <e v="#REF!"/>
  </r>
  <r>
    <m/>
    <s v="A2"/>
    <m/>
    <n v="2"/>
    <s v="A"/>
    <s v="Barry Birchall"/>
    <m/>
    <m/>
    <n v="52.422337662337654"/>
    <n v="30"/>
    <n v="9.2200000000000024"/>
    <x v="1"/>
    <e v="#REF!"/>
    <n v="77.625"/>
    <n v="10"/>
    <n v="0"/>
    <n v="87.625"/>
    <e v="#REF!"/>
  </r>
  <r>
    <m/>
    <s v="A3"/>
    <m/>
    <n v="3"/>
    <s v="A"/>
    <s v="Chris Bow"/>
    <m/>
    <m/>
    <n v="36.199999999999996"/>
    <n v="21"/>
    <n v="7.75"/>
    <x v="1"/>
    <e v="#REF!"/>
    <n v="55.89"/>
    <n v="10"/>
    <n v="0"/>
    <n v="65.89"/>
    <e v="#REF!"/>
  </r>
  <r>
    <m/>
    <s v="A4"/>
    <m/>
    <n v="4"/>
    <s v="A"/>
    <s v="Mark Saunders"/>
    <m/>
    <m/>
    <n v="34.26347402597402"/>
    <n v="27"/>
    <n v="-2.0600000000000005"/>
    <x v="1"/>
    <e v="#REF!"/>
    <n v="37.26"/>
    <n v="10"/>
    <n v="0"/>
    <n v="47.26"/>
    <e v="#REF!"/>
  </r>
  <r>
    <m/>
    <s v="A5"/>
    <m/>
    <n v="5"/>
    <s v="A"/>
    <s v="Sally Williams"/>
    <m/>
    <m/>
    <n v="12.805"/>
    <n v="14"/>
    <n v="-7"/>
    <x v="0"/>
    <e v="#REF!"/>
    <n v="21.734999999999999"/>
    <n v="5"/>
    <n v="0"/>
    <n v="26.734999999999999"/>
    <e v="#REF!"/>
  </r>
  <r>
    <m/>
    <s v="A6"/>
    <m/>
    <n v="6"/>
    <s v="A"/>
    <s v="Steve Carter"/>
    <m/>
    <m/>
    <n v="10.640701704545467"/>
    <n v="29"/>
    <n v="1.7650000000000006"/>
    <x v="1"/>
    <e v="#REF!"/>
    <n v="9.3149999999999995"/>
    <n v="15"/>
    <n v="0"/>
    <n v="24.314999999999998"/>
    <e v="#REF!"/>
  </r>
  <r>
    <m/>
    <s v="A7"/>
    <m/>
    <n v="7"/>
    <s v="A"/>
    <s v="Kevin Carter"/>
    <m/>
    <m/>
    <n v="10.18110302197802"/>
    <n v="37"/>
    <n v="14.207499999999996"/>
    <x v="2"/>
    <e v="#REF!"/>
    <n v="0"/>
    <n v="5"/>
    <n v="0"/>
    <n v="5"/>
    <e v="#REF!"/>
  </r>
  <r>
    <m/>
    <s v="A8"/>
    <m/>
    <n v="8"/>
    <s v="A"/>
    <s v="Nigel Heyes"/>
    <m/>
    <m/>
    <n v="8.1695454545454549"/>
    <n v="24"/>
    <n v="2.7249999999999996"/>
    <x v="1"/>
    <e v="#REF!"/>
    <n v="0"/>
    <n v="15"/>
    <n v="0"/>
    <n v="15"/>
    <e v="#REF!"/>
  </r>
  <r>
    <m/>
    <s v="A9"/>
    <s v="Play-off"/>
    <n v="9"/>
    <s v="A"/>
    <s v="Phil Miller"/>
    <m/>
    <m/>
    <n v="4.6303696303696311"/>
    <n v="30"/>
    <n v="-0.93846153846153868"/>
    <x v="1"/>
    <e v="#REF!"/>
    <n v="0"/>
    <n v="20"/>
    <n v="0"/>
    <n v="20"/>
    <e v="#REF!"/>
  </r>
  <r>
    <m/>
    <s v="A10"/>
    <s v="Play-off"/>
    <n v="10"/>
    <s v="A"/>
    <s v="Lennie Bow"/>
    <m/>
    <m/>
    <n v="1.7248520541958063"/>
    <n v="36"/>
    <n v="0.57500000000000018"/>
    <x v="1"/>
    <e v="#REF!"/>
    <n v="0"/>
    <n v="5"/>
    <n v="0"/>
    <n v="5"/>
    <e v="#REF!"/>
  </r>
  <r>
    <m/>
    <s v="A11"/>
    <s v="↓"/>
    <n v="11"/>
    <s v="A"/>
    <s v="Gerard Ventom"/>
    <m/>
    <m/>
    <n v="-8.1312499999999979"/>
    <n v="14"/>
    <n v="-7"/>
    <x v="0"/>
    <e v="#REF!"/>
    <n v="0"/>
    <n v="10"/>
    <n v="0"/>
    <n v="10"/>
    <e v="#REF!"/>
  </r>
  <r>
    <m/>
    <s v="A12"/>
    <s v="↓"/>
    <n v="12"/>
    <s v="A"/>
    <s v="Steve Baxter"/>
    <m/>
    <m/>
    <n v="-9.1074458874458912"/>
    <n v="36"/>
    <n v="11.818803418803419"/>
    <x v="2"/>
    <e v="#REF!"/>
    <n v="0"/>
    <n v="10"/>
    <n v="0"/>
    <n v="10"/>
    <e v="#REF!"/>
  </r>
  <r>
    <m/>
    <s v="A13"/>
    <s v="↓"/>
    <n v="13"/>
    <s v="A"/>
    <s v="Mal Stott"/>
    <m/>
    <m/>
    <n v="-21.882575757575747"/>
    <n v="28"/>
    <n v="14.680000000000003"/>
    <x v="1"/>
    <e v="#REF!"/>
    <n v="0"/>
    <n v="0"/>
    <n v="0"/>
    <n v="0"/>
    <e v="#REF!"/>
  </r>
  <r>
    <m/>
    <s v="A14"/>
    <s v="↓"/>
    <n v="14"/>
    <s v="A"/>
    <s v="Alfie Davies"/>
    <m/>
    <m/>
    <n v="-31.12591288341288"/>
    <n v="27"/>
    <n v="-1.6068376068376065"/>
    <x v="1"/>
    <e v="#REF!"/>
    <n v="0"/>
    <n v="10"/>
    <n v="0"/>
    <n v="10"/>
    <e v="#REF!"/>
  </r>
  <r>
    <m/>
    <s v="A15"/>
    <s v="↓"/>
    <n v="15"/>
    <s v="A"/>
    <s v="Mark Bunn"/>
    <m/>
    <m/>
    <n v="-62.134999999999998"/>
    <n v="20"/>
    <n v="-7"/>
    <x v="0"/>
    <e v="#REF!"/>
    <n v="0"/>
    <n v="0"/>
    <n v="0"/>
    <n v="0"/>
    <e v="#REF!"/>
  </r>
  <r>
    <m/>
    <s v="A16"/>
    <s v="↓"/>
    <n v="16"/>
    <s v="A"/>
    <s v="Kei Lok Ma"/>
    <m/>
    <m/>
    <n v="-63.754659090909087"/>
    <n v="15"/>
    <n v="-7"/>
    <x v="0"/>
    <e v="#REF!"/>
    <n v="0"/>
    <n v="5"/>
    <n v="0"/>
    <n v="5"/>
    <e v="#REF!"/>
  </r>
  <r>
    <s v="Division B"/>
    <s v="B1"/>
    <s v="↑"/>
    <n v="1"/>
    <s v="B"/>
    <s v="John Ronan"/>
    <m/>
    <m/>
    <n v="47.911267676767679"/>
    <n v="25"/>
    <n v="-5.2777777777777777"/>
    <x v="3"/>
    <e v="#REF!"/>
    <n v="72.45"/>
    <n v="20"/>
    <n v="0"/>
    <n v="92.45"/>
    <e v="#REF!"/>
  </r>
  <r>
    <m/>
    <s v="B2"/>
    <s v="↑"/>
    <n v="2"/>
    <s v="B"/>
    <s v="Dave Orrell"/>
    <m/>
    <m/>
    <n v="19.671818160472007"/>
    <n v="32"/>
    <n v="-1.1709401709401703"/>
    <x v="1"/>
    <e v="#REF!"/>
    <n v="51.75"/>
    <n v="10"/>
    <n v="5"/>
    <n v="66.75"/>
    <e v="#REF!"/>
  </r>
  <r>
    <m/>
    <s v="B3"/>
    <s v="↑"/>
    <n v="3"/>
    <s v="B"/>
    <s v="Mo Sudell"/>
    <m/>
    <m/>
    <n v="14.139742479742479"/>
    <n v="36"/>
    <n v="-0.40404040404040309"/>
    <x v="1"/>
    <e v="#REF!"/>
    <n v="37.26"/>
    <n v="0"/>
    <n v="0"/>
    <n v="37.26"/>
    <e v="#REF!"/>
  </r>
  <r>
    <m/>
    <s v="B4"/>
    <s v="↑"/>
    <n v="4"/>
    <s v="B"/>
    <s v="Howard Bradley"/>
    <m/>
    <m/>
    <n v="12.59226519159853"/>
    <n v="30"/>
    <n v="-5.5555555555555554"/>
    <x v="3"/>
    <e v="#REF!"/>
    <n v="24.84"/>
    <n v="5"/>
    <n v="0"/>
    <n v="29.84"/>
    <e v="#REF!"/>
  </r>
  <r>
    <m/>
    <s v="B5"/>
    <s v="↑"/>
    <n v="5"/>
    <s v="B"/>
    <s v="Stephen Troop"/>
    <m/>
    <m/>
    <n v="-7.418289590526431"/>
    <n v="33"/>
    <n v="-7"/>
    <x v="0"/>
    <e v="#REF!"/>
    <n v="14.49"/>
    <n v="0"/>
    <n v="0"/>
    <n v="14.49"/>
    <e v="#REF!"/>
  </r>
  <r>
    <m/>
    <s v="B6"/>
    <s v="↑"/>
    <n v="6"/>
    <s v="B"/>
    <s v="Alick Rocca"/>
    <m/>
    <m/>
    <n v="-8.0069230769230764"/>
    <n v="23"/>
    <n v="-1"/>
    <x v="1"/>
    <e v="#REF!"/>
    <n v="6.21"/>
    <n v="5"/>
    <n v="0"/>
    <n v="11.21"/>
    <e v="#REF!"/>
  </r>
  <r>
    <m/>
    <s v="B7"/>
    <s v="Play-off"/>
    <n v="7"/>
    <s v="B"/>
    <s v="Mike Penk"/>
    <m/>
    <m/>
    <n v="-8.5038636363636364"/>
    <n v="25"/>
    <n v="6.666666666666643E-2"/>
    <x v="1"/>
    <e v="#REF!"/>
    <n v="0"/>
    <n v="10"/>
    <n v="0"/>
    <n v="10"/>
    <e v="#REF!"/>
  </r>
  <r>
    <m/>
    <s v="B8"/>
    <s v="Play-off"/>
    <n v="8"/>
    <s v="B"/>
    <s v="Alan Rogers"/>
    <m/>
    <m/>
    <n v="-13.170058823529418"/>
    <n v="17"/>
    <n v="-3"/>
    <x v="0"/>
    <e v="#REF!"/>
    <n v="0"/>
    <n v="5"/>
    <n v="0"/>
    <n v="5"/>
    <e v="#REF!"/>
  </r>
  <r>
    <m/>
    <s v="B9"/>
    <s v="Play-off"/>
    <n v="9"/>
    <s v="B"/>
    <s v="Vinny Topping"/>
    <m/>
    <m/>
    <n v="-34.777481060606057"/>
    <n v="24"/>
    <n v="1.163636363636364"/>
    <x v="1"/>
    <e v="#REF!"/>
    <n v="0"/>
    <n v="0"/>
    <n v="0"/>
    <n v="0"/>
    <e v="#REF!"/>
  </r>
  <r>
    <m/>
    <s v="B10"/>
    <s v="Play-off"/>
    <n v="10"/>
    <s v="B"/>
    <s v="Charlie Griffiths"/>
    <m/>
    <m/>
    <n v="-45.011874999999996"/>
    <n v="19"/>
    <n v="1.1000000000000001"/>
    <x v="3"/>
    <e v="#REF!"/>
    <n v="0"/>
    <n v="5"/>
    <n v="0"/>
    <n v="5"/>
    <e v="#REF!"/>
  </r>
  <r>
    <m/>
    <s v="B11"/>
    <s v="↓"/>
    <n v="11"/>
    <s v="B"/>
    <s v="Pete Baron"/>
    <m/>
    <m/>
    <n v="-52.403234567901229"/>
    <n v="16"/>
    <n v="-7"/>
    <x v="0"/>
    <e v="#REF!"/>
    <n v="0"/>
    <n v="5"/>
    <n v="0"/>
    <n v="5"/>
    <e v="#REF!"/>
  </r>
  <r>
    <m/>
    <s v="B12"/>
    <s v="↓"/>
    <n v="12"/>
    <s v="B"/>
    <s v="Simon Greenhalgh"/>
    <m/>
    <m/>
    <n v="-54.267499999999984"/>
    <n v="22"/>
    <n v="2.3949999999999996"/>
    <x v="1"/>
    <e v="#REF!"/>
    <n v="0"/>
    <n v="5"/>
    <n v="0"/>
    <n v="5"/>
    <e v="#REF!"/>
  </r>
  <r>
    <m/>
    <s v="B13"/>
    <s v="↓"/>
    <n v="13"/>
    <s v="B"/>
    <s v="Andy White"/>
    <m/>
    <m/>
    <n v="-55.06498737373736"/>
    <n v="25"/>
    <n v="0.83500000000000085"/>
    <x v="1"/>
    <e v="#REF!"/>
    <n v="0"/>
    <n v="0"/>
    <n v="0"/>
    <n v="0"/>
    <e v="#REF!"/>
  </r>
  <r>
    <m/>
    <s v="B14"/>
    <s v="↓"/>
    <n v="14"/>
    <s v="B"/>
    <s v="Stephen Barr"/>
    <m/>
    <m/>
    <n v="-58.936531100478469"/>
    <n v="25"/>
    <n v="-1.4000000000000004"/>
    <x v="1"/>
    <e v="#REF!"/>
    <n v="0"/>
    <n v="0"/>
    <n v="0"/>
    <n v="0"/>
    <e v="#REF!"/>
  </r>
  <r>
    <m/>
    <s v="B15"/>
    <s v="↓"/>
    <n v="15"/>
    <s v="B"/>
    <s v="James Bell"/>
    <m/>
    <m/>
    <n v="-66.910800865800866"/>
    <n v="17"/>
    <n v="-7"/>
    <x v="0"/>
    <e v="#REF!"/>
    <n v="0"/>
    <n v="0"/>
    <n v="0"/>
    <n v="0"/>
    <e v="#REF!"/>
  </r>
  <r>
    <m/>
    <s v="B16"/>
    <s v="↓"/>
    <n v="16"/>
    <s v="B"/>
    <s v="Chris Luck"/>
    <m/>
    <m/>
    <n v="-82.536249999999995"/>
    <n v="15"/>
    <n v="-7"/>
    <x v="0"/>
    <e v="#REF!"/>
    <n v="0"/>
    <n v="0"/>
    <n v="0"/>
    <n v="0"/>
    <e v="#REF!"/>
  </r>
  <r>
    <s v="Division C"/>
    <s v="C1"/>
    <s v="↑"/>
    <n v="1"/>
    <s v="C"/>
    <s v="Rob England"/>
    <m/>
    <m/>
    <n v="81.989544230342304"/>
    <n v="39"/>
    <n v="15.466666666666669"/>
    <x v="2"/>
    <e v="#REF!"/>
    <n v="36.225000000000001"/>
    <n v="20"/>
    <n v="0"/>
    <n v="56.225000000000001"/>
    <e v="#REF!"/>
  </r>
  <r>
    <m/>
    <s v="C2"/>
    <s v="↑"/>
    <n v="2"/>
    <s v="C"/>
    <s v="Nick Blocksidge"/>
    <m/>
    <m/>
    <n v="19.261527777777779"/>
    <n v="29"/>
    <n v="-2.6222222222222218"/>
    <x v="1"/>
    <e v="#REF!"/>
    <n v="25.875"/>
    <n v="15"/>
    <n v="0"/>
    <n v="40.875"/>
    <e v="#REF!"/>
  </r>
  <r>
    <m/>
    <s v="C3"/>
    <s v="↑"/>
    <n v="3"/>
    <s v="C"/>
    <s v="Paul Adderley"/>
    <m/>
    <m/>
    <n v="2.4150762987012921"/>
    <n v="29"/>
    <n v="-1.4000000000000004"/>
    <x v="1"/>
    <e v="#REF!"/>
    <n v="18.63"/>
    <n v="10"/>
    <n v="0"/>
    <n v="28.63"/>
    <e v="#REF!"/>
  </r>
  <r>
    <m/>
    <s v="C4"/>
    <s v="↑"/>
    <n v="4"/>
    <s v="C"/>
    <s v="Graham Miller"/>
    <m/>
    <m/>
    <n v="2.1630538277511988"/>
    <n v="30"/>
    <n v="16.239249999999998"/>
    <x v="2"/>
    <e v="#REF!"/>
    <n v="12.42"/>
    <n v="0"/>
    <n v="0"/>
    <n v="12.42"/>
    <e v="#REF!"/>
  </r>
  <r>
    <m/>
    <s v="C5"/>
    <s v="↑"/>
    <n v="5"/>
    <s v="C"/>
    <s v="Paul Fiddler"/>
    <m/>
    <m/>
    <n v="-3.3833078780194183"/>
    <n v="32"/>
    <n v="-1.4000000000000004"/>
    <x v="1"/>
    <e v="#REF!"/>
    <n v="7.2450000000000001"/>
    <n v="10"/>
    <n v="15"/>
    <n v="32.244999999999997"/>
    <e v="#REF!"/>
  </r>
  <r>
    <m/>
    <s v="C6"/>
    <s v="↑"/>
    <n v="6"/>
    <s v="C"/>
    <s v="David Dunn"/>
    <m/>
    <m/>
    <n v="-11.522113095238101"/>
    <n v="28"/>
    <n v="-3"/>
    <x v="3"/>
    <e v="#REF!"/>
    <n v="3.105"/>
    <n v="5"/>
    <n v="0"/>
    <n v="8.1050000000000004"/>
    <e v="#REF!"/>
  </r>
  <r>
    <m/>
    <s v="C7"/>
    <s v="Play-off"/>
    <n v="7"/>
    <s v="C"/>
    <s v="Chris Griffin"/>
    <m/>
    <m/>
    <n v="-16.968784826284825"/>
    <n v="30"/>
    <n v="-4.8499999999999996"/>
    <x v="3"/>
    <e v="#REF!"/>
    <n v="0"/>
    <n v="5"/>
    <n v="0"/>
    <n v="5"/>
    <e v="#REF!"/>
  </r>
  <r>
    <m/>
    <s v="C8"/>
    <s v="Play-off"/>
    <n v="8"/>
    <s v="C"/>
    <s v="Paul Allen"/>
    <m/>
    <m/>
    <n v="-18.029573204573211"/>
    <n v="29"/>
    <n v="-0.30499999999999972"/>
    <x v="1"/>
    <e v="#REF!"/>
    <n v="0"/>
    <n v="5"/>
    <n v="0"/>
    <n v="5"/>
    <e v="#REF!"/>
  </r>
  <r>
    <m/>
    <s v="C9"/>
    <s v="Play-off"/>
    <n v="9"/>
    <s v="C"/>
    <s v="Gareth McGuire"/>
    <m/>
    <m/>
    <n v="-20.029227994227995"/>
    <n v="30"/>
    <n v="-0.4222222222222225"/>
    <x v="1"/>
    <e v="#REF!"/>
    <n v="0"/>
    <n v="5"/>
    <n v="0"/>
    <n v="5"/>
    <e v="#REF!"/>
  </r>
  <r>
    <m/>
    <s v="C10"/>
    <s v="Play-off"/>
    <n v="10"/>
    <s v="C"/>
    <s v="Alan White"/>
    <m/>
    <m/>
    <n v="-27.760909090909092"/>
    <n v="24"/>
    <n v="1.163636363636364"/>
    <x v="1"/>
    <e v="#REF!"/>
    <n v="0"/>
    <n v="5"/>
    <n v="0"/>
    <n v="5"/>
    <e v="#REF!"/>
  </r>
  <r>
    <m/>
    <s v="C11"/>
    <s v="↓"/>
    <n v="11"/>
    <s v="C"/>
    <s v="Andy Charleston"/>
    <m/>
    <m/>
    <n v="-30.729696969696956"/>
    <n v="16"/>
    <n v="-3"/>
    <x v="3"/>
    <e v="#REF!"/>
    <n v="0"/>
    <n v="15"/>
    <n v="0"/>
    <n v="15"/>
    <e v="#REF!"/>
  </r>
  <r>
    <m/>
    <s v="C12"/>
    <s v="↓"/>
    <n v="12"/>
    <s v="C"/>
    <s v="Tom Robinson"/>
    <m/>
    <m/>
    <n v="-32.934463684463687"/>
    <n v="24"/>
    <n v="-0.64999999999999947"/>
    <x v="1"/>
    <e v="#REF!"/>
    <n v="0"/>
    <n v="5"/>
    <n v="0"/>
    <n v="5"/>
    <e v="#REF!"/>
  </r>
  <r>
    <m/>
    <s v="C13"/>
    <s v="↓"/>
    <n v="13"/>
    <s v="C"/>
    <s v="Chris Townsend"/>
    <m/>
    <m/>
    <n v="-41.166153846153847"/>
    <n v="17"/>
    <n v="-0.54615384615384599"/>
    <x v="1"/>
    <e v="#REF!"/>
    <n v="0"/>
    <n v="5"/>
    <n v="0"/>
    <n v="5"/>
    <e v="#REF!"/>
  </r>
  <r>
    <m/>
    <s v="C14"/>
    <s v="↓"/>
    <n v="14"/>
    <s v="C"/>
    <s v="Ben Rosser"/>
    <m/>
    <m/>
    <n v="-50.212727272727271"/>
    <n v="17"/>
    <n v="-3"/>
    <x v="3"/>
    <e v="#REF!"/>
    <n v="0"/>
    <n v="5"/>
    <n v="0"/>
    <n v="5"/>
    <e v="#REF!"/>
  </r>
  <r>
    <m/>
    <s v="C15"/>
    <s v="↓"/>
    <n v="15"/>
    <s v="C"/>
    <s v="Jack Walsh"/>
    <m/>
    <m/>
    <n v="-52.223883061383056"/>
    <n v="21"/>
    <n v="-1.3"/>
    <x v="1"/>
    <e v="#REF!"/>
    <n v="0"/>
    <n v="0"/>
    <n v="0"/>
    <n v="0"/>
    <e v="#REF!"/>
  </r>
  <r>
    <m/>
    <s v="C16"/>
    <s v="↓"/>
    <n v="16"/>
    <s v="C"/>
    <s v="Oscar Jackson"/>
    <m/>
    <m/>
    <n v="-108.66882783882784"/>
    <n v="10"/>
    <n v="-7"/>
    <x v="0"/>
    <e v="#REF!"/>
    <n v="0"/>
    <n v="0"/>
    <n v="0"/>
    <n v="0"/>
    <e v="#REF!"/>
  </r>
  <r>
    <s v="Division D"/>
    <s v="D1"/>
    <s v="↑"/>
    <n v="1"/>
    <s v="D"/>
    <s v="Alan Bond"/>
    <m/>
    <m/>
    <n v="81.85363636363634"/>
    <n v="25"/>
    <n v="-5.15"/>
    <x v="3"/>
    <e v="#REF!"/>
    <n v="24.15"/>
    <n v="20"/>
    <n v="0"/>
    <n v="44.15"/>
    <e v="#REF!"/>
  </r>
  <r>
    <m/>
    <s v="D2"/>
    <s v="↑"/>
    <n v="2"/>
    <s v="D"/>
    <s v="Dan Gibbard"/>
    <m/>
    <m/>
    <n v="66.94207459207459"/>
    <n v="25"/>
    <n v="-1.3"/>
    <x v="3"/>
    <e v="#REF!"/>
    <n v="17.25"/>
    <n v="25"/>
    <n v="0"/>
    <n v="42.25"/>
    <e v="#REF!"/>
  </r>
  <r>
    <m/>
    <s v="D3"/>
    <s v="↑"/>
    <n v="3"/>
    <s v="D"/>
    <s v="Ian Davies"/>
    <m/>
    <m/>
    <n v="42.988749999999989"/>
    <n v="19"/>
    <n v="-3"/>
    <x v="0"/>
    <e v="#REF!"/>
    <n v="12.42"/>
    <n v="20"/>
    <n v="0"/>
    <n v="32.42"/>
    <e v="#REF!"/>
  </r>
  <r>
    <m/>
    <s v="D4"/>
    <s v="↑"/>
    <n v="4"/>
    <s v="D"/>
    <s v="Frank Allen"/>
    <m/>
    <m/>
    <n v="22.895535256410259"/>
    <n v="32"/>
    <n v="21.781818181818181"/>
    <x v="2"/>
    <e v="#REF!"/>
    <n v="8.2799999999999994"/>
    <n v="0"/>
    <n v="5"/>
    <n v="13.28"/>
    <e v="#REF!"/>
  </r>
  <r>
    <m/>
    <s v="D5"/>
    <s v="↑"/>
    <n v="5"/>
    <s v="D"/>
    <s v="Martin Molyneux"/>
    <m/>
    <m/>
    <n v="15.795069652569646"/>
    <n v="33"/>
    <n v="-1.4000000000000004"/>
    <x v="1"/>
    <e v="#REF!"/>
    <n v="4.83"/>
    <n v="15"/>
    <n v="0"/>
    <n v="19.829999999999998"/>
    <e v="#REF!"/>
  </r>
  <r>
    <m/>
    <s v="D6"/>
    <s v="↑"/>
    <n v="6"/>
    <s v="D"/>
    <s v="Ashley Houghton"/>
    <m/>
    <m/>
    <n v="6.1995908826022461"/>
    <n v="26"/>
    <n v="0"/>
    <x v="0"/>
    <e v="#REF!"/>
    <n v="2.0699999999999998"/>
    <n v="15"/>
    <n v="0"/>
    <n v="17.07"/>
    <e v="#REF!"/>
  </r>
  <r>
    <m/>
    <s v="D7"/>
    <s v="Play-off"/>
    <n v="7"/>
    <s v="D"/>
    <s v="Bob Bailey"/>
    <m/>
    <m/>
    <n v="-21.450492424242423"/>
    <n v="20"/>
    <n v="-1"/>
    <x v="0"/>
    <e v="#REF!"/>
    <n v="0"/>
    <n v="5"/>
    <n v="0"/>
    <n v="5"/>
    <e v="#REF!"/>
  </r>
  <r>
    <m/>
    <s v="D8"/>
    <s v="Play-off"/>
    <n v="8"/>
    <s v="D"/>
    <s v="Paul Barnes"/>
    <m/>
    <m/>
    <n v="-34.910024087024084"/>
    <n v="19"/>
    <n v="-5.5555555555555554"/>
    <x v="3"/>
    <e v="#REF!"/>
    <n v="0"/>
    <n v="5"/>
    <n v="25"/>
    <n v="30"/>
    <e v="#REF!"/>
  </r>
  <r>
    <m/>
    <s v="D9"/>
    <m/>
    <n v="9"/>
    <s v="D"/>
    <s v="Martin Tarbuck"/>
    <m/>
    <m/>
    <n v="-36.874810606060599"/>
    <n v="24"/>
    <n v="-3.9"/>
    <x v="3"/>
    <e v="#REF!"/>
    <n v="0"/>
    <n v="10"/>
    <n v="0"/>
    <n v="10"/>
    <e v="#REF!"/>
  </r>
  <r>
    <m/>
    <s v="D10"/>
    <m/>
    <n v="10"/>
    <s v="D"/>
    <s v="Gareth Powell"/>
    <m/>
    <m/>
    <n v="-52.765000000000001"/>
    <n v="18"/>
    <n v="-7"/>
    <x v="0"/>
    <e v="#REF!"/>
    <n v="0"/>
    <n v="0"/>
    <n v="0"/>
    <n v="0"/>
    <e v="#REF!"/>
  </r>
  <r>
    <m/>
    <s v="D11"/>
    <m/>
    <n v="11"/>
    <s v="D"/>
    <s v="Liam Wah"/>
    <m/>
    <m/>
    <n v="-55.767158289241628"/>
    <n v="22"/>
    <n v="-7"/>
    <x v="0"/>
    <e v="#REF!"/>
    <n v="0"/>
    <n v="10"/>
    <n v="0"/>
    <n v="10"/>
    <e v="#REF!"/>
  </r>
  <r>
    <m/>
    <s v="D12"/>
    <m/>
    <n v="12"/>
    <s v="D"/>
    <s v="John Murphy"/>
    <m/>
    <m/>
    <n v="-64.806262626262622"/>
    <n v="15"/>
    <n v="5.0555555555555554"/>
    <x v="1"/>
    <e v="#REF!"/>
    <n v="0"/>
    <n v="5"/>
    <n v="0"/>
    <n v="5"/>
    <e v="#REF!"/>
  </r>
  <r>
    <m/>
    <s v="D13"/>
    <m/>
    <n v="13"/>
    <s v="D"/>
    <s v="Dave Bell"/>
    <m/>
    <m/>
    <n v="-91.45"/>
    <n v="5"/>
    <n v="-7"/>
    <x v="0"/>
    <e v="#REF!"/>
    <n v="0"/>
    <n v="0"/>
    <n v="0"/>
    <n v="0"/>
    <e v="#REF!"/>
  </r>
  <r>
    <m/>
    <s v="D14"/>
    <m/>
    <n v="14"/>
    <s v="D"/>
    <s v="Andy Hargreaves"/>
    <m/>
    <m/>
    <n v="-140"/>
    <n v="0"/>
    <n v="-7"/>
    <x v="0"/>
    <e v="#REF!"/>
    <n v="0"/>
    <n v="0"/>
    <n v="0"/>
    <n v="0"/>
    <e v="#REF!"/>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4">
  <r>
    <x v="0"/>
    <s v="17/20"/>
    <n v="1.85"/>
    <x v="0"/>
    <n v="1.85"/>
  </r>
  <r>
    <x v="1"/>
    <s v="3/4"/>
    <n v="1.75"/>
    <x v="1"/>
    <n v="0"/>
  </r>
  <r>
    <x v="2"/>
    <s v="6/5"/>
    <n v="2.2000000000000002"/>
    <x v="1"/>
    <n v="0"/>
  </r>
  <r>
    <x v="3"/>
    <s v="16/5"/>
    <n v="4.2"/>
    <x v="1"/>
    <n v="0"/>
  </r>
  <r>
    <x v="4"/>
    <s v="23/10"/>
    <n v="3.3"/>
    <x v="1"/>
    <n v="0"/>
  </r>
  <r>
    <x v="5"/>
    <s v="7/5"/>
    <n v="2.4"/>
    <x v="1"/>
    <n v="0"/>
  </r>
  <r>
    <x v="6"/>
    <s v="10/11"/>
    <n v="1.9090909090909092"/>
    <x v="0"/>
    <n v="1.9090909090909092"/>
  </r>
  <r>
    <x v="7"/>
    <s v="23/20"/>
    <n v="2.15"/>
    <x v="0"/>
    <n v="2.15"/>
  </r>
  <r>
    <x v="8"/>
    <s v="16/11"/>
    <n v="2.4545454545454546"/>
    <x v="1"/>
    <n v="0"/>
  </r>
  <r>
    <x v="9"/>
    <s v="4/9"/>
    <n v="1.4444444444444444"/>
    <x v="0"/>
    <n v="1.4444444444444444"/>
  </r>
  <r>
    <x v="10"/>
    <s v="8/13"/>
    <n v="1.6153846153846154"/>
    <x v="0"/>
    <n v="1.6153846153846154"/>
  </r>
  <r>
    <x v="11"/>
    <s v="5/2"/>
    <n v="3.5"/>
    <x v="1"/>
    <n v="0"/>
  </r>
  <r>
    <x v="12"/>
    <s v="23/10"/>
    <n v="3.3"/>
    <x v="1"/>
    <n v="0"/>
  </r>
  <r>
    <x v="13"/>
    <s v="9/4"/>
    <n v="3.25"/>
    <x v="0"/>
    <n v="3.25"/>
  </r>
  <r>
    <x v="14"/>
    <s v="12/5"/>
    <n v="3.4"/>
    <x v="0"/>
    <n v="3.4"/>
  </r>
  <r>
    <x v="15"/>
    <s v="9/4"/>
    <n v="3.25"/>
    <x v="0"/>
    <n v="3.25"/>
  </r>
  <r>
    <x v="16"/>
    <s v="5/2"/>
    <n v="3.5"/>
    <x v="1"/>
    <n v="0"/>
  </r>
  <r>
    <x v="17"/>
    <s v="12/5"/>
    <n v="3.4"/>
    <x v="1"/>
    <n v="0"/>
  </r>
  <r>
    <x v="18"/>
    <e v="#N/A"/>
    <e v="#N/A"/>
    <x v="2"/>
    <e v="#N/A"/>
  </r>
  <r>
    <x v="18"/>
    <e v="#N/A"/>
    <e v="#N/A"/>
    <x v="2"/>
    <e v="#N/A"/>
  </r>
  <r>
    <x v="18"/>
    <e v="#N/A"/>
    <e v="#N/A"/>
    <x v="2"/>
    <e v="#N/A"/>
  </r>
  <r>
    <x v="19"/>
    <s v="24/5"/>
    <n v="5.8"/>
    <x v="1"/>
    <n v="0"/>
  </r>
  <r>
    <x v="0"/>
    <s v="17/20"/>
    <n v="1.85"/>
    <x v="0"/>
    <n v="1.85"/>
  </r>
  <r>
    <x v="20"/>
    <s v="11/10"/>
    <n v="2.1"/>
    <x v="0"/>
    <n v="2.1"/>
  </r>
  <r>
    <x v="21"/>
    <s v="8/13"/>
    <n v="1.6153846153846154"/>
    <x v="1"/>
    <n v="0"/>
  </r>
  <r>
    <x v="5"/>
    <s v="7/5"/>
    <n v="2.4"/>
    <x v="1"/>
    <n v="0"/>
  </r>
  <r>
    <x v="22"/>
    <s v="8/5"/>
    <n v="2.6"/>
    <x v="1"/>
    <n v="0"/>
  </r>
  <r>
    <x v="23"/>
    <s v="4/5"/>
    <n v="1.8"/>
    <x v="1"/>
    <n v="0"/>
  </r>
  <r>
    <x v="24"/>
    <s v="11/5"/>
    <n v="3.2"/>
    <x v="0"/>
    <n v="3.2"/>
  </r>
  <r>
    <x v="25"/>
    <s v="21/10"/>
    <n v="3.1"/>
    <x v="0"/>
    <n v="3.1"/>
  </r>
  <r>
    <x v="19"/>
    <s v="24/5"/>
    <n v="5.8"/>
    <x v="1"/>
    <n v="0"/>
  </r>
  <r>
    <x v="26"/>
    <s v="5/2"/>
    <n v="3.5"/>
    <x v="0"/>
    <n v="3.5"/>
  </r>
  <r>
    <x v="27"/>
    <s v="11/4"/>
    <n v="3.75"/>
    <x v="1"/>
    <n v="0"/>
  </r>
  <r>
    <x v="28"/>
    <s v="5/6"/>
    <n v="1.8333333333333335"/>
    <x v="1"/>
    <n v="0"/>
  </r>
  <r>
    <x v="19"/>
    <s v="24/5"/>
    <n v="5.8"/>
    <x v="1"/>
    <n v="0"/>
  </r>
  <r>
    <x v="29"/>
    <s v="11/8"/>
    <n v="2.375"/>
    <x v="1"/>
    <n v="0"/>
  </r>
  <r>
    <x v="5"/>
    <s v="7/5"/>
    <n v="2.4"/>
    <x v="1"/>
    <n v="0"/>
  </r>
  <r>
    <x v="30"/>
    <s v="11/8"/>
    <n v="2.375"/>
    <x v="1"/>
    <n v="0"/>
  </r>
  <r>
    <x v="31"/>
    <s v="11/10"/>
    <n v="2.1"/>
    <x v="0"/>
    <n v="2.1"/>
  </r>
  <r>
    <x v="19"/>
    <s v="24/5"/>
    <n v="5.8"/>
    <x v="1"/>
    <n v="0"/>
  </r>
  <r>
    <x v="32"/>
    <s v="3/1"/>
    <n v="4"/>
    <x v="0"/>
    <n v="4"/>
  </r>
  <r>
    <x v="7"/>
    <s v="23/20"/>
    <n v="2.15"/>
    <x v="0"/>
    <n v="2.15"/>
  </r>
  <r>
    <x v="7"/>
    <s v="23/20"/>
    <n v="2.15"/>
    <x v="0"/>
    <n v="2.15"/>
  </r>
  <r>
    <x v="1"/>
    <s v="3/4"/>
    <n v="1.75"/>
    <x v="1"/>
    <n v="0"/>
  </r>
  <r>
    <x v="16"/>
    <s v="5/2"/>
    <n v="3.5"/>
    <x v="1"/>
    <n v="0"/>
  </r>
  <r>
    <x v="16"/>
    <s v="5/2"/>
    <n v="3.5"/>
    <x v="1"/>
    <n v="0"/>
  </r>
  <r>
    <x v="33"/>
    <s v="11/2"/>
    <n v="6.5"/>
    <x v="1"/>
    <n v="0"/>
  </r>
  <r>
    <x v="27"/>
    <s v="11/4"/>
    <n v="3.75"/>
    <x v="1"/>
    <n v="0"/>
  </r>
  <r>
    <x v="10"/>
    <s v="8/13"/>
    <n v="1.6153846153846154"/>
    <x v="0"/>
    <n v="1.6153846153846154"/>
  </r>
  <r>
    <x v="0"/>
    <s v="17/20"/>
    <n v="1.85"/>
    <x v="0"/>
    <n v="1.85"/>
  </r>
  <r>
    <x v="34"/>
    <s v="15/4"/>
    <n v="4.75"/>
    <x v="1"/>
    <n v="0"/>
  </r>
  <r>
    <x v="5"/>
    <s v="7/5"/>
    <n v="2.4"/>
    <x v="1"/>
    <n v="0"/>
  </r>
  <r>
    <x v="16"/>
    <s v="5/2"/>
    <n v="3.5"/>
    <x v="1"/>
    <n v="0"/>
  </r>
  <r>
    <x v="35"/>
    <s v="7/10"/>
    <n v="1.7"/>
    <x v="0"/>
    <n v="1.7"/>
  </r>
  <r>
    <x v="36"/>
    <s v="12/1"/>
    <n v="13"/>
    <x v="1"/>
    <n v="0"/>
  </r>
  <r>
    <x v="37"/>
    <s v="13/2"/>
    <n v="7.5"/>
    <x v="1"/>
    <n v="0"/>
  </r>
  <r>
    <x v="19"/>
    <s v="24/5"/>
    <n v="5.8"/>
    <x v="1"/>
    <n v="0"/>
  </r>
  <r>
    <x v="2"/>
    <s v="6/5"/>
    <n v="2.2000000000000002"/>
    <x v="1"/>
    <n v="0"/>
  </r>
  <r>
    <x v="38"/>
    <s v="11/18"/>
    <n v="1.6111111111111112"/>
    <x v="0"/>
    <n v="1.6111111111111112"/>
  </r>
  <r>
    <x v="10"/>
    <s v="8/13"/>
    <n v="1.6153846153846154"/>
    <x v="0"/>
    <n v="1.6153846153846154"/>
  </r>
  <r>
    <x v="16"/>
    <s v="5/2"/>
    <n v="3.5"/>
    <x v="1"/>
    <n v="0"/>
  </r>
  <r>
    <x v="39"/>
    <s v="9/4"/>
    <n v="3.25"/>
    <x v="0"/>
    <n v="3.25"/>
  </r>
  <r>
    <x v="1"/>
    <s v="3/4"/>
    <n v="1.75"/>
    <x v="1"/>
    <n v="0"/>
  </r>
  <r>
    <x v="40"/>
    <s v="5/4"/>
    <n v="2.25"/>
    <x v="0"/>
    <n v="2.25"/>
  </r>
  <r>
    <x v="6"/>
    <s v="10/11"/>
    <n v="1.9090909090909092"/>
    <x v="0"/>
    <n v="1.9090909090909092"/>
  </r>
  <r>
    <x v="7"/>
    <s v="23/20"/>
    <n v="2.15"/>
    <x v="0"/>
    <n v="2.15"/>
  </r>
  <r>
    <x v="9"/>
    <s v="4/9"/>
    <n v="1.4444444444444444"/>
    <x v="0"/>
    <n v="1.4444444444444444"/>
  </r>
  <r>
    <x v="20"/>
    <s v="11/10"/>
    <n v="2.1"/>
    <x v="0"/>
    <n v="2.1"/>
  </r>
  <r>
    <x v="23"/>
    <s v="4/5"/>
    <n v="1.8"/>
    <x v="1"/>
    <n v="0"/>
  </r>
  <r>
    <x v="18"/>
    <e v="#N/A"/>
    <e v="#N/A"/>
    <x v="2"/>
    <e v="#N/A"/>
  </r>
  <r>
    <x v="18"/>
    <e v="#N/A"/>
    <e v="#N/A"/>
    <x v="2"/>
    <e v="#N/A"/>
  </r>
  <r>
    <x v="18"/>
    <e v="#N/A"/>
    <e v="#N/A"/>
    <x v="2"/>
    <e v="#N/A"/>
  </r>
  <r>
    <x v="3"/>
    <s v="16/5"/>
    <n v="4.2"/>
    <x v="1"/>
    <n v="0"/>
  </r>
  <r>
    <x v="37"/>
    <s v="13/2"/>
    <n v="7.5"/>
    <x v="1"/>
    <n v="0"/>
  </r>
  <r>
    <x v="11"/>
    <s v="5/2"/>
    <n v="3.5"/>
    <x v="1"/>
    <n v="0"/>
  </r>
  <r>
    <x v="0"/>
    <s v="17/20"/>
    <n v="1.85"/>
    <x v="0"/>
    <n v="1.85"/>
  </r>
  <r>
    <x v="35"/>
    <s v="7/10"/>
    <n v="1.7"/>
    <x v="0"/>
    <n v="1.7"/>
  </r>
  <r>
    <x v="7"/>
    <s v="23/20"/>
    <n v="2.15"/>
    <x v="0"/>
    <n v="2.15"/>
  </r>
  <r>
    <x v="9"/>
    <s v="4/9"/>
    <n v="1.4444444444444444"/>
    <x v="0"/>
    <n v="1.4444444444444444"/>
  </r>
  <r>
    <x v="1"/>
    <s v="3/4"/>
    <n v="1.75"/>
    <x v="1"/>
    <n v="0"/>
  </r>
  <r>
    <x v="41"/>
    <s v="11/5"/>
    <n v="3.2"/>
    <x v="1"/>
    <n v="0"/>
  </r>
  <r>
    <x v="4"/>
    <s v="23/10"/>
    <n v="3.3"/>
    <x v="1"/>
    <n v="0"/>
  </r>
  <r>
    <x v="5"/>
    <s v="7/5"/>
    <n v="2.4"/>
    <x v="1"/>
    <n v="0"/>
  </r>
  <r>
    <x v="41"/>
    <s v="11/5"/>
    <n v="3.2"/>
    <x v="1"/>
    <n v="0"/>
  </r>
  <r>
    <x v="42"/>
    <s v="11/5"/>
    <n v="3.2"/>
    <x v="0"/>
    <n v="3.2"/>
  </r>
  <r>
    <x v="35"/>
    <s v="7/10"/>
    <n v="1.7"/>
    <x v="0"/>
    <n v="1.7"/>
  </r>
  <r>
    <x v="43"/>
    <s v="11/4"/>
    <n v="3.75"/>
    <x v="1"/>
    <n v="0"/>
  </r>
  <r>
    <x v="18"/>
    <e v="#N/A"/>
    <e v="#N/A"/>
    <x v="2"/>
    <e v="#N/A"/>
  </r>
  <r>
    <x v="18"/>
    <e v="#N/A"/>
    <e v="#N/A"/>
    <x v="2"/>
    <e v="#N/A"/>
  </r>
  <r>
    <x v="18"/>
    <e v="#N/A"/>
    <e v="#N/A"/>
    <x v="2"/>
    <e v="#N/A"/>
  </r>
  <r>
    <x v="32"/>
    <s v="3/1"/>
    <n v="4"/>
    <x v="0"/>
    <n v="4"/>
  </r>
  <r>
    <x v="44"/>
    <s v="2/1"/>
    <n v="3"/>
    <x v="1"/>
    <n v="0"/>
  </r>
  <r>
    <x v="38"/>
    <s v="11/18"/>
    <n v="1.6111111111111112"/>
    <x v="0"/>
    <n v="1.6111111111111112"/>
  </r>
  <r>
    <x v="1"/>
    <s v="3/4"/>
    <n v="1.75"/>
    <x v="1"/>
    <n v="0"/>
  </r>
  <r>
    <x v="45"/>
    <s v="5/2"/>
    <n v="3.5"/>
    <x v="1"/>
    <n v="0"/>
  </r>
  <r>
    <x v="46"/>
    <s v="13/18"/>
    <n v="1.7222222222222223"/>
    <x v="0"/>
    <n v="1.7222222222222223"/>
  </r>
  <r>
    <x v="16"/>
    <s v="5/2"/>
    <n v="3.5"/>
    <x v="1"/>
    <n v="0"/>
  </r>
  <r>
    <x v="43"/>
    <s v="11/4"/>
    <n v="3.75"/>
    <x v="1"/>
    <n v="0"/>
  </r>
  <r>
    <x v="47"/>
    <s v="7/10"/>
    <n v="1.7"/>
    <x v="1"/>
    <n v="0"/>
  </r>
  <r>
    <x v="35"/>
    <s v="7/10"/>
    <n v="1.7"/>
    <x v="0"/>
    <n v="1.7"/>
  </r>
  <r>
    <x v="38"/>
    <s v="11/18"/>
    <n v="1.6111111111111112"/>
    <x v="0"/>
    <n v="1.6111111111111112"/>
  </r>
  <r>
    <x v="7"/>
    <s v="23/20"/>
    <n v="2.15"/>
    <x v="0"/>
    <n v="2.15"/>
  </r>
  <r>
    <x v="7"/>
    <s v="23/20"/>
    <n v="2.15"/>
    <x v="0"/>
    <n v="2.15"/>
  </r>
  <r>
    <x v="47"/>
    <s v="7/10"/>
    <n v="1.7"/>
    <x v="1"/>
    <n v="0"/>
  </r>
  <r>
    <x v="46"/>
    <s v="13/18"/>
    <n v="1.7222222222222223"/>
    <x v="0"/>
    <n v="1.7222222222222223"/>
  </r>
  <r>
    <x v="18"/>
    <e v="#N/A"/>
    <e v="#N/A"/>
    <x v="2"/>
    <e v="#N/A"/>
  </r>
  <r>
    <x v="18"/>
    <e v="#N/A"/>
    <e v="#N/A"/>
    <x v="2"/>
    <e v="#N/A"/>
  </r>
  <r>
    <x v="18"/>
    <e v="#N/A"/>
    <e v="#N/A"/>
    <x v="2"/>
    <e v="#N/A"/>
  </r>
  <r>
    <x v="24"/>
    <s v="11/5"/>
    <n v="3.2"/>
    <x v="0"/>
    <n v="3.2"/>
  </r>
  <r>
    <x v="48"/>
    <s v="17/5"/>
    <n v="4.4000000000000004"/>
    <x v="0"/>
    <n v="4.4000000000000004"/>
  </r>
  <r>
    <x v="49"/>
    <s v="29/10"/>
    <n v="3.9"/>
    <x v="1"/>
    <n v="0"/>
  </r>
  <r>
    <x v="41"/>
    <s v="11/5"/>
    <n v="3.2"/>
    <x v="1"/>
    <n v="0"/>
  </r>
  <r>
    <x v="50"/>
    <s v="9/4"/>
    <n v="3.25"/>
    <x v="1"/>
    <n v="0"/>
  </r>
  <r>
    <x v="51"/>
    <s v="37/13"/>
    <n v="3.8461538461538463"/>
    <x v="1"/>
    <n v="0"/>
  </r>
  <r>
    <x v="1"/>
    <s v="3/4"/>
    <n v="1.75"/>
    <x v="1"/>
    <n v="0"/>
  </r>
  <r>
    <x v="35"/>
    <s v="7/10"/>
    <n v="1.7"/>
    <x v="0"/>
    <n v="1.7"/>
  </r>
  <r>
    <x v="52"/>
    <s v="1/5"/>
    <n v="1.2"/>
    <x v="0"/>
    <n v="1.2"/>
  </r>
  <r>
    <x v="35"/>
    <s v="7/10"/>
    <n v="1.7"/>
    <x v="0"/>
    <n v="1.7"/>
  </r>
  <r>
    <x v="9"/>
    <s v="4/9"/>
    <n v="1.4444444444444444"/>
    <x v="0"/>
    <n v="1.4444444444444444"/>
  </r>
  <r>
    <x v="1"/>
    <s v="3/4"/>
    <n v="1.75"/>
    <x v="1"/>
    <n v="0"/>
  </r>
  <r>
    <x v="45"/>
    <s v="5/2"/>
    <n v="3.5"/>
    <x v="1"/>
    <n v="0"/>
  </r>
  <r>
    <x v="25"/>
    <s v="21/10"/>
    <n v="3.1"/>
    <x v="0"/>
    <n v="3.1"/>
  </r>
  <r>
    <x v="23"/>
    <s v="4/5"/>
    <n v="1.8"/>
    <x v="1"/>
    <n v="0"/>
  </r>
  <r>
    <x v="23"/>
    <s v="4/5"/>
    <n v="1.8"/>
    <x v="1"/>
    <n v="0"/>
  </r>
  <r>
    <x v="9"/>
    <s v="4/9"/>
    <n v="1.4444444444444444"/>
    <x v="0"/>
    <n v="1.4444444444444444"/>
  </r>
  <r>
    <x v="53"/>
    <s v="13/10"/>
    <n v="2.2999999999999998"/>
    <x v="0"/>
    <n v="2.2999999999999998"/>
  </r>
  <r>
    <x v="47"/>
    <s v="7/10"/>
    <n v="1.7"/>
    <x v="1"/>
    <n v="0"/>
  </r>
  <r>
    <x v="38"/>
    <s v="11/18"/>
    <n v="1.6111111111111112"/>
    <x v="0"/>
    <n v="1.6111111111111112"/>
  </r>
  <r>
    <x v="6"/>
    <s v="10/11"/>
    <n v="1.9090909090909092"/>
    <x v="0"/>
    <n v="1.9090909090909092"/>
  </r>
  <r>
    <x v="52"/>
    <s v="1/5"/>
    <n v="1.2"/>
    <x v="0"/>
    <n v="1.2"/>
  </r>
  <r>
    <x v="9"/>
    <s v="4/9"/>
    <n v="1.4444444444444444"/>
    <x v="0"/>
    <n v="1.4444444444444444"/>
  </r>
  <r>
    <x v="27"/>
    <s v="11/4"/>
    <n v="3.75"/>
    <x v="1"/>
    <n v="0"/>
  </r>
  <r>
    <x v="23"/>
    <s v="4/5"/>
    <n v="1.8"/>
    <x v="1"/>
    <n v="0"/>
  </r>
  <r>
    <x v="53"/>
    <s v="13/10"/>
    <n v="2.2999999999999998"/>
    <x v="0"/>
    <n v="2.2999999999999998"/>
  </r>
  <r>
    <x v="40"/>
    <s v="5/4"/>
    <n v="2.25"/>
    <x v="0"/>
    <n v="2.25"/>
  </r>
  <r>
    <x v="18"/>
    <e v="#N/A"/>
    <e v="#N/A"/>
    <x v="2"/>
    <e v="#N/A"/>
  </r>
  <r>
    <x v="18"/>
    <e v="#N/A"/>
    <e v="#N/A"/>
    <x v="2"/>
    <e v="#N/A"/>
  </r>
  <r>
    <x v="18"/>
    <e v="#N/A"/>
    <e v="#N/A"/>
    <x v="2"/>
    <e v="#N/A"/>
  </r>
  <r>
    <x v="35"/>
    <s v="7/10"/>
    <n v="1.7"/>
    <x v="0"/>
    <n v="1.7"/>
  </r>
  <r>
    <x v="1"/>
    <s v="3/4"/>
    <n v="1.75"/>
    <x v="1"/>
    <n v="0"/>
  </r>
  <r>
    <x v="9"/>
    <s v="4/9"/>
    <n v="1.4444444444444444"/>
    <x v="0"/>
    <n v="1.4444444444444444"/>
  </r>
  <r>
    <x v="0"/>
    <s v="17/20"/>
    <n v="1.85"/>
    <x v="0"/>
    <n v="1.85"/>
  </r>
  <r>
    <x v="35"/>
    <s v="7/10"/>
    <n v="1.7"/>
    <x v="0"/>
    <n v="1.7"/>
  </r>
  <r>
    <x v="1"/>
    <s v="3/4"/>
    <n v="1.75"/>
    <x v="1"/>
    <n v="0"/>
  </r>
  <r>
    <x v="9"/>
    <s v="4/9"/>
    <n v="1.4444444444444444"/>
    <x v="0"/>
    <n v="1.4444444444444444"/>
  </r>
  <r>
    <x v="3"/>
    <s v="16/5"/>
    <n v="4.2"/>
    <x v="1"/>
    <n v="0"/>
  </r>
  <r>
    <x v="43"/>
    <s v="11/4"/>
    <n v="3.75"/>
    <x v="1"/>
    <n v="0"/>
  </r>
  <r>
    <x v="54"/>
    <s v="15/8"/>
    <n v="2.875"/>
    <x v="1"/>
    <n v="0"/>
  </r>
  <r>
    <x v="44"/>
    <s v="2/1"/>
    <n v="3"/>
    <x v="1"/>
    <n v="0"/>
  </r>
  <r>
    <x v="55"/>
    <s v="5/2"/>
    <n v="3.5"/>
    <x v="1"/>
    <n v="0"/>
  </r>
  <r>
    <x v="9"/>
    <s v="4/9"/>
    <n v="1.4444444444444444"/>
    <x v="0"/>
    <n v="1.4444444444444444"/>
  </r>
  <r>
    <x v="35"/>
    <s v="7/10"/>
    <n v="1.7"/>
    <x v="0"/>
    <n v="1.7"/>
  </r>
  <r>
    <x v="1"/>
    <s v="3/4"/>
    <n v="1.75"/>
    <x v="1"/>
    <n v="0"/>
  </r>
  <r>
    <x v="33"/>
    <s v="11/2"/>
    <n v="6.5"/>
    <x v="1"/>
    <n v="0"/>
  </r>
  <r>
    <x v="19"/>
    <s v="24/5"/>
    <n v="5.8"/>
    <x v="1"/>
    <n v="0"/>
  </r>
  <r>
    <x v="56"/>
    <s v="19/5"/>
    <n v="4.8"/>
    <x v="1"/>
    <n v="0"/>
  </r>
  <r>
    <x v="35"/>
    <s v="7/10"/>
    <n v="1.7"/>
    <x v="0"/>
    <n v="1.7"/>
  </r>
  <r>
    <x v="1"/>
    <s v="3/4"/>
    <n v="1.75"/>
    <x v="1"/>
    <n v="0"/>
  </r>
  <r>
    <x v="10"/>
    <s v="8/13"/>
    <n v="1.6153846153846154"/>
    <x v="0"/>
    <n v="1.6153846153846154"/>
  </r>
  <r>
    <x v="9"/>
    <s v="4/9"/>
    <n v="1.4444444444444444"/>
    <x v="0"/>
    <n v="1.4444444444444444"/>
  </r>
  <r>
    <x v="6"/>
    <s v="10/11"/>
    <n v="1.9090909090909092"/>
    <x v="0"/>
    <n v="1.9090909090909092"/>
  </r>
  <r>
    <x v="53"/>
    <s v="13/10"/>
    <n v="2.2999999999999998"/>
    <x v="0"/>
    <n v="2.2999999999999998"/>
  </r>
  <r>
    <x v="16"/>
    <s v="5/2"/>
    <n v="3.5"/>
    <x v="1"/>
    <n v="0"/>
  </r>
  <r>
    <x v="4"/>
    <s v="23/10"/>
    <n v="3.3"/>
    <x v="1"/>
    <n v="0"/>
  </r>
  <r>
    <x v="41"/>
    <s v="11/5"/>
    <n v="3.2"/>
    <x v="1"/>
    <n v="0"/>
  </r>
  <r>
    <x v="2"/>
    <s v="6/5"/>
    <n v="2.2000000000000002"/>
    <x v="1"/>
    <n v="0"/>
  </r>
  <r>
    <x v="53"/>
    <s v="13/10"/>
    <n v="2.2999999999999998"/>
    <x v="0"/>
    <n v="2.2999999999999998"/>
  </r>
  <r>
    <x v="7"/>
    <s v="23/20"/>
    <n v="2.15"/>
    <x v="0"/>
    <n v="2.15"/>
  </r>
  <r>
    <x v="1"/>
    <s v="3/4"/>
    <n v="1.75"/>
    <x v="1"/>
    <n v="0"/>
  </r>
  <r>
    <x v="35"/>
    <s v="7/10"/>
    <n v="1.7"/>
    <x v="0"/>
    <n v="1.7"/>
  </r>
  <r>
    <x v="9"/>
    <s v="4/9"/>
    <n v="1.4444444444444444"/>
    <x v="0"/>
    <n v="1.4444444444444444"/>
  </r>
  <r>
    <x v="43"/>
    <s v="11/4"/>
    <n v="3.75"/>
    <x v="1"/>
    <n v="0"/>
  </r>
  <r>
    <x v="1"/>
    <s v="3/4"/>
    <n v="1.75"/>
    <x v="1"/>
    <n v="0"/>
  </r>
  <r>
    <x v="36"/>
    <s v="12/1"/>
    <n v="13"/>
    <x v="1"/>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13A029E-070A-44C8-B452-69DD43CCA214}" name="PivotTable1" cacheId="14"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location ref="H2:I9" firstHeaderRow="1" firstDataRow="1" firstDataCol="1"/>
  <pivotFields count="6">
    <pivotField showAll="0"/>
    <pivotField showAll="0"/>
    <pivotField dataField="1" showAll="0"/>
    <pivotField showAll="0"/>
    <pivotField axis="axisRow" showAll="0">
      <items count="7">
        <item x="0"/>
        <item x="1"/>
        <item x="2"/>
        <item x="3"/>
        <item x="4"/>
        <item x="5"/>
        <item t="default"/>
      </items>
    </pivotField>
    <pivotField showAll="0"/>
  </pivotFields>
  <rowFields count="1">
    <field x="4"/>
  </rowFields>
  <rowItems count="7">
    <i>
      <x/>
    </i>
    <i>
      <x v="1"/>
    </i>
    <i>
      <x v="2"/>
    </i>
    <i>
      <x v="3"/>
    </i>
    <i>
      <x v="4"/>
    </i>
    <i>
      <x v="5"/>
    </i>
    <i t="grand">
      <x/>
    </i>
  </rowItems>
  <colItems count="1">
    <i/>
  </colItems>
  <dataFields count="1">
    <dataField name="Count of Players"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B99C7606-5E15-437C-8512-2EE86449D1D3}" name="PivotTable1" cacheId="15" dataOnRows="1" applyNumberFormats="0" applyBorderFormats="0" applyFontFormats="0" applyPatternFormats="0" applyAlignmentFormats="0" applyWidthHeightFormats="1" dataCaption="Data" updatedVersion="7" minRefreshableVersion="3" showMemberPropertyTips="0" useAutoFormatting="1" itemPrintTitles="1" createdVersion="6" indent="0" compact="0" compactData="0" gridDropZones="1">
  <location ref="A3:B9" firstHeaderRow="2" firstDataRow="2" firstDataCol="1"/>
  <pivotFields count="18">
    <pivotField compact="0" outline="0" subtotalTop="0" showAll="0" defaultSubtotal="0"/>
    <pivotField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dataField="1"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sortType="descending">
      <items count="6">
        <item m="1" x="4"/>
        <item x="2"/>
        <item x="1"/>
        <item x="3"/>
        <item x="0"/>
        <item t="default"/>
      </items>
    </pivotField>
    <pivotField compact="0" outline="0" subtotalTop="0" showAll="0" includeNewItemsInFilter="1"/>
    <pivotField compact="0" outline="0" subtotalTop="0" showAll="0" includeNewItemsInFilter="1" defaultSubtotal="0"/>
    <pivotField compact="0" outline="0" subtotalTop="0" showAll="0" includeNewItemsInFilter="1" defaultSubtotal="0"/>
    <pivotField compact="0" outline="0" subtotalTop="0" showAll="0" includeNewItemsInFilter="1"/>
    <pivotField compact="0" outline="0" subtotalTop="0" showAll="0" includeNewItemsInFilter="1" defaultSubtotal="0"/>
    <pivotField compact="0" outline="0" subtotalTop="0" showAll="0" includeNewItemsInFilter="1"/>
  </pivotFields>
  <rowFields count="1">
    <field x="11"/>
  </rowFields>
  <rowItems count="5">
    <i>
      <x v="1"/>
    </i>
    <i>
      <x v="2"/>
    </i>
    <i>
      <x v="3"/>
    </i>
    <i>
      <x v="4"/>
    </i>
    <i t="grand">
      <x/>
    </i>
  </rowItems>
  <colItems count="1">
    <i/>
  </colItems>
  <dataFields count="1">
    <dataField name="Count of Player" fld="5"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E00-000000000000}" name="PivotTable4" cacheId="16" dataOnRows="1" applyNumberFormats="0" applyBorderFormats="0" applyFontFormats="0" applyPatternFormats="0" applyAlignmentFormats="0" applyWidthHeightFormats="1" dataCaption="Data" updatedVersion="7" minRefreshableVersion="3" showMemberPropertyTips="0" useAutoFormatting="1" itemPrintTitles="1" createdVersion="6" indent="0" compact="0" compactData="0" gridDropZones="1">
  <location ref="A3:E62" firstHeaderRow="1" firstDataRow="2" firstDataCol="1"/>
  <pivotFields count="5">
    <pivotField axis="axisRow" compact="0" outline="0" subtotalTop="0" multipleItemSelectionAllowed="1" showAll="0" defaultSubtotal="0">
      <items count="301">
        <item x="9"/>
        <item x="5"/>
        <item m="1" x="174"/>
        <item m="1" x="144"/>
        <item x="3"/>
        <item x="0"/>
        <item x="16"/>
        <item m="1" x="243"/>
        <item m="1" x="281"/>
        <item x="10"/>
        <item m="1" x="65"/>
        <item m="1" x="98"/>
        <item m="1" x="121"/>
        <item x="45"/>
        <item m="1" x="221"/>
        <item m="1" x="266"/>
        <item x="54"/>
        <item x="15"/>
        <item m="1" x="71"/>
        <item x="36"/>
        <item m="1" x="280"/>
        <item m="1" x="179"/>
        <item x="41"/>
        <item x="29"/>
        <item m="1" x="230"/>
        <item m="1" x="60"/>
        <item x="37"/>
        <item m="1" x="100"/>
        <item x="56"/>
        <item m="1" x="247"/>
        <item m="1" x="268"/>
        <item m="1" x="173"/>
        <item m="1" x="190"/>
        <item x="30"/>
        <item m="1" x="86"/>
        <item m="1" x="110"/>
        <item x="48"/>
        <item x="35"/>
        <item x="27"/>
        <item m="1" x="143"/>
        <item x="19"/>
        <item x="43"/>
        <item m="1" x="93"/>
        <item m="1" x="116"/>
        <item m="1" x="157"/>
        <item x="1"/>
        <item m="1" x="205"/>
        <item x="21"/>
        <item x="28"/>
        <item x="18"/>
        <item m="1" x="99"/>
        <item x="42"/>
        <item m="1" x="124"/>
        <item m="1" x="90"/>
        <item m="1" x="57"/>
        <item m="1" x="211"/>
        <item x="52"/>
        <item m="1" x="120"/>
        <item x="26"/>
        <item m="1" x="225"/>
        <item m="1" x="252"/>
        <item m="1" x="222"/>
        <item m="1" x="135"/>
        <item m="1" x="133"/>
        <item m="1" x="183"/>
        <item m="1" x="165"/>
        <item m="1" x="279"/>
        <item m="1" x="107"/>
        <item m="1" x="271"/>
        <item x="31"/>
        <item m="1" x="132"/>
        <item m="1" x="84"/>
        <item m="1" x="298"/>
        <item m="1" x="296"/>
        <item m="1" x="229"/>
        <item m="1" x="75"/>
        <item m="1" x="299"/>
        <item m="1" x="186"/>
        <item m="1" x="267"/>
        <item m="1" x="58"/>
        <item m="1" x="207"/>
        <item m="1" x="278"/>
        <item x="33"/>
        <item x="4"/>
        <item m="1" x="246"/>
        <item m="1" x="77"/>
        <item x="20"/>
        <item m="1" x="226"/>
        <item m="1" x="129"/>
        <item m="1" x="282"/>
        <item m="1" x="259"/>
        <item m="1" x="260"/>
        <item x="39"/>
        <item m="1" x="224"/>
        <item m="1" x="152"/>
        <item m="1" x="80"/>
        <item x="6"/>
        <item m="1" x="248"/>
        <item x="17"/>
        <item m="1" x="74"/>
        <item m="1" x="273"/>
        <item m="1" x="291"/>
        <item x="50"/>
        <item m="1" x="117"/>
        <item m="1" x="272"/>
        <item x="25"/>
        <item m="1" x="159"/>
        <item m="1" x="158"/>
        <item m="1" x="141"/>
        <item x="32"/>
        <item m="1" x="127"/>
        <item m="1" x="164"/>
        <item m="1" x="68"/>
        <item m="1" x="218"/>
        <item m="1" x="102"/>
        <item x="34"/>
        <item x="7"/>
        <item m="1" x="286"/>
        <item m="1" x="69"/>
        <item m="1" x="78"/>
        <item m="1" x="125"/>
        <item m="1" x="92"/>
        <item x="44"/>
        <item m="1" x="81"/>
        <item m="1" x="253"/>
        <item x="40"/>
        <item m="1" x="191"/>
        <item x="55"/>
        <item x="11"/>
        <item x="22"/>
        <item m="1" x="123"/>
        <item x="53"/>
        <item m="1" x="213"/>
        <item m="1" x="198"/>
        <item m="1" x="275"/>
        <item m="1" x="67"/>
        <item m="1" x="108"/>
        <item m="1" x="204"/>
        <item m="1" x="128"/>
        <item m="1" x="104"/>
        <item m="1" x="185"/>
        <item m="1" x="82"/>
        <item m="1" x="287"/>
        <item m="1" x="166"/>
        <item m="1" x="87"/>
        <item x="2"/>
        <item m="1" x="149"/>
        <item m="1" x="64"/>
        <item m="1" x="136"/>
        <item m="1" x="261"/>
        <item m="1" x="295"/>
        <item x="13"/>
        <item m="1" x="235"/>
        <item m="1" x="289"/>
        <item m="1" x="163"/>
        <item m="1" x="217"/>
        <item m="1" x="270"/>
        <item m="1" x="109"/>
        <item m="1" x="76"/>
        <item m="1" x="115"/>
        <item m="1" x="199"/>
        <item m="1" x="251"/>
        <item m="1" x="212"/>
        <item m="1" x="184"/>
        <item m="1" x="244"/>
        <item m="1" x="201"/>
        <item m="1" x="153"/>
        <item m="1" x="105"/>
        <item m="1" x="106"/>
        <item m="1" x="292"/>
        <item m="1" x="162"/>
        <item m="1" x="131"/>
        <item m="1" x="227"/>
        <item m="1" x="73"/>
        <item m="1" x="239"/>
        <item m="1" x="96"/>
        <item m="1" x="167"/>
        <item m="1" x="160"/>
        <item m="1" x="139"/>
        <item m="1" x="258"/>
        <item m="1" x="181"/>
        <item m="1" x="233"/>
        <item m="1" x="170"/>
        <item m="1" x="83"/>
        <item m="1" x="146"/>
        <item m="1" x="288"/>
        <item m="1" x="249"/>
        <item m="1" x="241"/>
        <item m="1" x="285"/>
        <item m="1" x="257"/>
        <item m="1" x="214"/>
        <item m="1" x="210"/>
        <item m="1" x="232"/>
        <item m="1" x="134"/>
        <item m="1" x="89"/>
        <item m="1" x="176"/>
        <item m="1" x="290"/>
        <item m="1" x="171"/>
        <item m="1" x="114"/>
        <item m="1" x="240"/>
        <item m="1" x="245"/>
        <item x="24"/>
        <item m="1" x="195"/>
        <item m="1" x="223"/>
        <item m="1" x="177"/>
        <item m="1" x="79"/>
        <item m="1" x="234"/>
        <item x="47"/>
        <item m="1" x="142"/>
        <item m="1" x="209"/>
        <item m="1" x="161"/>
        <item m="1" x="264"/>
        <item m="1" x="145"/>
        <item m="1" x="262"/>
        <item m="1" x="294"/>
        <item m="1" x="94"/>
        <item m="1" x="202"/>
        <item m="1" x="130"/>
        <item m="1" x="203"/>
        <item m="1" x="293"/>
        <item m="1" x="189"/>
        <item m="1" x="70"/>
        <item m="1" x="265"/>
        <item m="1" x="256"/>
        <item m="1" x="274"/>
        <item m="1" x="113"/>
        <item m="1" x="101"/>
        <item m="1" x="61"/>
        <item m="1" x="150"/>
        <item m="1" x="180"/>
        <item m="1" x="182"/>
        <item m="1" x="88"/>
        <item m="1" x="283"/>
        <item m="1" x="137"/>
        <item m="1" x="119"/>
        <item m="1" x="276"/>
        <item m="1" x="238"/>
        <item x="12"/>
        <item x="23"/>
        <item m="1" x="192"/>
        <item m="1" x="175"/>
        <item x="46"/>
        <item m="1" x="269"/>
        <item m="1" x="208"/>
        <item m="1" x="148"/>
        <item m="1" x="206"/>
        <item m="1" x="103"/>
        <item m="1" x="277"/>
        <item m="1" x="155"/>
        <item m="1" x="284"/>
        <item m="1" x="112"/>
        <item x="14"/>
        <item m="1" x="228"/>
        <item m="1" x="300"/>
        <item m="1" x="242"/>
        <item m="1" x="250"/>
        <item m="1" x="118"/>
        <item m="1" x="254"/>
        <item m="1" x="231"/>
        <item m="1" x="263"/>
        <item m="1" x="297"/>
        <item m="1" x="72"/>
        <item m="1" x="169"/>
        <item m="1" x="154"/>
        <item m="1" x="122"/>
        <item m="1" x="147"/>
        <item m="1" x="219"/>
        <item m="1" x="168"/>
        <item m="1" x="91"/>
        <item m="1" x="194"/>
        <item m="1" x="156"/>
        <item m="1" x="85"/>
        <item m="1" x="111"/>
        <item m="1" x="196"/>
        <item m="1" x="255"/>
        <item m="1" x="140"/>
        <item x="38"/>
        <item m="1" x="151"/>
        <item x="49"/>
        <item m="1" x="216"/>
        <item m="1" x="66"/>
        <item m="1" x="172"/>
        <item m="1" x="63"/>
        <item m="1" x="200"/>
        <item m="1" x="126"/>
        <item m="1" x="95"/>
        <item m="1" x="193"/>
        <item m="1" x="215"/>
        <item m="1" x="197"/>
        <item m="1" x="220"/>
        <item m="1" x="188"/>
        <item m="1" x="59"/>
        <item m="1" x="138"/>
        <item m="1" x="62"/>
        <item m="1" x="178"/>
        <item m="1" x="236"/>
        <item m="1" x="187"/>
        <item m="1" x="237"/>
        <item m="1" x="97"/>
        <item x="8"/>
        <item x="51"/>
      </items>
    </pivotField>
    <pivotField compact="0" outline="0" showAll="0" includeNewItemsInFilter="1"/>
    <pivotField compact="0" numFmtId="176" outline="0" showAll="0" includeNewItemsInFilter="1"/>
    <pivotField axis="axisCol" compact="0" outline="0" showAll="0" includeNewItemsInFilter="1">
      <items count="4">
        <item x="1"/>
        <item x="0"/>
        <item x="2"/>
        <item t="default"/>
      </items>
    </pivotField>
    <pivotField dataField="1" compact="0" numFmtId="2" outline="0" showAll="0" includeNewItemsInFilter="1"/>
  </pivotFields>
  <rowFields count="1">
    <field x="0"/>
  </rowFields>
  <rowItems count="58">
    <i>
      <x/>
    </i>
    <i>
      <x v="1"/>
    </i>
    <i>
      <x v="4"/>
    </i>
    <i>
      <x v="5"/>
    </i>
    <i>
      <x v="6"/>
    </i>
    <i>
      <x v="9"/>
    </i>
    <i>
      <x v="13"/>
    </i>
    <i>
      <x v="16"/>
    </i>
    <i>
      <x v="17"/>
    </i>
    <i>
      <x v="19"/>
    </i>
    <i>
      <x v="22"/>
    </i>
    <i>
      <x v="23"/>
    </i>
    <i>
      <x v="26"/>
    </i>
    <i>
      <x v="28"/>
    </i>
    <i>
      <x v="33"/>
    </i>
    <i>
      <x v="36"/>
    </i>
    <i>
      <x v="37"/>
    </i>
    <i>
      <x v="38"/>
    </i>
    <i>
      <x v="40"/>
    </i>
    <i>
      <x v="41"/>
    </i>
    <i>
      <x v="45"/>
    </i>
    <i>
      <x v="47"/>
    </i>
    <i>
      <x v="48"/>
    </i>
    <i>
      <x v="49"/>
    </i>
    <i>
      <x v="51"/>
    </i>
    <i>
      <x v="56"/>
    </i>
    <i>
      <x v="58"/>
    </i>
    <i>
      <x v="69"/>
    </i>
    <i>
      <x v="82"/>
    </i>
    <i>
      <x v="83"/>
    </i>
    <i>
      <x v="86"/>
    </i>
    <i>
      <x v="92"/>
    </i>
    <i>
      <x v="96"/>
    </i>
    <i>
      <x v="98"/>
    </i>
    <i>
      <x v="102"/>
    </i>
    <i>
      <x v="105"/>
    </i>
    <i>
      <x v="109"/>
    </i>
    <i>
      <x v="115"/>
    </i>
    <i>
      <x v="116"/>
    </i>
    <i>
      <x v="122"/>
    </i>
    <i>
      <x v="125"/>
    </i>
    <i>
      <x v="127"/>
    </i>
    <i>
      <x v="128"/>
    </i>
    <i>
      <x v="129"/>
    </i>
    <i>
      <x v="131"/>
    </i>
    <i>
      <x v="145"/>
    </i>
    <i>
      <x v="151"/>
    </i>
    <i>
      <x v="201"/>
    </i>
    <i>
      <x v="207"/>
    </i>
    <i>
      <x v="237"/>
    </i>
    <i>
      <x v="238"/>
    </i>
    <i>
      <x v="241"/>
    </i>
    <i>
      <x v="251"/>
    </i>
    <i>
      <x v="276"/>
    </i>
    <i>
      <x v="278"/>
    </i>
    <i>
      <x v="299"/>
    </i>
    <i>
      <x v="300"/>
    </i>
    <i t="grand">
      <x/>
    </i>
  </rowItems>
  <colFields count="1">
    <field x="3"/>
  </colFields>
  <colItems count="4">
    <i>
      <x/>
    </i>
    <i>
      <x v="1"/>
    </i>
    <i>
      <x v="2"/>
    </i>
    <i t="grand">
      <x/>
    </i>
  </colItems>
  <dataFields count="1">
    <dataField name="Count of Points" fld="4" subtotal="count" baseField="0" baseItem="2"/>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4.bin"/><Relationship Id="rId1" Type="http://schemas.openxmlformats.org/officeDocument/2006/relationships/pivotTable" Target="../pivotTables/pivotTable3.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17.bin"/><Relationship Id="rId1" Type="http://schemas.openxmlformats.org/officeDocument/2006/relationships/hyperlink" Target="http://stattrek.com/statistics/random-number-generator.aspx" TargetMode="External"/><Relationship Id="rId4" Type="http://schemas.openxmlformats.org/officeDocument/2006/relationships/comments" Target="../comments2.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8.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www.chrisgriffinsays.co.uk/prediction-league/next-odds/" TargetMode="External"/><Relationship Id="rId7" Type="http://schemas.openxmlformats.org/officeDocument/2006/relationships/printerSettings" Target="../printerSettings/printerSettings20.bin"/><Relationship Id="rId2" Type="http://schemas.openxmlformats.org/officeDocument/2006/relationships/hyperlink" Target="http://www.chrisgriffinsays.co.uk/prediction-league/prediction-league-home/" TargetMode="External"/><Relationship Id="rId1" Type="http://schemas.openxmlformats.org/officeDocument/2006/relationships/hyperlink" Target="http://www.online-betting.me.uk/articles/patent-bet.html" TargetMode="External"/><Relationship Id="rId6" Type="http://schemas.openxmlformats.org/officeDocument/2006/relationships/hyperlink" Target="http://eepurl.com/riHbD" TargetMode="External"/><Relationship Id="rId5" Type="http://schemas.openxmlformats.org/officeDocument/2006/relationships/hyperlink" Target="http://www.chrisgriffinsays.co.uk/prediction-league/prediction-league-news/" TargetMode="External"/><Relationship Id="rId4" Type="http://schemas.openxmlformats.org/officeDocument/2006/relationships/hyperlink" Target="http://www.chrisgriffinsays.co.uk/prediction-league/prediction-league-diary/"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30"/>
  <sheetViews>
    <sheetView zoomScale="80" zoomScaleNormal="80" workbookViewId="0">
      <selection activeCell="A15" sqref="A15"/>
    </sheetView>
  </sheetViews>
  <sheetFormatPr defaultRowHeight="12.75"/>
  <cols>
    <col min="1" max="1" width="49.265625" customWidth="1"/>
    <col min="2" max="5" width="37.73046875" customWidth="1"/>
  </cols>
  <sheetData>
    <row r="1" spans="1:9" ht="60" customHeight="1">
      <c r="A1" s="114"/>
      <c r="B1" s="404" t="s">
        <v>364</v>
      </c>
      <c r="C1" s="114"/>
      <c r="D1" s="114"/>
      <c r="E1" s="114"/>
      <c r="F1" s="114"/>
      <c r="G1" s="114"/>
      <c r="H1" s="114"/>
      <c r="I1" s="114"/>
    </row>
    <row r="2" spans="1:9" ht="35.1" customHeight="1">
      <c r="A2" s="114"/>
      <c r="B2" s="397" t="s">
        <v>355</v>
      </c>
      <c r="C2" s="398" t="s">
        <v>354</v>
      </c>
      <c r="D2" s="398" t="s">
        <v>356</v>
      </c>
      <c r="E2" s="399" t="s">
        <v>357</v>
      </c>
      <c r="F2" s="114"/>
      <c r="G2" s="114"/>
      <c r="H2" s="114"/>
      <c r="I2" s="114"/>
    </row>
    <row r="3" spans="1:9" ht="35.1" customHeight="1">
      <c r="A3" s="114"/>
      <c r="B3" s="396" t="s">
        <v>338</v>
      </c>
      <c r="C3" s="396" t="s">
        <v>351</v>
      </c>
      <c r="D3" s="396" t="s">
        <v>344</v>
      </c>
      <c r="E3" s="396" t="s">
        <v>359</v>
      </c>
      <c r="F3" s="114"/>
      <c r="G3" s="114"/>
      <c r="H3" s="114"/>
      <c r="I3" s="114"/>
    </row>
    <row r="4" spans="1:9" ht="35.1" customHeight="1">
      <c r="A4" s="114"/>
      <c r="B4" s="396" t="s">
        <v>339</v>
      </c>
      <c r="C4" s="396" t="s">
        <v>348</v>
      </c>
      <c r="D4" s="396" t="s">
        <v>345</v>
      </c>
      <c r="E4" s="396" t="s">
        <v>132</v>
      </c>
      <c r="F4" s="114"/>
      <c r="G4" s="114"/>
      <c r="H4" s="114"/>
      <c r="I4" s="114"/>
    </row>
    <row r="5" spans="1:9" ht="35.1" customHeight="1">
      <c r="A5" s="114"/>
      <c r="B5" s="396" t="s">
        <v>340</v>
      </c>
      <c r="C5" s="396" t="s">
        <v>349</v>
      </c>
      <c r="D5" s="396" t="s">
        <v>346</v>
      </c>
      <c r="E5" s="396" t="s">
        <v>360</v>
      </c>
      <c r="F5" s="114"/>
      <c r="G5" s="114"/>
      <c r="H5" s="114"/>
      <c r="I5" s="114"/>
    </row>
    <row r="6" spans="1:9" ht="35.1" customHeight="1">
      <c r="A6" s="114"/>
      <c r="B6" s="396" t="s">
        <v>341</v>
      </c>
      <c r="C6" s="396" t="s">
        <v>347</v>
      </c>
      <c r="D6" s="396" t="s">
        <v>352</v>
      </c>
      <c r="E6" s="396" t="s">
        <v>361</v>
      </c>
      <c r="F6" s="114"/>
      <c r="G6" s="114"/>
      <c r="H6" s="114"/>
      <c r="I6" s="114"/>
    </row>
    <row r="7" spans="1:9" ht="35.1" customHeight="1">
      <c r="A7" s="114"/>
      <c r="B7" s="396" t="s">
        <v>342</v>
      </c>
      <c r="C7" s="396" t="s">
        <v>350</v>
      </c>
      <c r="D7" s="396" t="s">
        <v>353</v>
      </c>
      <c r="E7" s="396" t="s">
        <v>362</v>
      </c>
      <c r="F7" s="114"/>
      <c r="G7" s="114"/>
      <c r="H7" s="114"/>
      <c r="I7" s="114"/>
    </row>
    <row r="8" spans="1:9" ht="35.1" customHeight="1">
      <c r="A8" s="114"/>
      <c r="B8" s="396" t="s">
        <v>343</v>
      </c>
      <c r="C8" s="396"/>
      <c r="D8" s="396" t="s">
        <v>358</v>
      </c>
      <c r="E8" s="396" t="s">
        <v>366</v>
      </c>
      <c r="F8" s="114"/>
      <c r="G8" s="114"/>
      <c r="H8" s="114"/>
      <c r="I8" s="114"/>
    </row>
    <row r="9" spans="1:9" ht="20.100000000000001" customHeight="1">
      <c r="A9" s="114"/>
      <c r="B9" s="114"/>
      <c r="C9" s="114"/>
      <c r="D9" s="114"/>
      <c r="E9" s="114"/>
      <c r="F9" s="114"/>
      <c r="G9" s="114"/>
      <c r="H9" s="114"/>
      <c r="I9" s="114"/>
    </row>
    <row r="10" spans="1:9" ht="20.100000000000001" customHeight="1">
      <c r="A10" s="114"/>
      <c r="B10" s="114"/>
      <c r="C10" s="114"/>
      <c r="D10" s="114"/>
      <c r="E10" s="114"/>
      <c r="F10" s="114"/>
      <c r="G10" s="114"/>
      <c r="H10" s="114"/>
      <c r="I10" s="114"/>
    </row>
    <row r="11" spans="1:9" ht="20.100000000000001" customHeight="1">
      <c r="A11" s="114"/>
      <c r="B11" s="114"/>
      <c r="C11" s="114"/>
      <c r="D11" s="114"/>
      <c r="E11" s="114"/>
      <c r="F11" s="114"/>
      <c r="G11" s="114"/>
      <c r="H11" s="114"/>
      <c r="I11" s="114"/>
    </row>
    <row r="12" spans="1:9" ht="20.100000000000001" customHeight="1">
      <c r="A12" s="114"/>
      <c r="B12" s="114"/>
      <c r="C12" s="114"/>
      <c r="D12" s="114"/>
      <c r="E12" s="114"/>
      <c r="F12" s="114"/>
      <c r="G12" s="114"/>
      <c r="H12" s="114"/>
      <c r="I12" s="114"/>
    </row>
    <row r="13" spans="1:9" ht="20.100000000000001" customHeight="1">
      <c r="A13" s="114"/>
      <c r="B13" s="114"/>
      <c r="C13" s="114"/>
      <c r="D13" s="114"/>
      <c r="E13" s="114"/>
      <c r="F13" s="114"/>
      <c r="G13" s="114"/>
      <c r="H13" s="114"/>
      <c r="I13" s="114"/>
    </row>
    <row r="14" spans="1:9" ht="20.100000000000001" customHeight="1">
      <c r="A14" s="114"/>
      <c r="B14" s="114"/>
      <c r="C14" s="114"/>
      <c r="D14" s="114"/>
      <c r="E14" s="114"/>
      <c r="F14" s="114"/>
      <c r="G14" s="114"/>
      <c r="H14" s="114"/>
      <c r="I14" s="114"/>
    </row>
    <row r="15" spans="1:9" ht="20.100000000000001" customHeight="1">
      <c r="A15" s="114"/>
      <c r="B15" s="114"/>
      <c r="C15" s="114"/>
      <c r="D15" s="114"/>
      <c r="E15" s="114"/>
      <c r="F15" s="114"/>
      <c r="G15" s="114"/>
      <c r="H15" s="114"/>
      <c r="I15" s="114"/>
    </row>
    <row r="16" spans="1:9" ht="20.100000000000001" customHeight="1">
      <c r="A16" s="114"/>
      <c r="B16" s="114"/>
      <c r="C16" s="114"/>
      <c r="D16" s="114"/>
      <c r="E16" s="114"/>
      <c r="F16" s="114"/>
      <c r="G16" s="114"/>
      <c r="H16" s="114"/>
      <c r="I16" s="114"/>
    </row>
    <row r="17" spans="1:9" ht="20.100000000000001" customHeight="1">
      <c r="A17" s="114"/>
      <c r="B17" s="114"/>
      <c r="C17" s="114"/>
      <c r="D17" s="114"/>
      <c r="E17" s="114"/>
      <c r="F17" s="114"/>
      <c r="G17" s="114"/>
      <c r="H17" s="114"/>
      <c r="I17" s="114"/>
    </row>
    <row r="18" spans="1:9" ht="20.100000000000001" customHeight="1">
      <c r="A18" s="114"/>
      <c r="B18" s="114"/>
      <c r="C18" s="114"/>
      <c r="D18" s="114"/>
      <c r="E18" s="114"/>
      <c r="F18" s="114"/>
      <c r="G18" s="114"/>
      <c r="H18" s="114"/>
      <c r="I18" s="114"/>
    </row>
    <row r="19" spans="1:9" ht="20.100000000000001" customHeight="1">
      <c r="A19" s="114"/>
      <c r="B19" s="114"/>
      <c r="C19" s="114"/>
      <c r="D19" s="114"/>
      <c r="E19" s="114"/>
      <c r="F19" s="114"/>
      <c r="G19" s="114"/>
      <c r="H19" s="114"/>
      <c r="I19" s="114"/>
    </row>
    <row r="20" spans="1:9" ht="20.100000000000001" customHeight="1">
      <c r="A20" s="114"/>
      <c r="B20" s="114"/>
      <c r="C20" s="114"/>
      <c r="D20" s="114"/>
      <c r="E20" s="114"/>
      <c r="F20" s="114"/>
      <c r="G20" s="114"/>
      <c r="H20" s="114"/>
      <c r="I20" s="114"/>
    </row>
    <row r="21" spans="1:9" ht="20.100000000000001" customHeight="1">
      <c r="A21" s="114"/>
      <c r="B21" s="114"/>
      <c r="C21" s="114"/>
      <c r="D21" s="114"/>
      <c r="E21" s="114"/>
      <c r="F21" s="114"/>
      <c r="G21" s="114"/>
      <c r="H21" s="114"/>
      <c r="I21" s="114"/>
    </row>
    <row r="22" spans="1:9" ht="20.100000000000001" customHeight="1">
      <c r="A22" s="114"/>
      <c r="B22" s="114"/>
      <c r="C22" s="114"/>
      <c r="D22" s="114"/>
      <c r="E22" s="114"/>
      <c r="F22" s="114"/>
      <c r="G22" s="114"/>
      <c r="H22" s="114"/>
      <c r="I22" s="114"/>
    </row>
    <row r="23" spans="1:9" ht="20.100000000000001" customHeight="1"/>
    <row r="24" spans="1:9" ht="20.100000000000001" customHeight="1"/>
    <row r="25" spans="1:9" ht="20.100000000000001" customHeight="1"/>
    <row r="26" spans="1:9" ht="20.100000000000001" customHeight="1"/>
    <row r="27" spans="1:9" ht="20.100000000000001" customHeight="1"/>
    <row r="28" spans="1:9" ht="20.100000000000001" customHeight="1"/>
    <row r="29" spans="1:9" ht="20.100000000000001" customHeight="1"/>
    <row r="30" spans="1:9" ht="20.100000000000001" customHeight="1"/>
  </sheetData>
  <hyperlinks>
    <hyperlink ref="B3" location="Table!A1" display="League Table" xr:uid="{00000000-0004-0000-0000-000000000000}"/>
    <hyperlink ref="B4" location="Weekly!A1" display="Weekly Results" xr:uid="{00000000-0004-0000-0000-000001000000}"/>
    <hyperlink ref="B5" location="Cup!A1" display="Cup Draw" xr:uid="{00000000-0004-0000-0000-000002000000}"/>
    <hyperlink ref="B6" location="Diary!A1" display="Season Diary" xr:uid="{00000000-0004-0000-0000-000003000000}"/>
    <hyperlink ref="B7" location="Fixture!A1" display="Current Week Fixtures" xr:uid="{00000000-0004-0000-0000-000004000000}"/>
    <hyperlink ref="B8" location="Predictions!A1" display="Current Week Predictions" xr:uid="{00000000-0004-0000-0000-000005000000}"/>
    <hyperlink ref="C3" location="Pics!A1" display="Pics for Publication" xr:uid="{00000000-0004-0000-0000-000006000000}"/>
    <hyperlink ref="C4" location="Prizelist!A1" display="Prizes - Summary" xr:uid="{00000000-0004-0000-0000-000007000000}"/>
    <hyperlink ref="C5" location="Prizes!A1" display="Prizes - Divisional Splits" xr:uid="{00000000-0004-0000-0000-000008000000}"/>
    <hyperlink ref="C6" location="FAQ!A1" display="FAQ" xr:uid="{00000000-0004-0000-0000-000009000000}"/>
    <hyperlink ref="C7" location="Sample!A1" display="Sample Bets" xr:uid="{00000000-0004-0000-0000-00000A000000}"/>
    <hyperlink ref="D3" location="Match!A1" display="Add Matches" xr:uid="{00000000-0004-0000-0000-00000B000000}"/>
    <hyperlink ref="D4" location="Picks!A1" display="Add Predictions" xr:uid="{00000000-0004-0000-0000-00000C000000}"/>
    <hyperlink ref="D5" location="'Bets#2'!A1" display="Add Predictions (double-week)" xr:uid="{00000000-0004-0000-0000-00000D000000}"/>
    <hyperlink ref="D6" location="'3of3'!A1" display="1-2-3 Pivot" xr:uid="{00000000-0004-0000-0000-00000E000000}"/>
    <hyperlink ref="D7" location="TopPicks!A1" display="Top Picks" xr:uid="{00000000-0004-0000-0000-00000F000000}"/>
    <hyperlink ref="D8" location="CupDraw!A1" display="Cup Draw Raw" xr:uid="{00000000-0004-0000-0000-000010000000}"/>
    <hyperlink ref="E3" location="Calc!A1" display="Calculations" xr:uid="{00000000-0004-0000-0000-000011000000}"/>
    <hyperlink ref="E4" location="Players!A1" display="Entrants" xr:uid="{00000000-0004-0000-0000-000012000000}"/>
    <hyperlink ref="E5" location="Last!A1" display="Last Season Places" xr:uid="{00000000-0004-0000-0000-000013000000}"/>
    <hyperlink ref="E6" location="Brought!A1" display="Brought Forward" xr:uid="{00000000-0004-0000-0000-000014000000}"/>
    <hyperlink ref="E7" location="Final!A1" display="End of Season Finance" xr:uid="{00000000-0004-0000-0000-000015000000}"/>
    <hyperlink ref="E8" location="MiniLeagues!A1" display="Mini Leagues " xr:uid="{00000000-0004-0000-0000-000016000000}"/>
  </hyperlinks>
  <pageMargins left="0.7" right="0.7" top="0.75" bottom="0.75" header="0.3" footer="0.3"/>
  <pageSetup paperSize="9" orientation="portrait"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dimension ref="A1:S139"/>
  <sheetViews>
    <sheetView topLeftCell="F1" zoomScaleNormal="100" workbookViewId="0">
      <selection activeCell="I17" sqref="I17"/>
    </sheetView>
  </sheetViews>
  <sheetFormatPr defaultRowHeight="12.75"/>
  <cols>
    <col min="1" max="1" width="9.06640625" style="4"/>
    <col min="2" max="2" width="12.59765625" style="16" customWidth="1"/>
    <col min="3" max="3" width="12.59765625" style="585" customWidth="1"/>
    <col min="4" max="4" width="14.86328125" customWidth="1"/>
    <col min="5" max="5" width="54.86328125" bestFit="1" customWidth="1"/>
    <col min="6" max="6" width="38" customWidth="1"/>
    <col min="7" max="7" width="20.265625" customWidth="1"/>
    <col min="8" max="8" width="10.86328125" style="1" customWidth="1"/>
    <col min="9" max="9" width="10.86328125" style="194" customWidth="1"/>
    <col min="10" max="11" width="12" style="1" customWidth="1"/>
    <col min="12" max="12" width="19.265625" customWidth="1"/>
    <col min="13" max="13" width="13.73046875" customWidth="1"/>
    <col min="14" max="14" width="17" customWidth="1"/>
    <col min="15" max="15" width="13" customWidth="1"/>
    <col min="16" max="16" width="11.59765625" customWidth="1"/>
    <col min="17" max="19" width="9.1328125" style="195" customWidth="1"/>
  </cols>
  <sheetData>
    <row r="1" spans="1:19">
      <c r="A1" s="15" t="s">
        <v>525</v>
      </c>
      <c r="B1" s="101" t="s">
        <v>30</v>
      </c>
      <c r="C1" s="584"/>
      <c r="D1" s="62" t="s">
        <v>153</v>
      </c>
      <c r="E1" s="98" t="s">
        <v>31</v>
      </c>
      <c r="F1" s="9" t="s">
        <v>163</v>
      </c>
      <c r="G1" s="35" t="s">
        <v>48</v>
      </c>
      <c r="H1" s="38" t="s">
        <v>31</v>
      </c>
      <c r="I1" s="197" t="s">
        <v>55</v>
      </c>
      <c r="J1" s="38" t="s">
        <v>51</v>
      </c>
      <c r="K1" s="38" t="s">
        <v>526</v>
      </c>
      <c r="L1" t="s">
        <v>20</v>
      </c>
      <c r="M1" s="30" t="s">
        <v>22</v>
      </c>
      <c r="N1" t="s">
        <v>21</v>
      </c>
      <c r="O1" t="s">
        <v>23</v>
      </c>
      <c r="P1" t="s">
        <v>24</v>
      </c>
      <c r="Q1" s="196" t="s">
        <v>201</v>
      </c>
      <c r="R1" s="196" t="s">
        <v>200</v>
      </c>
      <c r="S1" s="196" t="s">
        <v>202</v>
      </c>
    </row>
    <row r="2" spans="1:19">
      <c r="A2" s="4">
        <v>1</v>
      </c>
      <c r="B2" s="100">
        <f>IF(Match!B2="","",Match!B2)</f>
        <v>44556</v>
      </c>
      <c r="C2" s="584">
        <f>IF(B2="","",WEEKDAY(B2))</f>
        <v>1</v>
      </c>
      <c r="D2" s="99" t="str">
        <f>IF(Match!D2="","",Match!D2)</f>
        <v>Premier</v>
      </c>
      <c r="E2" s="98" t="str">
        <f>IF(Match!U2="","",Match!U2)</f>
        <v>Brighton  v  Brentford   17/20  5/2  16/5</v>
      </c>
      <c r="F2" s="98" t="str">
        <f>IF(Match!V2="","",Match!V2)</f>
        <v xml:space="preserve">Brighton 2-0 Brentford </v>
      </c>
      <c r="G2" s="36" t="str">
        <f t="shared" ref="G2:G32" si="0">IF(E2="","",L2)</f>
        <v>Brighton</v>
      </c>
      <c r="H2" s="37" t="str">
        <f t="shared" ref="H2:H45" si="1">IF(E2="","",M2)</f>
        <v>17/20</v>
      </c>
      <c r="I2" s="198">
        <f>IF(E2="","",Q2)</f>
        <v>1.85</v>
      </c>
      <c r="J2" s="37">
        <f>INDEX(Picks!T:T,MATCH(G2,Picks!R:R,0))</f>
        <v>1</v>
      </c>
      <c r="K2" s="37">
        <f>IF(INDEX(Match!P:P,MATCH(A2,Match!A:A,0))="OFF",0,1)</f>
        <v>1</v>
      </c>
      <c r="L2" t="str">
        <f>INDEX(Match!Q:Q,MATCH(E2,Match!U:U,0))</f>
        <v>Brighton</v>
      </c>
      <c r="M2" t="str">
        <f>INDEX(Match!X:X,MATCH(E2,Match!U:U,0))</f>
        <v>17/20</v>
      </c>
      <c r="N2" t="str">
        <f>INDEX(Match!R:R,MATCH(E2,Match!U:U,0))</f>
        <v>Brentford</v>
      </c>
      <c r="O2" t="str">
        <f>INDEX(Match!Y:Y,MATCH(E2,Match!U:U,0))</f>
        <v>5/2</v>
      </c>
      <c r="P2" t="str">
        <f>INDEX(Match!Z:Z,MATCH(E2,Match!U:U,0))</f>
        <v>16/5</v>
      </c>
      <c r="Q2" s="195">
        <f>INDEX(Match!AA:AA,MATCH(E2,Match!U:U,0))</f>
        <v>1.85</v>
      </c>
      <c r="R2" s="195">
        <f>INDEX(Match!AB:AB,MATCH(E2,Match!U:U,0))</f>
        <v>3.5</v>
      </c>
      <c r="S2" s="195">
        <f>INDEX(Match!AC:AC,MATCH(E2,Match!U:U,0))</f>
        <v>4.2</v>
      </c>
    </row>
    <row r="3" spans="1:19">
      <c r="A3" s="4">
        <v>2</v>
      </c>
      <c r="B3" s="100">
        <f>IF(Match!B3="","",Match!B3)</f>
        <v>44556</v>
      </c>
      <c r="C3" s="584">
        <f t="shared" ref="C3:C66" si="2">IF(B3="","",WEEKDAY(B3))</f>
        <v>1</v>
      </c>
      <c r="D3" s="99" t="str">
        <f>IF(Match!D3="","",Match!D3)</f>
        <v>Premier</v>
      </c>
      <c r="E3" s="98" t="str">
        <f>IF(Match!U3="","",Match!U3)</f>
        <v>Man C  v  Leicester   1/5  11/2  12/1</v>
      </c>
      <c r="F3" s="98" t="str">
        <f>IF(Match!V3="","",Match!V3)</f>
        <v xml:space="preserve">Man C 6-3 Leicester </v>
      </c>
      <c r="G3" s="36" t="str">
        <f t="shared" si="0"/>
        <v>Man C</v>
      </c>
      <c r="H3" s="37" t="str">
        <f t="shared" si="1"/>
        <v>1/5</v>
      </c>
      <c r="I3" s="198">
        <f t="shared" ref="I3:I47" si="3">IF(E3="","",Q3)</f>
        <v>1.2</v>
      </c>
      <c r="J3" s="37">
        <f>INDEX(Picks!T:T,MATCH(G3,Picks!R:R,0))</f>
        <v>1</v>
      </c>
      <c r="K3" s="37">
        <f>IF(INDEX(Match!P:P,MATCH(A3,Match!A:A,0))="OFF",0,1)</f>
        <v>1</v>
      </c>
      <c r="L3" t="str">
        <f>INDEX(Match!Q:Q,MATCH(E3,Match!U:U,0))</f>
        <v>Man C</v>
      </c>
      <c r="M3" t="str">
        <f>INDEX(Match!X:X,MATCH(E3,Match!U:U,0))</f>
        <v>1/5</v>
      </c>
      <c r="N3" t="str">
        <f>INDEX(Match!R:R,MATCH(E3,Match!U:U,0))</f>
        <v>Leicester</v>
      </c>
      <c r="O3" t="str">
        <f>INDEX(Match!Y:Y,MATCH(E3,Match!U:U,0))</f>
        <v>11/2</v>
      </c>
      <c r="P3" t="str">
        <f>INDEX(Match!Z:Z,MATCH(E3,Match!U:U,0))</f>
        <v>12/1</v>
      </c>
      <c r="Q3" s="195">
        <f>INDEX(Match!AA:AA,MATCH(E3,Match!U:U,0))</f>
        <v>1.2</v>
      </c>
      <c r="R3" s="195">
        <f>INDEX(Match!AB:AB,MATCH(E3,Match!U:U,0))</f>
        <v>6.5</v>
      </c>
      <c r="S3" s="195">
        <f>INDEX(Match!AC:AC,MATCH(E3,Match!U:U,0))</f>
        <v>13</v>
      </c>
    </row>
    <row r="4" spans="1:19">
      <c r="A4" s="4">
        <v>3</v>
      </c>
      <c r="B4" s="100">
        <f>IF(Match!B4="","",Match!B4)</f>
        <v>44556</v>
      </c>
      <c r="C4" s="584">
        <f t="shared" si="2"/>
        <v>1</v>
      </c>
      <c r="D4" s="99" t="str">
        <f>IF(Match!D4="","",Match!D4)</f>
        <v>Premier</v>
      </c>
      <c r="E4" s="98" t="str">
        <f>IF(Match!U4="","",Match!U4)</f>
        <v>Norwich  v  Arsenal   13/2  10/3  4/9</v>
      </c>
      <c r="F4" s="98" t="str">
        <f>IF(Match!V4="","",Match!V4)</f>
        <v xml:space="preserve">Norwich 0-5 Arsenal </v>
      </c>
      <c r="G4" s="36" t="str">
        <f t="shared" si="0"/>
        <v>Norwich</v>
      </c>
      <c r="H4" s="37" t="str">
        <f t="shared" si="1"/>
        <v>13/2</v>
      </c>
      <c r="I4" s="198">
        <f t="shared" si="3"/>
        <v>7.5</v>
      </c>
      <c r="J4" s="37">
        <f>INDEX(Picks!T:T,MATCH(G4,Picks!R:R,0))</f>
        <v>0</v>
      </c>
      <c r="K4" s="37">
        <f>IF(INDEX(Match!P:P,MATCH(A4,Match!A:A,0))="OFF",0,1)</f>
        <v>1</v>
      </c>
      <c r="L4" t="str">
        <f>INDEX(Match!Q:Q,MATCH(E4,Match!U:U,0))</f>
        <v>Norwich</v>
      </c>
      <c r="M4" t="str">
        <f>INDEX(Match!X:X,MATCH(E4,Match!U:U,0))</f>
        <v>13/2</v>
      </c>
      <c r="N4" t="str">
        <f>INDEX(Match!R:R,MATCH(E4,Match!U:U,0))</f>
        <v>Arsenal</v>
      </c>
      <c r="O4" t="str">
        <f>INDEX(Match!Y:Y,MATCH(E4,Match!U:U,0))</f>
        <v>10/3</v>
      </c>
      <c r="P4" t="str">
        <f>INDEX(Match!Z:Z,MATCH(E4,Match!U:U,0))</f>
        <v>4/9</v>
      </c>
      <c r="Q4" s="195">
        <f>INDEX(Match!AA:AA,MATCH(E4,Match!U:U,0))</f>
        <v>7.5</v>
      </c>
      <c r="R4" s="195">
        <f>INDEX(Match!AB:AB,MATCH(E4,Match!U:U,0))</f>
        <v>4.3333333333333339</v>
      </c>
      <c r="S4" s="195">
        <f>INDEX(Match!AC:AC,MATCH(E4,Match!U:U,0))</f>
        <v>1.4444444444444444</v>
      </c>
    </row>
    <row r="5" spans="1:19">
      <c r="A5" s="4">
        <v>4</v>
      </c>
      <c r="B5" s="100">
        <f>IF(Match!B5="","",Match!B5)</f>
        <v>44556</v>
      </c>
      <c r="C5" s="584">
        <f t="shared" si="2"/>
        <v>1</v>
      </c>
      <c r="D5" s="99" t="str">
        <f>IF(Match!D5="","",Match!D5)</f>
        <v>Premier</v>
      </c>
      <c r="E5" s="98" t="str">
        <f>IF(Match!U5="","",Match!U5)</f>
        <v>Spurs  v  Palace   7/10  11/4  19/5</v>
      </c>
      <c r="F5" s="98" t="str">
        <f>IF(Match!V5="","",Match!V5)</f>
        <v xml:space="preserve">Spurs 3-0 Palace </v>
      </c>
      <c r="G5" s="36" t="str">
        <f t="shared" si="0"/>
        <v>Spurs</v>
      </c>
      <c r="H5" s="37" t="str">
        <f t="shared" si="1"/>
        <v>7/10</v>
      </c>
      <c r="I5" s="198">
        <f t="shared" si="3"/>
        <v>1.7</v>
      </c>
      <c r="J5" s="37">
        <f>INDEX(Picks!T:T,MATCH(G5,Picks!R:R,0))</f>
        <v>1</v>
      </c>
      <c r="K5" s="37">
        <f>IF(INDEX(Match!P:P,MATCH(A5,Match!A:A,0))="OFF",0,1)</f>
        <v>1</v>
      </c>
      <c r="L5" t="str">
        <f>INDEX(Match!Q:Q,MATCH(E5,Match!U:U,0))</f>
        <v>Spurs</v>
      </c>
      <c r="M5" t="str">
        <f>INDEX(Match!X:X,MATCH(E5,Match!U:U,0))</f>
        <v>7/10</v>
      </c>
      <c r="N5" t="str">
        <f>INDEX(Match!R:R,MATCH(E5,Match!U:U,0))</f>
        <v>Palace</v>
      </c>
      <c r="O5" t="str">
        <f>INDEX(Match!Y:Y,MATCH(E5,Match!U:U,0))</f>
        <v>11/4</v>
      </c>
      <c r="P5" t="str">
        <f>INDEX(Match!Z:Z,MATCH(E5,Match!U:U,0))</f>
        <v>19/5</v>
      </c>
      <c r="Q5" s="195">
        <f>INDEX(Match!AA:AA,MATCH(E5,Match!U:U,0))</f>
        <v>1.7</v>
      </c>
      <c r="R5" s="195">
        <f>INDEX(Match!AB:AB,MATCH(E5,Match!U:U,0))</f>
        <v>3.75</v>
      </c>
      <c r="S5" s="195">
        <f>INDEX(Match!AC:AC,MATCH(E5,Match!U:U,0))</f>
        <v>4.8</v>
      </c>
    </row>
    <row r="6" spans="1:19">
      <c r="A6" s="4">
        <v>5</v>
      </c>
      <c r="B6" s="100">
        <f>IF(Match!B6="","",Match!B6)</f>
        <v>44556</v>
      </c>
      <c r="C6" s="584">
        <f t="shared" si="2"/>
        <v>1</v>
      </c>
      <c r="D6" s="99" t="str">
        <f>IF(Match!D6="","",Match!D6)</f>
        <v>Premier</v>
      </c>
      <c r="E6" s="98" t="str">
        <f>IF(Match!U6="","",Match!U6)</f>
        <v>Villa  v  Chelsea   24/5  11/4  8/13</v>
      </c>
      <c r="F6" s="98" t="str">
        <f>IF(Match!V6="","",Match!V6)</f>
        <v xml:space="preserve">Villa 1-3 Chelsea </v>
      </c>
      <c r="G6" s="36" t="str">
        <f t="shared" si="0"/>
        <v>Villa</v>
      </c>
      <c r="H6" s="37" t="str">
        <f t="shared" si="1"/>
        <v>24/5</v>
      </c>
      <c r="I6" s="198">
        <f t="shared" si="3"/>
        <v>5.8</v>
      </c>
      <c r="J6" s="37">
        <f>INDEX(Picks!T:T,MATCH(G6,Picks!R:R,0))</f>
        <v>0</v>
      </c>
      <c r="K6" s="37">
        <f>IF(INDEX(Match!P:P,MATCH(A6,Match!A:A,0))="OFF",0,1)</f>
        <v>1</v>
      </c>
      <c r="L6" t="str">
        <f>INDEX(Match!Q:Q,MATCH(E6,Match!U:U,0))</f>
        <v>Villa</v>
      </c>
      <c r="M6" t="str">
        <f>INDEX(Match!X:X,MATCH(E6,Match!U:U,0))</f>
        <v>24/5</v>
      </c>
      <c r="N6" t="str">
        <f>INDEX(Match!R:R,MATCH(E6,Match!U:U,0))</f>
        <v>Chelsea</v>
      </c>
      <c r="O6" t="str">
        <f>INDEX(Match!Y:Y,MATCH(E6,Match!U:U,0))</f>
        <v>11/4</v>
      </c>
      <c r="P6" t="str">
        <f>INDEX(Match!Z:Z,MATCH(E6,Match!U:U,0))</f>
        <v>8/13</v>
      </c>
      <c r="Q6" s="195">
        <f>INDEX(Match!AA:AA,MATCH(E6,Match!U:U,0))</f>
        <v>5.8</v>
      </c>
      <c r="R6" s="195">
        <f>INDEX(Match!AB:AB,MATCH(E6,Match!U:U,0))</f>
        <v>3.75</v>
      </c>
      <c r="S6" s="195">
        <f>INDEX(Match!AC:AC,MATCH(E6,Match!U:U,0))</f>
        <v>1.6153846153846154</v>
      </c>
    </row>
    <row r="7" spans="1:19">
      <c r="A7" s="4">
        <v>6</v>
      </c>
      <c r="B7" s="100">
        <f>IF(Match!B7="","",Match!B7)</f>
        <v>44556</v>
      </c>
      <c r="C7" s="584">
        <f t="shared" si="2"/>
        <v>1</v>
      </c>
      <c r="D7" s="99" t="str">
        <f>IF(Match!D7="","",Match!D7)</f>
        <v>Premier</v>
      </c>
      <c r="E7" s="98" t="str">
        <f>IF(Match!U7="","",Match!U7)</f>
        <v>West Ham  v  Southampton   3/4  14/5  17/5</v>
      </c>
      <c r="F7" s="98" t="str">
        <f>IF(Match!V7="","",Match!V7)</f>
        <v xml:space="preserve">West Ham 2-3 Southampton </v>
      </c>
      <c r="G7" s="36" t="str">
        <f t="shared" si="0"/>
        <v>West Ham</v>
      </c>
      <c r="H7" s="37" t="str">
        <f t="shared" si="1"/>
        <v>3/4</v>
      </c>
      <c r="I7" s="198">
        <f t="shared" si="3"/>
        <v>1.75</v>
      </c>
      <c r="J7" s="37">
        <f>INDEX(Picks!T:T,MATCH(G7,Picks!R:R,0))</f>
        <v>0</v>
      </c>
      <c r="K7" s="37">
        <f>IF(INDEX(Match!P:P,MATCH(A7,Match!A:A,0))="OFF",0,1)</f>
        <v>1</v>
      </c>
      <c r="L7" t="str">
        <f>INDEX(Match!Q:Q,MATCH(E7,Match!U:U,0))</f>
        <v>West Ham</v>
      </c>
      <c r="M7" t="str">
        <f>INDEX(Match!X:X,MATCH(E7,Match!U:U,0))</f>
        <v>3/4</v>
      </c>
      <c r="N7" t="str">
        <f>INDEX(Match!R:R,MATCH(E7,Match!U:U,0))</f>
        <v>Southampton</v>
      </c>
      <c r="O7" t="str">
        <f>INDEX(Match!Y:Y,MATCH(E7,Match!U:U,0))</f>
        <v>14/5</v>
      </c>
      <c r="P7" t="str">
        <f>INDEX(Match!Z:Z,MATCH(E7,Match!U:U,0))</f>
        <v>17/5</v>
      </c>
      <c r="Q7" s="195">
        <f>INDEX(Match!AA:AA,MATCH(E7,Match!U:U,0))</f>
        <v>1.75</v>
      </c>
      <c r="R7" s="195">
        <f>INDEX(Match!AB:AB,MATCH(E7,Match!U:U,0))</f>
        <v>3.8</v>
      </c>
      <c r="S7" s="195">
        <f>INDEX(Match!AC:AC,MATCH(E7,Match!U:U,0))</f>
        <v>4.4000000000000004</v>
      </c>
    </row>
    <row r="8" spans="1:19">
      <c r="A8" s="4">
        <v>7</v>
      </c>
      <c r="B8" s="100">
        <f>IF(Match!B8="","",Match!B8)</f>
        <v>44556</v>
      </c>
      <c r="C8" s="584">
        <f t="shared" si="2"/>
        <v>1</v>
      </c>
      <c r="D8" s="99" t="str">
        <f>IF(Match!D8="","",Match!D8)</f>
        <v>Champ</v>
      </c>
      <c r="E8" s="98" t="str">
        <f>IF(Match!U8="","",Match!U8)</f>
        <v>Huddersfield  v  Blackpool   11/10  23/10  5/2</v>
      </c>
      <c r="F8" s="98" t="str">
        <f>IF(Match!V8="","",Match!V8)</f>
        <v xml:space="preserve">Huddersfield 3-2 Blackpool </v>
      </c>
      <c r="G8" s="36" t="str">
        <f t="shared" si="0"/>
        <v>Huddersfield</v>
      </c>
      <c r="H8" s="37" t="str">
        <f t="shared" si="1"/>
        <v>11/10</v>
      </c>
      <c r="I8" s="198">
        <f t="shared" si="3"/>
        <v>2.1</v>
      </c>
      <c r="J8" s="37">
        <f>INDEX(Picks!T:T,MATCH(G8,Picks!R:R,0))</f>
        <v>1</v>
      </c>
      <c r="K8" s="37">
        <f>IF(INDEX(Match!P:P,MATCH(A8,Match!A:A,0))="OFF",0,1)</f>
        <v>1</v>
      </c>
      <c r="L8" t="str">
        <f>INDEX(Match!Q:Q,MATCH(E8,Match!U:U,0))</f>
        <v>Huddersfield</v>
      </c>
      <c r="M8" t="str">
        <f>INDEX(Match!X:X,MATCH(E8,Match!U:U,0))</f>
        <v>11/10</v>
      </c>
      <c r="N8" t="str">
        <f>INDEX(Match!R:R,MATCH(E8,Match!U:U,0))</f>
        <v>Blackpool</v>
      </c>
      <c r="O8" t="str">
        <f>INDEX(Match!Y:Y,MATCH(E8,Match!U:U,0))</f>
        <v>23/10</v>
      </c>
      <c r="P8" t="str">
        <f>INDEX(Match!Z:Z,MATCH(E8,Match!U:U,0))</f>
        <v>5/2</v>
      </c>
      <c r="Q8" s="195">
        <f>INDEX(Match!AA:AA,MATCH(E8,Match!U:U,0))</f>
        <v>2.1</v>
      </c>
      <c r="R8" s="195">
        <f>INDEX(Match!AB:AB,MATCH(E8,Match!U:U,0))</f>
        <v>3.3</v>
      </c>
      <c r="S8" s="195">
        <f>INDEX(Match!AC:AC,MATCH(E8,Match!U:U,0))</f>
        <v>3.5</v>
      </c>
    </row>
    <row r="9" spans="1:19">
      <c r="A9" s="4">
        <v>8</v>
      </c>
      <c r="B9" s="100">
        <f>IF(Match!B9="","",Match!B9)</f>
        <v>44556</v>
      </c>
      <c r="C9" s="584">
        <f t="shared" si="2"/>
        <v>1</v>
      </c>
      <c r="D9" s="99" t="str">
        <f>IF(Match!D9="","",Match!D9)</f>
        <v>Champ</v>
      </c>
      <c r="E9" s="98" t="str">
        <f>IF(Match!U9="","",Match!U9)</f>
        <v>Middlesbro  v  Forest   11/10  11/5  5/2</v>
      </c>
      <c r="F9" s="98" t="str">
        <f>IF(Match!V9="","",Match!V9)</f>
        <v xml:space="preserve">Middlesbro 2-0 Forest </v>
      </c>
      <c r="G9" s="36" t="str">
        <f t="shared" si="0"/>
        <v>Middlesbro</v>
      </c>
      <c r="H9" s="37" t="str">
        <f t="shared" si="1"/>
        <v>11/10</v>
      </c>
      <c r="I9" s="198">
        <f t="shared" si="3"/>
        <v>2.1</v>
      </c>
      <c r="J9" s="37">
        <f>INDEX(Picks!T:T,MATCH(G9,Picks!R:R,0))</f>
        <v>1</v>
      </c>
      <c r="K9" s="37">
        <f>IF(INDEX(Match!P:P,MATCH(A9,Match!A:A,0))="OFF",0,1)</f>
        <v>1</v>
      </c>
      <c r="L9" t="str">
        <f>INDEX(Match!Q:Q,MATCH(E9,Match!U:U,0))</f>
        <v>Middlesbro</v>
      </c>
      <c r="M9" t="str">
        <f>INDEX(Match!X:X,MATCH(E9,Match!U:U,0))</f>
        <v>11/10</v>
      </c>
      <c r="N9" t="str">
        <f>INDEX(Match!R:R,MATCH(E9,Match!U:U,0))</f>
        <v>Forest</v>
      </c>
      <c r="O9" t="str">
        <f>INDEX(Match!Y:Y,MATCH(E9,Match!U:U,0))</f>
        <v>11/5</v>
      </c>
      <c r="P9" t="str">
        <f>INDEX(Match!Z:Z,MATCH(E9,Match!U:U,0))</f>
        <v>5/2</v>
      </c>
      <c r="Q9" s="195">
        <f>INDEX(Match!AA:AA,MATCH(E9,Match!U:U,0))</f>
        <v>2.1</v>
      </c>
      <c r="R9" s="195">
        <f>INDEX(Match!AB:AB,MATCH(E9,Match!U:U,0))</f>
        <v>3.2</v>
      </c>
      <c r="S9" s="195">
        <f>INDEX(Match!AC:AC,MATCH(E9,Match!U:U,0))</f>
        <v>3.5</v>
      </c>
    </row>
    <row r="10" spans="1:19">
      <c r="A10" s="4">
        <v>9</v>
      </c>
      <c r="B10" s="100">
        <f>IF(Match!B10="","",Match!B10)</f>
        <v>44556</v>
      </c>
      <c r="C10" s="584">
        <f t="shared" si="2"/>
        <v>1</v>
      </c>
      <c r="D10" s="99" t="str">
        <f>IF(Match!D10="","",Match!D10)</f>
        <v>League 1</v>
      </c>
      <c r="E10" s="98" t="str">
        <f>IF(Match!U10="","",Match!U10)</f>
        <v>Accrington  v  Rotherham   3/1  11/4  4/5</v>
      </c>
      <c r="F10" s="98" t="str">
        <f>IF(Match!V10="","",Match!V10)</f>
        <v xml:space="preserve">Accrington 1-0 Rotherham </v>
      </c>
      <c r="G10" s="36" t="str">
        <f t="shared" si="0"/>
        <v>Accrington</v>
      </c>
      <c r="H10" s="37" t="str">
        <f t="shared" si="1"/>
        <v>3/1</v>
      </c>
      <c r="I10" s="198">
        <f t="shared" si="3"/>
        <v>4</v>
      </c>
      <c r="J10" s="37">
        <f>INDEX(Picks!T:T,MATCH(G10,Picks!R:R,0))</f>
        <v>1</v>
      </c>
      <c r="K10" s="37">
        <f>IF(INDEX(Match!P:P,MATCH(A10,Match!A:A,0))="OFF",0,1)</f>
        <v>1</v>
      </c>
      <c r="L10" t="str">
        <f>INDEX(Match!Q:Q,MATCH(E10,Match!U:U,0))</f>
        <v>Accrington</v>
      </c>
      <c r="M10" t="str">
        <f>INDEX(Match!X:X,MATCH(E10,Match!U:U,0))</f>
        <v>3/1</v>
      </c>
      <c r="N10" t="str">
        <f>INDEX(Match!R:R,MATCH(E10,Match!U:U,0))</f>
        <v>Rotherham</v>
      </c>
      <c r="O10" t="str">
        <f>INDEX(Match!Y:Y,MATCH(E10,Match!U:U,0))</f>
        <v>11/4</v>
      </c>
      <c r="P10" t="str">
        <f>INDEX(Match!Z:Z,MATCH(E10,Match!U:U,0))</f>
        <v>4/5</v>
      </c>
      <c r="Q10" s="195">
        <f>INDEX(Match!AA:AA,MATCH(E10,Match!U:U,0))</f>
        <v>4</v>
      </c>
      <c r="R10" s="195">
        <f>INDEX(Match!AB:AB,MATCH(E10,Match!U:U,0))</f>
        <v>3.75</v>
      </c>
      <c r="S10" s="195">
        <f>INDEX(Match!AC:AC,MATCH(E10,Match!U:U,0))</f>
        <v>1.8</v>
      </c>
    </row>
    <row r="11" spans="1:19">
      <c r="A11" s="4">
        <v>10</v>
      </c>
      <c r="B11" s="100">
        <f>IF(Match!B11="","",Match!B11)</f>
        <v>44556</v>
      </c>
      <c r="C11" s="584">
        <f t="shared" si="2"/>
        <v>1</v>
      </c>
      <c r="D11" s="99" t="str">
        <f>IF(Match!D11="","",Match!D11)</f>
        <v>League 1</v>
      </c>
      <c r="E11" s="98" t="str">
        <f>IF(Match!U11="","",Match!U11)</f>
        <v>Cheltenham  v  Plymouth   2/1  23/10  13/10</v>
      </c>
      <c r="F11" s="98" t="str">
        <f>IF(Match!V11="","",Match!V11)</f>
        <v xml:space="preserve">Cheltenham 0-2 Plymouth </v>
      </c>
      <c r="G11" s="36" t="str">
        <f t="shared" si="0"/>
        <v>Cheltenham</v>
      </c>
      <c r="H11" s="37" t="str">
        <f t="shared" si="1"/>
        <v>2/1</v>
      </c>
      <c r="I11" s="198">
        <f t="shared" si="3"/>
        <v>3</v>
      </c>
      <c r="J11" s="37">
        <f>INDEX(Picks!T:T,MATCH(G11,Picks!R:R,0))</f>
        <v>0</v>
      </c>
      <c r="K11" s="37">
        <f>IF(INDEX(Match!P:P,MATCH(A11,Match!A:A,0))="OFF",0,1)</f>
        <v>1</v>
      </c>
      <c r="L11" t="str">
        <f>INDEX(Match!Q:Q,MATCH(E11,Match!U:U,0))</f>
        <v>Cheltenham</v>
      </c>
      <c r="M11" t="str">
        <f>INDEX(Match!X:X,MATCH(E11,Match!U:U,0))</f>
        <v>2/1</v>
      </c>
      <c r="N11" t="str">
        <f>INDEX(Match!R:R,MATCH(E11,Match!U:U,0))</f>
        <v>Plymouth</v>
      </c>
      <c r="O11" t="str">
        <f>INDEX(Match!Y:Y,MATCH(E11,Match!U:U,0))</f>
        <v>23/10</v>
      </c>
      <c r="P11" t="str">
        <f>INDEX(Match!Z:Z,MATCH(E11,Match!U:U,0))</f>
        <v>13/10</v>
      </c>
      <c r="Q11" s="195">
        <f>INDEX(Match!AA:AA,MATCH(E11,Match!U:U,0))</f>
        <v>3</v>
      </c>
      <c r="R11" s="195">
        <f>INDEX(Match!AB:AB,MATCH(E11,Match!U:U,0))</f>
        <v>3.3</v>
      </c>
      <c r="S11" s="195">
        <f>INDEX(Match!AC:AC,MATCH(E11,Match!U:U,0))</f>
        <v>2.2999999999999998</v>
      </c>
    </row>
    <row r="12" spans="1:19">
      <c r="A12" s="4">
        <v>11</v>
      </c>
      <c r="B12" s="100">
        <f>IF(Match!B12="","",Match!B12)</f>
        <v>44556</v>
      </c>
      <c r="C12" s="584">
        <f t="shared" si="2"/>
        <v>1</v>
      </c>
      <c r="D12" s="99" t="str">
        <f>IF(Match!D12="","",Match!D12)</f>
        <v>League 1</v>
      </c>
      <c r="E12" s="98" t="str">
        <f>IF(Match!U12="","",Match!U12)</f>
        <v>Fleetwood  v  Shrewsbury   6/5  9/4  11/5</v>
      </c>
      <c r="F12" s="98" t="str">
        <f>IF(Match!V12="","",Match!V12)</f>
        <v xml:space="preserve">Fleetwood 0-3 Shrewsbury </v>
      </c>
      <c r="G12" s="36" t="str">
        <f t="shared" si="0"/>
        <v>Fleetwood</v>
      </c>
      <c r="H12" s="37" t="str">
        <f t="shared" si="1"/>
        <v>6/5</v>
      </c>
      <c r="I12" s="198">
        <f t="shared" si="3"/>
        <v>2.2000000000000002</v>
      </c>
      <c r="J12" s="37">
        <f>INDEX(Picks!T:T,MATCH(G12,Picks!R:R,0))</f>
        <v>0</v>
      </c>
      <c r="K12" s="37">
        <f>IF(INDEX(Match!P:P,MATCH(A12,Match!A:A,0))="OFF",0,1)</f>
        <v>1</v>
      </c>
      <c r="L12" t="str">
        <f>INDEX(Match!Q:Q,MATCH(E12,Match!U:U,0))</f>
        <v>Fleetwood</v>
      </c>
      <c r="M12" t="str">
        <f>INDEX(Match!X:X,MATCH(E12,Match!U:U,0))</f>
        <v>6/5</v>
      </c>
      <c r="N12" t="str">
        <f>INDEX(Match!R:R,MATCH(E12,Match!U:U,0))</f>
        <v>Shrewsbury</v>
      </c>
      <c r="O12" t="str">
        <f>INDEX(Match!Y:Y,MATCH(E12,Match!U:U,0))</f>
        <v>9/4</v>
      </c>
      <c r="P12" t="str">
        <f>INDEX(Match!Z:Z,MATCH(E12,Match!U:U,0))</f>
        <v>11/5</v>
      </c>
      <c r="Q12" s="195">
        <f>INDEX(Match!AA:AA,MATCH(E12,Match!U:U,0))</f>
        <v>2.2000000000000002</v>
      </c>
      <c r="R12" s="195">
        <f>INDEX(Match!AB:AB,MATCH(E12,Match!U:U,0))</f>
        <v>3.25</v>
      </c>
      <c r="S12" s="195">
        <f>INDEX(Match!AC:AC,MATCH(E12,Match!U:U,0))</f>
        <v>3.2</v>
      </c>
    </row>
    <row r="13" spans="1:19">
      <c r="A13" s="4">
        <v>12</v>
      </c>
      <c r="B13" s="100">
        <f>IF(Match!B13="","",Match!B13)</f>
        <v>44556</v>
      </c>
      <c r="C13" s="584">
        <f t="shared" si="2"/>
        <v>1</v>
      </c>
      <c r="D13" s="99" t="str">
        <f>IF(Match!D13="","",Match!D13)</f>
        <v>League 1</v>
      </c>
      <c r="E13" s="98" t="str">
        <f>IF(Match!U13="","",Match!U13)</f>
        <v>Lincoln  v  MK Dons   2/1  12/5  5/4</v>
      </c>
      <c r="F13" s="98" t="str">
        <f>IF(Match!V13="","",Match!V13)</f>
        <v xml:space="preserve">Lincoln 2-3 MK Dons </v>
      </c>
      <c r="G13" s="36" t="str">
        <f t="shared" si="0"/>
        <v>Lincoln</v>
      </c>
      <c r="H13" s="37" t="str">
        <f t="shared" si="1"/>
        <v>2/1</v>
      </c>
      <c r="I13" s="198">
        <f t="shared" si="3"/>
        <v>3</v>
      </c>
      <c r="J13" s="37">
        <f>INDEX(Picks!T:T,MATCH(G13,Picks!R:R,0))</f>
        <v>0</v>
      </c>
      <c r="K13" s="37">
        <f>IF(INDEX(Match!P:P,MATCH(A13,Match!A:A,0))="OFF",0,1)</f>
        <v>1</v>
      </c>
      <c r="L13" t="str">
        <f>INDEX(Match!Q:Q,MATCH(E13,Match!U:U,0))</f>
        <v>Lincoln</v>
      </c>
      <c r="M13" t="str">
        <f>INDEX(Match!X:X,MATCH(E13,Match!U:U,0))</f>
        <v>2/1</v>
      </c>
      <c r="N13" t="str">
        <f>INDEX(Match!R:R,MATCH(E13,Match!U:U,0))</f>
        <v>MK Dons</v>
      </c>
      <c r="O13" t="str">
        <f>INDEX(Match!Y:Y,MATCH(E13,Match!U:U,0))</f>
        <v>12/5</v>
      </c>
      <c r="P13" t="str">
        <f>INDEX(Match!Z:Z,MATCH(E13,Match!U:U,0))</f>
        <v>5/4</v>
      </c>
      <c r="Q13" s="195">
        <f>INDEX(Match!AA:AA,MATCH(E13,Match!U:U,0))</f>
        <v>3</v>
      </c>
      <c r="R13" s="195">
        <f>INDEX(Match!AB:AB,MATCH(E13,Match!U:U,0))</f>
        <v>3.4</v>
      </c>
      <c r="S13" s="195">
        <f>INDEX(Match!AC:AC,MATCH(E13,Match!U:U,0))</f>
        <v>2.25</v>
      </c>
    </row>
    <row r="14" spans="1:19">
      <c r="A14" s="4">
        <v>13</v>
      </c>
      <c r="B14" s="100">
        <f>IF(Match!B14="","",Match!B14)</f>
        <v>44556</v>
      </c>
      <c r="C14" s="584">
        <f t="shared" si="2"/>
        <v>1</v>
      </c>
      <c r="D14" s="99" t="str">
        <f>IF(Match!D14="","",Match!D14)</f>
        <v>League 2</v>
      </c>
      <c r="E14" s="98" t="str">
        <f>IF(Match!U14="","",Match!U14)</f>
        <v>Mansfield  v  Hartlepool   10/11  12/5  29/10</v>
      </c>
      <c r="F14" s="98" t="str">
        <f>IF(Match!V14="","",Match!V14)</f>
        <v xml:space="preserve">Mansfield 3-2 Hartlepool </v>
      </c>
      <c r="G14" s="36" t="str">
        <f t="shared" si="0"/>
        <v>Mansfield</v>
      </c>
      <c r="H14" s="37" t="str">
        <f t="shared" si="1"/>
        <v>10/11</v>
      </c>
      <c r="I14" s="198">
        <f t="shared" si="3"/>
        <v>1.9090909090909092</v>
      </c>
      <c r="J14" s="37">
        <f>INDEX(Picks!T:T,MATCH(G14,Picks!R:R,0))</f>
        <v>1</v>
      </c>
      <c r="K14" s="37">
        <f>IF(INDEX(Match!P:P,MATCH(A14,Match!A:A,0))="OFF",0,1)</f>
        <v>1</v>
      </c>
      <c r="L14" t="str">
        <f>INDEX(Match!Q:Q,MATCH(E14,Match!U:U,0))</f>
        <v>Mansfield</v>
      </c>
      <c r="M14" t="str">
        <f>INDEX(Match!X:X,MATCH(E14,Match!U:U,0))</f>
        <v>10/11</v>
      </c>
      <c r="N14" t="str">
        <f>INDEX(Match!R:R,MATCH(E14,Match!U:U,0))</f>
        <v>Hartlepool</v>
      </c>
      <c r="O14" t="str">
        <f>INDEX(Match!Y:Y,MATCH(E14,Match!U:U,0))</f>
        <v>12/5</v>
      </c>
      <c r="P14" t="str">
        <f>INDEX(Match!Z:Z,MATCH(E14,Match!U:U,0))</f>
        <v>29/10</v>
      </c>
      <c r="Q14" s="195">
        <f>INDEX(Match!AA:AA,MATCH(E14,Match!U:U,0))</f>
        <v>1.9090909090909092</v>
      </c>
      <c r="R14" s="195">
        <f>INDEX(Match!AB:AB,MATCH(E14,Match!U:U,0))</f>
        <v>3.4</v>
      </c>
      <c r="S14" s="195">
        <f>INDEX(Match!AC:AC,MATCH(E14,Match!U:U,0))</f>
        <v>3.9</v>
      </c>
    </row>
    <row r="15" spans="1:19">
      <c r="A15" s="4">
        <v>14</v>
      </c>
      <c r="B15" s="100">
        <f>IF(Match!B15="","",Match!B15)</f>
        <v>44556</v>
      </c>
      <c r="C15" s="584">
        <f t="shared" si="2"/>
        <v>1</v>
      </c>
      <c r="D15" s="99" t="str">
        <f>IF(Match!D15="","",Match!D15)</f>
        <v>League 2</v>
      </c>
      <c r="E15" s="98" t="str">
        <f>IF(Match!U15="","",Match!U15)</f>
        <v>Oldham  v  Scunthorpe   6/5  12/5  21/10</v>
      </c>
      <c r="F15" s="98" t="str">
        <f>IF(Match!V15="","",Match!V15)</f>
        <v xml:space="preserve">Oldham 1-3 Scunthorpe </v>
      </c>
      <c r="G15" s="36" t="str">
        <f t="shared" si="0"/>
        <v>Oldham</v>
      </c>
      <c r="H15" s="37" t="str">
        <f t="shared" si="1"/>
        <v>6/5</v>
      </c>
      <c r="I15" s="198">
        <f t="shared" si="3"/>
        <v>2.2000000000000002</v>
      </c>
      <c r="J15" s="37">
        <f>INDEX(Picks!T:T,MATCH(G15,Picks!R:R,0))</f>
        <v>0</v>
      </c>
      <c r="K15" s="37">
        <f>IF(INDEX(Match!P:P,MATCH(A15,Match!A:A,0))="OFF",0,1)</f>
        <v>1</v>
      </c>
      <c r="L15" t="str">
        <f>INDEX(Match!Q:Q,MATCH(E15,Match!U:U,0))</f>
        <v>Oldham</v>
      </c>
      <c r="M15" t="str">
        <f>INDEX(Match!X:X,MATCH(E15,Match!U:U,0))</f>
        <v>6/5</v>
      </c>
      <c r="N15" t="str">
        <f>INDEX(Match!R:R,MATCH(E15,Match!U:U,0))</f>
        <v>Scunthorpe</v>
      </c>
      <c r="O15" t="str">
        <f>INDEX(Match!Y:Y,MATCH(E15,Match!U:U,0))</f>
        <v>12/5</v>
      </c>
      <c r="P15" t="str">
        <f>INDEX(Match!Z:Z,MATCH(E15,Match!U:U,0))</f>
        <v>21/10</v>
      </c>
      <c r="Q15" s="195">
        <f>INDEX(Match!AA:AA,MATCH(E15,Match!U:U,0))</f>
        <v>2.2000000000000002</v>
      </c>
      <c r="R15" s="195">
        <f>INDEX(Match!AB:AB,MATCH(E15,Match!U:U,0))</f>
        <v>3.4</v>
      </c>
      <c r="S15" s="195">
        <f>INDEX(Match!AC:AC,MATCH(E15,Match!U:U,0))</f>
        <v>3.1</v>
      </c>
    </row>
    <row r="16" spans="1:19">
      <c r="A16" s="4">
        <v>15</v>
      </c>
      <c r="B16" s="100">
        <f>IF(Match!B16="","",Match!B16)</f>
        <v>44556</v>
      </c>
      <c r="C16" s="584">
        <f t="shared" si="2"/>
        <v>1</v>
      </c>
      <c r="D16" s="99" t="str">
        <f>IF(Match!D16="","",Match!D16)</f>
        <v>League 2</v>
      </c>
      <c r="E16" s="98" t="str">
        <f>IF(Match!U16="","",Match!U16)</f>
        <v>Tranmere  v  Barrow   23/20  23/10  23/10</v>
      </c>
      <c r="F16" s="98" t="str">
        <f>IF(Match!V16="","",Match!V16)</f>
        <v xml:space="preserve">Tranmere 2-0 Barrow </v>
      </c>
      <c r="G16" s="36" t="str">
        <f t="shared" si="0"/>
        <v>Tranmere</v>
      </c>
      <c r="H16" s="37" t="str">
        <f t="shared" si="1"/>
        <v>23/20</v>
      </c>
      <c r="I16" s="198">
        <f t="shared" si="3"/>
        <v>2.15</v>
      </c>
      <c r="J16" s="37">
        <f>INDEX(Picks!T:T,MATCH(G16,Picks!R:R,0))</f>
        <v>1</v>
      </c>
      <c r="K16" s="37">
        <f>IF(INDEX(Match!P:P,MATCH(A16,Match!A:A,0))="OFF",0,1)</f>
        <v>1</v>
      </c>
      <c r="L16" t="str">
        <f>INDEX(Match!Q:Q,MATCH(E16,Match!U:U,0))</f>
        <v>Tranmere</v>
      </c>
      <c r="M16" t="str">
        <f>INDEX(Match!X:X,MATCH(E16,Match!U:U,0))</f>
        <v>23/20</v>
      </c>
      <c r="N16" t="str">
        <f>INDEX(Match!R:R,MATCH(E16,Match!U:U,0))</f>
        <v>Barrow</v>
      </c>
      <c r="O16" t="str">
        <f>INDEX(Match!Y:Y,MATCH(E16,Match!U:U,0))</f>
        <v>23/10</v>
      </c>
      <c r="P16" t="str">
        <f>INDEX(Match!Z:Z,MATCH(E16,Match!U:U,0))</f>
        <v>23/10</v>
      </c>
      <c r="Q16" s="195">
        <f>INDEX(Match!AA:AA,MATCH(E16,Match!U:U,0))</f>
        <v>2.15</v>
      </c>
      <c r="R16" s="195">
        <f>INDEX(Match!AB:AB,MATCH(E16,Match!U:U,0))</f>
        <v>3.3</v>
      </c>
      <c r="S16" s="195">
        <f>INDEX(Match!AC:AC,MATCH(E16,Match!U:U,0))</f>
        <v>3.3</v>
      </c>
    </row>
    <row r="17" spans="1:19">
      <c r="A17" s="4">
        <v>16</v>
      </c>
      <c r="B17" s="100">
        <f>IF(Match!B17="","",Match!B17)</f>
        <v>44556</v>
      </c>
      <c r="C17" s="584">
        <f t="shared" si="2"/>
        <v>1</v>
      </c>
      <c r="D17" s="99" t="str">
        <f>IF(Match!D17="","",Match!D17)</f>
        <v>Nat League</v>
      </c>
      <c r="E17" s="98" t="str">
        <f>IF(Match!U17="","",Match!U17)</f>
        <v>Aldershot  v  Woking   16/11  5/2  7/4</v>
      </c>
      <c r="F17" s="98" t="str">
        <f>IF(Match!V17="","",Match!V17)</f>
        <v xml:space="preserve">Aldershot 1-1 Woking </v>
      </c>
      <c r="G17" s="36" t="str">
        <f t="shared" si="0"/>
        <v>Aldershot</v>
      </c>
      <c r="H17" s="37" t="str">
        <f t="shared" si="1"/>
        <v>16/11</v>
      </c>
      <c r="I17" s="198">
        <f t="shared" si="3"/>
        <v>2.4545454545454546</v>
      </c>
      <c r="J17" s="37">
        <f>INDEX(Picks!T:T,MATCH(G17,Picks!R:R,0))</f>
        <v>0</v>
      </c>
      <c r="K17" s="37">
        <f>IF(INDEX(Match!P:P,MATCH(A17,Match!A:A,0))="OFF",0,1)</f>
        <v>1</v>
      </c>
      <c r="L17" t="str">
        <f>INDEX(Match!Q:Q,MATCH(E17,Match!U:U,0))</f>
        <v>Aldershot</v>
      </c>
      <c r="M17" t="str">
        <f>INDEX(Match!X:X,MATCH(E17,Match!U:U,0))</f>
        <v>16/11</v>
      </c>
      <c r="N17" t="str">
        <f>INDEX(Match!R:R,MATCH(E17,Match!U:U,0))</f>
        <v>Woking</v>
      </c>
      <c r="O17" t="str">
        <f>INDEX(Match!Y:Y,MATCH(E17,Match!U:U,0))</f>
        <v>5/2</v>
      </c>
      <c r="P17" t="str">
        <f>INDEX(Match!Z:Z,MATCH(E17,Match!U:U,0))</f>
        <v>7/4</v>
      </c>
      <c r="Q17" s="195">
        <f>INDEX(Match!AA:AA,MATCH(E17,Match!U:U,0))</f>
        <v>2.4545454545454546</v>
      </c>
      <c r="R17" s="195">
        <f>INDEX(Match!AB:AB,MATCH(E17,Match!U:U,0))</f>
        <v>3.5</v>
      </c>
      <c r="S17" s="195">
        <f>INDEX(Match!AC:AC,MATCH(E17,Match!U:U,0))</f>
        <v>2.75</v>
      </c>
    </row>
    <row r="18" spans="1:19">
      <c r="A18" s="4">
        <v>17</v>
      </c>
      <c r="B18" s="100">
        <f>IF(Match!B18="","",Match!B18)</f>
        <v>44556</v>
      </c>
      <c r="C18" s="584">
        <f t="shared" si="2"/>
        <v>1</v>
      </c>
      <c r="D18" s="99" t="str">
        <f>IF(Match!D21="","",Match!D21)</f>
        <v>Nat League</v>
      </c>
      <c r="E18" s="98" t="str">
        <f>IF(Match!U18="","",Match!U18)</f>
        <v>Bromley  v  Southend   7/10  3/1  15/4</v>
      </c>
      <c r="F18" s="98" t="str">
        <f>IF(Match!V18="","",Match!V18)</f>
        <v xml:space="preserve">Bromley 1-1 Southend </v>
      </c>
      <c r="G18" s="36" t="str">
        <f t="shared" si="0"/>
        <v>Bromley</v>
      </c>
      <c r="H18" s="37" t="str">
        <f t="shared" si="1"/>
        <v>7/10</v>
      </c>
      <c r="I18" s="198">
        <f t="shared" si="3"/>
        <v>1.7</v>
      </c>
      <c r="J18" s="37">
        <f>INDEX(Picks!T:T,MATCH(G18,Picks!R:R,0))</f>
        <v>0</v>
      </c>
      <c r="K18" s="37">
        <f>IF(INDEX(Match!P:P,MATCH(A18,Match!A:A,0))="OFF",0,1)</f>
        <v>1</v>
      </c>
      <c r="L18" t="str">
        <f>INDEX(Match!Q:Q,MATCH(E18,Match!U:U,0))</f>
        <v>Bromley</v>
      </c>
      <c r="M18" t="str">
        <f>INDEX(Match!X:X,MATCH(E18,Match!U:U,0))</f>
        <v>7/10</v>
      </c>
      <c r="N18" t="str">
        <f>INDEX(Match!R:R,MATCH(E18,Match!U:U,0))</f>
        <v>Southend</v>
      </c>
      <c r="O18" t="str">
        <f>INDEX(Match!Y:Y,MATCH(E18,Match!U:U,0))</f>
        <v>3/1</v>
      </c>
      <c r="P18" t="str">
        <f>INDEX(Match!Z:Z,MATCH(E18,Match!U:U,0))</f>
        <v>15/4</v>
      </c>
      <c r="Q18" s="195">
        <f>INDEX(Match!AA:AA,MATCH(E18,Match!U:U,0))</f>
        <v>1.7</v>
      </c>
      <c r="R18" s="195">
        <f>INDEX(Match!AB:AB,MATCH(E18,Match!U:U,0))</f>
        <v>4</v>
      </c>
      <c r="S18" s="195">
        <f>INDEX(Match!AC:AC,MATCH(E18,Match!U:U,0))</f>
        <v>4.75</v>
      </c>
    </row>
    <row r="19" spans="1:19">
      <c r="A19" s="4">
        <v>18</v>
      </c>
      <c r="B19" s="100">
        <f>IF(Match!B19="","",Match!B19)</f>
        <v>44556</v>
      </c>
      <c r="C19" s="584">
        <f t="shared" si="2"/>
        <v>1</v>
      </c>
      <c r="D19" s="99" t="str">
        <f>IF(Match!D19="","",Match!D19)</f>
        <v>Nat League</v>
      </c>
      <c r="E19" s="98" t="str">
        <f>IF(Match!U19="","",Match!U19)</f>
        <v>Dover  v  Dagenham   9/2  16/5  11/18</v>
      </c>
      <c r="F19" s="98" t="str">
        <f>IF(Match!V19="","",Match!V19)</f>
        <v xml:space="preserve">Dover 0-2 Dagenham </v>
      </c>
      <c r="G19" s="36" t="str">
        <f t="shared" si="0"/>
        <v>Dover</v>
      </c>
      <c r="H19" s="37" t="str">
        <f t="shared" si="1"/>
        <v>9/2</v>
      </c>
      <c r="I19" s="198">
        <f t="shared" si="3"/>
        <v>5.5</v>
      </c>
      <c r="J19" s="37">
        <f>INDEX(Picks!T:T,MATCH(G19,Picks!R:R,0))</f>
        <v>0</v>
      </c>
      <c r="K19" s="37">
        <f>IF(INDEX(Match!P:P,MATCH(A19,Match!A:A,0))="OFF",0,1)</f>
        <v>1</v>
      </c>
      <c r="L19" t="str">
        <f>INDEX(Match!Q:Q,MATCH(E19,Match!U:U,0))</f>
        <v>Dover</v>
      </c>
      <c r="M19" t="str">
        <f>INDEX(Match!X:X,MATCH(E19,Match!U:U,0))</f>
        <v>9/2</v>
      </c>
      <c r="N19" t="str">
        <f>INDEX(Match!R:R,MATCH(E19,Match!U:U,0))</f>
        <v>Dagenham</v>
      </c>
      <c r="O19" t="str">
        <f>INDEX(Match!Y:Y,MATCH(E19,Match!U:U,0))</f>
        <v>16/5</v>
      </c>
      <c r="P19" t="str">
        <f>INDEX(Match!Z:Z,MATCH(E19,Match!U:U,0))</f>
        <v>11/18</v>
      </c>
      <c r="Q19" s="195">
        <f>INDEX(Match!AA:AA,MATCH(E19,Match!U:U,0))</f>
        <v>5.5</v>
      </c>
      <c r="R19" s="195">
        <f>INDEX(Match!AB:AB,MATCH(E19,Match!U:U,0))</f>
        <v>4.2</v>
      </c>
      <c r="S19" s="195">
        <f>INDEX(Match!AC:AC,MATCH(E19,Match!U:U,0))</f>
        <v>1.6111111111111112</v>
      </c>
    </row>
    <row r="20" spans="1:19">
      <c r="A20" s="4">
        <v>19</v>
      </c>
      <c r="B20" s="100">
        <f>IF(Match!B20="","",Match!B20)</f>
        <v>44556</v>
      </c>
      <c r="C20" s="584">
        <f t="shared" si="2"/>
        <v>1</v>
      </c>
      <c r="D20" s="99" t="str">
        <f>IF(Match!D20="","",Match!D20)</f>
        <v>Nat League</v>
      </c>
      <c r="E20" s="98" t="str">
        <f>IF(Match!U20="","",Match!U20)</f>
        <v>Stockport  v  Altrincham   13/18  37/13  15/4</v>
      </c>
      <c r="F20" s="98" t="str">
        <f>IF(Match!V20="","",Match!V20)</f>
        <v xml:space="preserve">Stockport 5-1 Altrincham </v>
      </c>
      <c r="G20" s="36" t="str">
        <f t="shared" si="0"/>
        <v>Stockport</v>
      </c>
      <c r="H20" s="37" t="str">
        <f t="shared" si="1"/>
        <v>13/18</v>
      </c>
      <c r="I20" s="198">
        <f t="shared" si="3"/>
        <v>1.7222222222222223</v>
      </c>
      <c r="J20" s="37">
        <f>INDEX(Picks!T:T,MATCH(G20,Picks!R:R,0))</f>
        <v>1</v>
      </c>
      <c r="K20" s="37">
        <f>IF(INDEX(Match!P:P,MATCH(A20,Match!A:A,0))="OFF",0,1)</f>
        <v>1</v>
      </c>
      <c r="L20" t="str">
        <f>INDEX(Match!Q:Q,MATCH(E20,Match!U:U,0))</f>
        <v>Stockport</v>
      </c>
      <c r="M20" t="str">
        <f>INDEX(Match!X:X,MATCH(E20,Match!U:U,0))</f>
        <v>13/18</v>
      </c>
      <c r="N20" t="str">
        <f>INDEX(Match!R:R,MATCH(E20,Match!U:U,0))</f>
        <v>Altrincham</v>
      </c>
      <c r="O20" t="str">
        <f>INDEX(Match!Y:Y,MATCH(E20,Match!U:U,0))</f>
        <v>37/13</v>
      </c>
      <c r="P20" t="str">
        <f>INDEX(Match!Z:Z,MATCH(E20,Match!U:U,0))</f>
        <v>15/4</v>
      </c>
      <c r="Q20" s="195">
        <f>INDEX(Match!AA:AA,MATCH(E20,Match!U:U,0))</f>
        <v>1.7222222222222223</v>
      </c>
      <c r="R20" s="195">
        <f>INDEX(Match!AB:AB,MATCH(E20,Match!U:U,0))</f>
        <v>3.8461538461538463</v>
      </c>
      <c r="S20" s="195">
        <f>INDEX(Match!AC:AC,MATCH(E20,Match!U:U,0))</f>
        <v>4.75</v>
      </c>
    </row>
    <row r="21" spans="1:19">
      <c r="A21" s="4">
        <v>20</v>
      </c>
      <c r="B21" s="100">
        <f>IF(Match!B21="","",Match!B21)</f>
        <v>44556</v>
      </c>
      <c r="C21" s="584">
        <f t="shared" si="2"/>
        <v>1</v>
      </c>
      <c r="D21" s="99" t="str">
        <f>IF(Match!D21="","",Match!D21)</f>
        <v>Nat League</v>
      </c>
      <c r="E21" s="98" t="str">
        <f>IF(Match!U21="","",Match!U21)</f>
        <v>Torquay  v  Yeovil   19/20  11/4  11/4</v>
      </c>
      <c r="F21" s="98" t="str">
        <f>IF(Match!V21="","",Match!V21)</f>
        <v xml:space="preserve">Torquay 3-0 Yeovil </v>
      </c>
      <c r="G21" s="36" t="str">
        <f t="shared" si="0"/>
        <v>Torquay</v>
      </c>
      <c r="H21" s="37" t="str">
        <f t="shared" si="1"/>
        <v>19/20</v>
      </c>
      <c r="I21" s="198">
        <f t="shared" si="3"/>
        <v>1.95</v>
      </c>
      <c r="J21" s="37">
        <f>INDEX(Picks!T:T,MATCH(G21,Picks!R:R,0))</f>
        <v>1</v>
      </c>
      <c r="K21" s="37">
        <f>IF(INDEX(Match!P:P,MATCH(A21,Match!A:A,0))="OFF",0,1)</f>
        <v>1</v>
      </c>
      <c r="L21" t="str">
        <f>INDEX(Match!Q:Q,MATCH(E21,Match!U:U,0))</f>
        <v>Torquay</v>
      </c>
      <c r="M21" t="str">
        <f>INDEX(Match!X:X,MATCH(E21,Match!U:U,0))</f>
        <v>19/20</v>
      </c>
      <c r="N21" t="str">
        <f>INDEX(Match!R:R,MATCH(E21,Match!U:U,0))</f>
        <v>Yeovil</v>
      </c>
      <c r="O21" t="str">
        <f>INDEX(Match!Y:Y,MATCH(E21,Match!U:U,0))</f>
        <v>11/4</v>
      </c>
      <c r="P21" t="str">
        <f>INDEX(Match!Z:Z,MATCH(E21,Match!U:U,0))</f>
        <v>11/4</v>
      </c>
      <c r="Q21" s="195">
        <f>INDEX(Match!AA:AA,MATCH(E21,Match!U:U,0))</f>
        <v>1.95</v>
      </c>
      <c r="R21" s="195">
        <f>INDEX(Match!AB:AB,MATCH(E21,Match!U:U,0))</f>
        <v>3.75</v>
      </c>
      <c r="S21" s="195">
        <f>INDEX(Match!AC:AC,MATCH(E21,Match!U:U,0))</f>
        <v>3.75</v>
      </c>
    </row>
    <row r="22" spans="1:19">
      <c r="A22" s="4">
        <v>21</v>
      </c>
      <c r="B22" s="100">
        <f>IF(Match!B22="","",Match!B22)</f>
        <v>44556</v>
      </c>
      <c r="C22" s="584">
        <f t="shared" si="2"/>
        <v>1</v>
      </c>
      <c r="D22" s="99" t="str">
        <f>IF(Match!D22="","",Match!D22)</f>
        <v>Premier</v>
      </c>
      <c r="E22" s="98" t="str">
        <f>IF(Match!U22="","",Match!U22)</f>
        <v>Burnley  v  Everton  OFF</v>
      </c>
      <c r="F22" s="98" t="str">
        <f>IF(Match!V22="","",Match!V22)</f>
        <v>Burnley - Everton OFF</v>
      </c>
      <c r="G22" s="36" t="str">
        <f t="shared" si="0"/>
        <v>Burnley</v>
      </c>
      <c r="H22" s="37" t="str">
        <f t="shared" si="1"/>
        <v>29/20</v>
      </c>
      <c r="I22" s="198">
        <f t="shared" si="3"/>
        <v>2.4500000000000002</v>
      </c>
      <c r="J22" s="37">
        <f>INDEX(Picks!T:T,MATCH(G22,Picks!R:R,0))</f>
        <v>0</v>
      </c>
      <c r="K22" s="37">
        <f>IF(INDEX(Match!P:P,MATCH(A22,Match!A:A,0))="OFF",0,1)</f>
        <v>0</v>
      </c>
      <c r="L22" t="str">
        <f>INDEX(Match!Q:Q,MATCH(E22,Match!U:U,0))</f>
        <v>Burnley</v>
      </c>
      <c r="M22" t="str">
        <f>INDEX(Match!X:X,MATCH(E22,Match!U:U,0))</f>
        <v>29/20</v>
      </c>
      <c r="N22" t="str">
        <f>INDEX(Match!R:R,MATCH(E22,Match!U:U,0))</f>
        <v>Everton</v>
      </c>
      <c r="O22" t="str">
        <f>INDEX(Match!Y:Y,MATCH(E22,Match!U:U,0))</f>
        <v>11/5</v>
      </c>
      <c r="P22" t="str">
        <f>INDEX(Match!Z:Z,MATCH(E22,Match!U:U,0))</f>
        <v>2/1</v>
      </c>
      <c r="Q22" s="195">
        <f>INDEX(Match!AA:AA,MATCH(E22,Match!U:U,0))</f>
        <v>2.4500000000000002</v>
      </c>
      <c r="R22" s="195">
        <f>INDEX(Match!AB:AB,MATCH(E22,Match!U:U,0))</f>
        <v>3.2</v>
      </c>
      <c r="S22" s="195">
        <f>INDEX(Match!AC:AC,MATCH(E22,Match!U:U,0))</f>
        <v>3</v>
      </c>
    </row>
    <row r="23" spans="1:19">
      <c r="A23" s="4">
        <v>22</v>
      </c>
      <c r="B23" s="100">
        <f>IF(Match!B23="","",Match!B23)</f>
        <v>44556</v>
      </c>
      <c r="C23" s="584">
        <f t="shared" si="2"/>
        <v>1</v>
      </c>
      <c r="D23" s="99" t="str">
        <f>IF(Match!D23="","",Match!D23)</f>
        <v>Premier</v>
      </c>
      <c r="E23" s="98" t="str">
        <f>IF(Match!U23="","",Match!U23)</f>
        <v>Liverpool  v  Leeds  OFF</v>
      </c>
      <c r="F23" s="98" t="str">
        <f>IF(Match!V23="","",Match!V23)</f>
        <v>Liverpool - Leeds OFF</v>
      </c>
      <c r="G23" s="36" t="str">
        <f t="shared" si="0"/>
        <v>Liverpool</v>
      </c>
      <c r="H23" s="37" t="str">
        <f t="shared" si="1"/>
        <v>1/7</v>
      </c>
      <c r="I23" s="198">
        <f t="shared" si="3"/>
        <v>1.1428571428571428</v>
      </c>
      <c r="J23" s="37">
        <f>INDEX(Picks!T:T,MATCH(G23,Picks!R:R,0))</f>
        <v>0</v>
      </c>
      <c r="K23" s="37">
        <f>IF(INDEX(Match!P:P,MATCH(A23,Match!A:A,0))="OFF",0,1)</f>
        <v>0</v>
      </c>
      <c r="L23" t="str">
        <f>INDEX(Match!Q:Q,MATCH(E23,Match!U:U,0))</f>
        <v>Liverpool</v>
      </c>
      <c r="M23" t="str">
        <f>INDEX(Match!X:X,MATCH(E23,Match!U:U,0))</f>
        <v>1/7</v>
      </c>
      <c r="N23" t="str">
        <f>INDEX(Match!R:R,MATCH(E23,Match!U:U,0))</f>
        <v>Leeds</v>
      </c>
      <c r="O23" t="str">
        <f>INDEX(Match!Y:Y,MATCH(E23,Match!U:U,0))</f>
        <v>7/1</v>
      </c>
      <c r="P23" t="str">
        <f>INDEX(Match!Z:Z,MATCH(E23,Match!U:U,0))</f>
        <v>16/1</v>
      </c>
      <c r="Q23" s="195">
        <f>INDEX(Match!AA:AA,MATCH(E23,Match!U:U,0))</f>
        <v>1.1428571428571428</v>
      </c>
      <c r="R23" s="195">
        <f>INDEX(Match!AB:AB,MATCH(E23,Match!U:U,0))</f>
        <v>8</v>
      </c>
      <c r="S23" s="195">
        <f>INDEX(Match!AC:AC,MATCH(E23,Match!U:U,0))</f>
        <v>17</v>
      </c>
    </row>
    <row r="24" spans="1:19">
      <c r="A24" s="4">
        <v>23</v>
      </c>
      <c r="B24" s="100">
        <f>IF(Match!B24="","",Match!B24)</f>
        <v>44556</v>
      </c>
      <c r="C24" s="584">
        <f t="shared" si="2"/>
        <v>1</v>
      </c>
      <c r="D24" s="99" t="str">
        <f>IF(Match!D24="","",Match!D24)</f>
        <v>Premier</v>
      </c>
      <c r="E24" s="98" t="str">
        <f>IF(Match!U24="","",Match!U24)</f>
        <v>Wolves  v  Watford  OFF</v>
      </c>
      <c r="F24" s="98" t="str">
        <f>IF(Match!V24="","",Match!V24)</f>
        <v>Wolves - Watford OFF</v>
      </c>
      <c r="G24" s="36" t="str">
        <f t="shared" si="0"/>
        <v>Wolves</v>
      </c>
      <c r="H24" s="37" t="str">
        <f t="shared" si="1"/>
        <v>5/6</v>
      </c>
      <c r="I24" s="198">
        <f t="shared" si="3"/>
        <v>1.8333333333333335</v>
      </c>
      <c r="J24" s="37">
        <f>INDEX(Picks!T:T,MATCH(G24,Picks!R:R,0))</f>
        <v>0</v>
      </c>
      <c r="K24" s="37">
        <f>IF(INDEX(Match!P:P,MATCH(A24,Match!A:A,0))="OFF",0,1)</f>
        <v>0</v>
      </c>
      <c r="L24" t="str">
        <f>INDEX(Match!Q:Q,MATCH(E24,Match!U:U,0))</f>
        <v>Wolves</v>
      </c>
      <c r="M24" t="str">
        <f>INDEX(Match!X:X,MATCH(E24,Match!U:U,0))</f>
        <v>5/6</v>
      </c>
      <c r="N24" t="str">
        <f>INDEX(Match!R:R,MATCH(E24,Match!U:U,0))</f>
        <v>Watford</v>
      </c>
      <c r="O24" t="str">
        <f>INDEX(Match!Y:Y,MATCH(E24,Match!U:U,0))</f>
        <v>5/2</v>
      </c>
      <c r="P24" t="str">
        <f>INDEX(Match!Z:Z,MATCH(E24,Match!U:U,0))</f>
        <v>10/3</v>
      </c>
      <c r="Q24" s="195">
        <f>INDEX(Match!AA:AA,MATCH(E24,Match!U:U,0))</f>
        <v>1.8333333333333335</v>
      </c>
      <c r="R24" s="195">
        <f>INDEX(Match!AB:AB,MATCH(E24,Match!U:U,0))</f>
        <v>3.5</v>
      </c>
      <c r="S24" s="195">
        <f>INDEX(Match!AC:AC,MATCH(E24,Match!U:U,0))</f>
        <v>4.3333333333333339</v>
      </c>
    </row>
    <row r="25" spans="1:19">
      <c r="A25" s="4">
        <v>24</v>
      </c>
      <c r="B25" s="100">
        <f>IF(Match!B25="","",Match!B25)</f>
        <v>44556</v>
      </c>
      <c r="C25" s="584">
        <f t="shared" si="2"/>
        <v>1</v>
      </c>
      <c r="D25" s="99" t="str">
        <f>IF(Match!D25="","",Match!D25)</f>
        <v>Champ</v>
      </c>
      <c r="E25" s="98" t="str">
        <f>IF(Match!U25="","",Match!U25)</f>
        <v>Barnsley  v  Stoke  OFF</v>
      </c>
      <c r="F25" s="98" t="str">
        <f>IF(Match!V25="","",Match!V25)</f>
        <v>Barnsley - Stoke OFF</v>
      </c>
      <c r="G25" s="36" t="str">
        <f t="shared" si="0"/>
        <v>Barnsley</v>
      </c>
      <c r="H25" s="37" t="str">
        <f t="shared" si="1"/>
        <v>23/10</v>
      </c>
      <c r="I25" s="198">
        <f t="shared" si="3"/>
        <v>3.3</v>
      </c>
      <c r="J25" s="37">
        <f>INDEX(Picks!T:T,MATCH(G25,Picks!R:R,0))</f>
        <v>0</v>
      </c>
      <c r="K25" s="37">
        <f>IF(INDEX(Match!P:P,MATCH(A25,Match!A:A,0))="OFF",0,1)</f>
        <v>0</v>
      </c>
      <c r="L25" t="str">
        <f>INDEX(Match!Q:Q,MATCH(E25,Match!U:U,0))</f>
        <v>Barnsley</v>
      </c>
      <c r="M25" t="str">
        <f>INDEX(Match!X:X,MATCH(E25,Match!U:U,0))</f>
        <v>23/10</v>
      </c>
      <c r="N25" t="str">
        <f>INDEX(Match!R:R,MATCH(E25,Match!U:U,0))</f>
        <v>Stoke</v>
      </c>
      <c r="O25" t="str">
        <f>INDEX(Match!Y:Y,MATCH(E25,Match!U:U,0))</f>
        <v>11/5</v>
      </c>
      <c r="P25" t="str">
        <f>INDEX(Match!Z:Z,MATCH(E25,Match!U:U,0))</f>
        <v>6/5</v>
      </c>
      <c r="Q25" s="195">
        <f>INDEX(Match!AA:AA,MATCH(E25,Match!U:U,0))</f>
        <v>3.3</v>
      </c>
      <c r="R25" s="195">
        <f>INDEX(Match!AB:AB,MATCH(E25,Match!U:U,0))</f>
        <v>3.2</v>
      </c>
      <c r="S25" s="195">
        <f>INDEX(Match!AC:AC,MATCH(E25,Match!U:U,0))</f>
        <v>2.2000000000000002</v>
      </c>
    </row>
    <row r="26" spans="1:19">
      <c r="A26" s="4">
        <v>25</v>
      </c>
      <c r="B26" s="100">
        <f>IF(Match!B26="","",Match!B26)</f>
        <v>44556</v>
      </c>
      <c r="C26" s="584">
        <f t="shared" si="2"/>
        <v>1</v>
      </c>
      <c r="D26" s="99" t="str">
        <f>IF(Match!D26="","",Match!D26)</f>
        <v>Champ</v>
      </c>
      <c r="E26" s="98" t="str">
        <f>IF(Match!U26="","",Match!U26)</f>
        <v>Cardiff  v  Coventry  OFF</v>
      </c>
      <c r="F26" s="98" t="str">
        <f>IF(Match!V26="","",Match!V26)</f>
        <v>Cardiff - Coventry OFF</v>
      </c>
      <c r="G26" s="36" t="str">
        <f t="shared" si="0"/>
        <v>Cardiff</v>
      </c>
      <c r="H26" s="37" t="str">
        <f t="shared" si="1"/>
        <v>7/5</v>
      </c>
      <c r="I26" s="198">
        <f t="shared" si="3"/>
        <v>2.4</v>
      </c>
      <c r="J26" s="37">
        <f>INDEX(Picks!T:T,MATCH(G26,Picks!R:R,0))</f>
        <v>0</v>
      </c>
      <c r="K26" s="37">
        <f>IF(INDEX(Match!P:P,MATCH(A26,Match!A:A,0))="OFF",0,1)</f>
        <v>0</v>
      </c>
      <c r="L26" t="str">
        <f>INDEX(Match!Q:Q,MATCH(E26,Match!U:U,0))</f>
        <v>Cardiff</v>
      </c>
      <c r="M26" t="str">
        <f>INDEX(Match!X:X,MATCH(E26,Match!U:U,0))</f>
        <v>7/5</v>
      </c>
      <c r="N26" t="str">
        <f>INDEX(Match!R:R,MATCH(E26,Match!U:U,0))</f>
        <v>Coventry</v>
      </c>
      <c r="O26" t="str">
        <f>INDEX(Match!Y:Y,MATCH(E26,Match!U:U,0))</f>
        <v>9/4</v>
      </c>
      <c r="P26" t="str">
        <f>INDEX(Match!Z:Z,MATCH(E26,Match!U:U,0))</f>
        <v>15/8</v>
      </c>
      <c r="Q26" s="195">
        <f>INDEX(Match!AA:AA,MATCH(E26,Match!U:U,0))</f>
        <v>2.4</v>
      </c>
      <c r="R26" s="195">
        <f>INDEX(Match!AB:AB,MATCH(E26,Match!U:U,0))</f>
        <v>3.25</v>
      </c>
      <c r="S26" s="195">
        <f>INDEX(Match!AC:AC,MATCH(E26,Match!U:U,0))</f>
        <v>2.875</v>
      </c>
    </row>
    <row r="27" spans="1:19">
      <c r="A27" s="4">
        <v>26</v>
      </c>
      <c r="B27" s="100">
        <f>IF(Match!B27="","",Match!B27)</f>
        <v>44556</v>
      </c>
      <c r="C27" s="584">
        <f t="shared" si="2"/>
        <v>1</v>
      </c>
      <c r="D27" s="99" t="str">
        <f>IF(Match!D27="","",Match!D27)</f>
        <v>Champ</v>
      </c>
      <c r="E27" s="98" t="str">
        <f>IF(Match!U27="","",Match!U27)</f>
        <v>Fulham  v  Birmingham  OFF</v>
      </c>
      <c r="F27" s="98" t="str">
        <f>IF(Match!V27="","",Match!V27)</f>
        <v>Fulham - Birmingham OFF</v>
      </c>
      <c r="G27" s="36" t="str">
        <f t="shared" si="0"/>
        <v>Fulham</v>
      </c>
      <c r="H27" s="37" t="str">
        <f t="shared" si="1"/>
        <v>2/5</v>
      </c>
      <c r="I27" s="198">
        <f t="shared" si="3"/>
        <v>1.4</v>
      </c>
      <c r="J27" s="37">
        <f>INDEX(Picks!T:T,MATCH(G27,Picks!R:R,0))</f>
        <v>0</v>
      </c>
      <c r="K27" s="37">
        <f>IF(INDEX(Match!P:P,MATCH(A27,Match!A:A,0))="OFF",0,1)</f>
        <v>0</v>
      </c>
      <c r="L27" t="str">
        <f>INDEX(Match!Q:Q,MATCH(E27,Match!U:U,0))</f>
        <v>Fulham</v>
      </c>
      <c r="M27" t="str">
        <f>INDEX(Match!X:X,MATCH(E27,Match!U:U,0))</f>
        <v>2/5</v>
      </c>
      <c r="N27" t="str">
        <f>INDEX(Match!R:R,MATCH(E27,Match!U:U,0))</f>
        <v>Birmingham</v>
      </c>
      <c r="O27" t="str">
        <f>INDEX(Match!Y:Y,MATCH(E27,Match!U:U,0))</f>
        <v>17/5</v>
      </c>
      <c r="P27" t="str">
        <f>INDEX(Match!Z:Z,MATCH(E27,Match!U:U,0))</f>
        <v>13/2</v>
      </c>
      <c r="Q27" s="195">
        <f>INDEX(Match!AA:AA,MATCH(E27,Match!U:U,0))</f>
        <v>1.4</v>
      </c>
      <c r="R27" s="195">
        <f>INDEX(Match!AB:AB,MATCH(E27,Match!U:U,0))</f>
        <v>4.4000000000000004</v>
      </c>
      <c r="S27" s="195">
        <f>INDEX(Match!AC:AC,MATCH(E27,Match!U:U,0))</f>
        <v>7.5</v>
      </c>
    </row>
    <row r="28" spans="1:19">
      <c r="A28" s="4">
        <v>27</v>
      </c>
      <c r="B28" s="100">
        <f>IF(Match!B28="","",Match!B28)</f>
        <v>44556</v>
      </c>
      <c r="C28" s="584">
        <f t="shared" si="2"/>
        <v>1</v>
      </c>
      <c r="D28" s="99" t="str">
        <f>IF(Match!D28="","",Match!D28)</f>
        <v>Champ</v>
      </c>
      <c r="E28" s="98" t="str">
        <f>IF(Match!U28="","",Match!U28)</f>
        <v>Hull  v  Blackburn  OFF</v>
      </c>
      <c r="F28" s="98" t="str">
        <f>IF(Match!V28="","",Match!V28)</f>
        <v>Hull - Blackburn OFF</v>
      </c>
      <c r="G28" s="36" t="str">
        <f t="shared" si="0"/>
        <v>Hull</v>
      </c>
      <c r="H28" s="37" t="str">
        <f t="shared" si="1"/>
        <v>15/8</v>
      </c>
      <c r="I28" s="198">
        <f t="shared" si="3"/>
        <v>2.875</v>
      </c>
      <c r="J28" s="37">
        <f>INDEX(Picks!T:T,MATCH(G28,Picks!R:R,0))</f>
        <v>0</v>
      </c>
      <c r="K28" s="37">
        <f>IF(INDEX(Match!P:P,MATCH(A28,Match!A:A,0))="OFF",0,1)</f>
        <v>0</v>
      </c>
      <c r="L28" t="str">
        <f>INDEX(Match!Q:Q,MATCH(E28,Match!U:U,0))</f>
        <v>Hull</v>
      </c>
      <c r="M28" t="str">
        <f>INDEX(Match!X:X,MATCH(E28,Match!U:U,0))</f>
        <v>15/8</v>
      </c>
      <c r="N28" t="str">
        <f>INDEX(Match!R:R,MATCH(E28,Match!U:U,0))</f>
        <v>Blackburn</v>
      </c>
      <c r="O28" t="str">
        <f>INDEX(Match!Y:Y,MATCH(E28,Match!U:U,0))</f>
        <v>9/4</v>
      </c>
      <c r="P28" t="str">
        <f>INDEX(Match!Z:Z,MATCH(E28,Match!U:U,0))</f>
        <v>7/5</v>
      </c>
      <c r="Q28" s="195">
        <f>INDEX(Match!AA:AA,MATCH(E28,Match!U:U,0))</f>
        <v>2.875</v>
      </c>
      <c r="R28" s="195">
        <f>INDEX(Match!AB:AB,MATCH(E28,Match!U:U,0))</f>
        <v>3.25</v>
      </c>
      <c r="S28" s="195">
        <f>INDEX(Match!AC:AC,MATCH(E28,Match!U:U,0))</f>
        <v>2.4</v>
      </c>
    </row>
    <row r="29" spans="1:19">
      <c r="A29" s="4">
        <v>28</v>
      </c>
      <c r="B29" s="100">
        <f>IF(Match!B29="","",Match!B29)</f>
        <v>44556</v>
      </c>
      <c r="C29" s="584">
        <f t="shared" si="2"/>
        <v>1</v>
      </c>
      <c r="D29" s="99" t="str">
        <f>IF(Match!D29="","",Match!D29)</f>
        <v>Champ</v>
      </c>
      <c r="E29" s="98" t="str">
        <f>IF(Match!U29="","",Match!U29)</f>
        <v>Luton  v  Bristol C  OFF</v>
      </c>
      <c r="F29" s="98" t="str">
        <f>IF(Match!V29="","",Match!V29)</f>
        <v>Luton - Bristol C OFF</v>
      </c>
      <c r="G29" s="36" t="str">
        <f t="shared" si="0"/>
        <v>Luton</v>
      </c>
      <c r="H29" s="37" t="str">
        <f t="shared" si="1"/>
        <v>4/6</v>
      </c>
      <c r="I29" s="198">
        <f t="shared" si="3"/>
        <v>1.6666666666666665</v>
      </c>
      <c r="J29" s="37">
        <f>INDEX(Picks!T:T,MATCH(G29,Picks!R:R,0))</f>
        <v>0</v>
      </c>
      <c r="K29" s="37">
        <f>IF(INDEX(Match!P:P,MATCH(A29,Match!A:A,0))="OFF",0,1)</f>
        <v>0</v>
      </c>
      <c r="L29" t="str">
        <f>INDEX(Match!Q:Q,MATCH(E29,Match!U:U,0))</f>
        <v>Luton</v>
      </c>
      <c r="M29" t="str">
        <f>INDEX(Match!X:X,MATCH(E29,Match!U:U,0))</f>
        <v>4/6</v>
      </c>
      <c r="N29" t="str">
        <f>INDEX(Match!R:R,MATCH(E29,Match!U:U,0))</f>
        <v>Bristol C</v>
      </c>
      <c r="O29" t="str">
        <f>INDEX(Match!Y:Y,MATCH(E29,Match!U:U,0))</f>
        <v>11/4</v>
      </c>
      <c r="P29" t="str">
        <f>INDEX(Match!Z:Z,MATCH(E29,Match!U:U,0))</f>
        <v>4/1</v>
      </c>
      <c r="Q29" s="195">
        <f>INDEX(Match!AA:AA,MATCH(E29,Match!U:U,0))</f>
        <v>1.6666666666666665</v>
      </c>
      <c r="R29" s="195">
        <f>INDEX(Match!AB:AB,MATCH(E29,Match!U:U,0))</f>
        <v>3.75</v>
      </c>
      <c r="S29" s="195">
        <f>INDEX(Match!AC:AC,MATCH(E29,Match!U:U,0))</f>
        <v>5</v>
      </c>
    </row>
    <row r="30" spans="1:19">
      <c r="A30" s="4">
        <v>29</v>
      </c>
      <c r="B30" s="100">
        <f>IF(Match!B30="","",Match!B30)</f>
        <v>44556</v>
      </c>
      <c r="C30" s="584">
        <f t="shared" si="2"/>
        <v>1</v>
      </c>
      <c r="D30" s="99" t="str">
        <f>IF(Match!D30="","",Match!D30)</f>
        <v>Champ</v>
      </c>
      <c r="E30" s="98" t="str">
        <f>IF(Match!U30="","",Match!U30)</f>
        <v>Millwall  v  Swansea  OFF</v>
      </c>
      <c r="F30" s="98" t="str">
        <f>IF(Match!V30="","",Match!V30)</f>
        <v>Millwall - Swansea OFF</v>
      </c>
      <c r="G30" s="36" t="str">
        <f t="shared" si="0"/>
        <v>Millwall</v>
      </c>
      <c r="H30" s="37" t="str">
        <f t="shared" si="1"/>
        <v>11/8</v>
      </c>
      <c r="I30" s="198">
        <f t="shared" si="3"/>
        <v>2.375</v>
      </c>
      <c r="J30" s="37">
        <f>INDEX(Picks!T:T,MATCH(G30,Picks!R:R,0))</f>
        <v>0</v>
      </c>
      <c r="K30" s="37">
        <f>IF(INDEX(Match!P:P,MATCH(A30,Match!A:A,0))="OFF",0,1)</f>
        <v>0</v>
      </c>
      <c r="L30" t="str">
        <f>INDEX(Match!Q:Q,MATCH(E30,Match!U:U,0))</f>
        <v>Millwall</v>
      </c>
      <c r="M30" t="str">
        <f>INDEX(Match!X:X,MATCH(E30,Match!U:U,0))</f>
        <v>11/8</v>
      </c>
      <c r="N30" t="str">
        <f>INDEX(Match!R:R,MATCH(E30,Match!U:U,0))</f>
        <v>Swansea</v>
      </c>
      <c r="O30" t="str">
        <f>INDEX(Match!Y:Y,MATCH(E30,Match!U:U,0))</f>
        <v>21/10</v>
      </c>
      <c r="P30" t="str">
        <f>INDEX(Match!Z:Z,MATCH(E30,Match!U:U,0))</f>
        <v>21/10</v>
      </c>
      <c r="Q30" s="195">
        <f>INDEX(Match!AA:AA,MATCH(E30,Match!U:U,0))</f>
        <v>2.375</v>
      </c>
      <c r="R30" s="195">
        <f>INDEX(Match!AB:AB,MATCH(E30,Match!U:U,0))</f>
        <v>3.1</v>
      </c>
      <c r="S30" s="195">
        <f>INDEX(Match!AC:AC,MATCH(E30,Match!U:U,0))</f>
        <v>3.1</v>
      </c>
    </row>
    <row r="31" spans="1:19">
      <c r="A31" s="4">
        <v>30</v>
      </c>
      <c r="B31" s="100">
        <f>IF(Match!B31="","",Match!B31)</f>
        <v>44556</v>
      </c>
      <c r="C31" s="584">
        <f t="shared" si="2"/>
        <v>1</v>
      </c>
      <c r="D31" s="99" t="str">
        <f>IF(Match!D31="","",Match!D31)</f>
        <v>Champ</v>
      </c>
      <c r="E31" s="98" t="str">
        <f>IF(Match!U31="","",Match!U31)</f>
        <v>Peterborough  v  Reading  OFF</v>
      </c>
      <c r="F31" s="98" t="str">
        <f>IF(Match!V31="","",Match!V31)</f>
        <v>Peterborough - Reading OFF</v>
      </c>
      <c r="G31" s="36" t="str">
        <f t="shared" si="0"/>
        <v>Peterborough</v>
      </c>
      <c r="H31" s="37" t="str">
        <f t="shared" si="1"/>
        <v>29/20</v>
      </c>
      <c r="I31" s="198">
        <f t="shared" si="3"/>
        <v>2.4500000000000002</v>
      </c>
      <c r="J31" s="37">
        <f>INDEX(Picks!T:T,MATCH(G31,Picks!R:R,0))</f>
        <v>0</v>
      </c>
      <c r="K31" s="37">
        <f>IF(INDEX(Match!P:P,MATCH(A31,Match!A:A,0))="OFF",0,1)</f>
        <v>0</v>
      </c>
      <c r="L31" t="str">
        <f>INDEX(Match!Q:Q,MATCH(E31,Match!U:U,0))</f>
        <v>Peterborough</v>
      </c>
      <c r="M31" t="str">
        <f>INDEX(Match!X:X,MATCH(E31,Match!U:U,0))</f>
        <v>29/20</v>
      </c>
      <c r="N31" t="str">
        <f>INDEX(Match!R:R,MATCH(E31,Match!U:U,0))</f>
        <v>Reading</v>
      </c>
      <c r="O31" t="str">
        <f>INDEX(Match!Y:Y,MATCH(E31,Match!U:U,0))</f>
        <v>9/4</v>
      </c>
      <c r="P31" t="str">
        <f>INDEX(Match!Z:Z,MATCH(E31,Match!U:U,0))</f>
        <v>9/5</v>
      </c>
      <c r="Q31" s="195">
        <f>INDEX(Match!AA:AA,MATCH(E31,Match!U:U,0))</f>
        <v>2.4500000000000002</v>
      </c>
      <c r="R31" s="195">
        <f>INDEX(Match!AB:AB,MATCH(E31,Match!U:U,0))</f>
        <v>3.25</v>
      </c>
      <c r="S31" s="195">
        <f>INDEX(Match!AC:AC,MATCH(E31,Match!U:U,0))</f>
        <v>2.8</v>
      </c>
    </row>
    <row r="32" spans="1:19">
      <c r="A32" s="4">
        <v>31</v>
      </c>
      <c r="B32" s="100">
        <f>IF(Match!B32="","",Match!B32)</f>
        <v>44556</v>
      </c>
      <c r="C32" s="584">
        <f t="shared" si="2"/>
        <v>1</v>
      </c>
      <c r="D32" s="99" t="str">
        <f>IF(Match!D32="","",Match!D32)</f>
        <v>Champ</v>
      </c>
      <c r="E32" s="98" t="str">
        <f>IF(Match!U32="","",Match!U32)</f>
        <v>Preston  v  Sheff U  OFF</v>
      </c>
      <c r="F32" s="98" t="str">
        <f>IF(Match!V32="","",Match!V32)</f>
        <v>Preston - Sheff U OFF</v>
      </c>
      <c r="G32" s="36" t="str">
        <f t="shared" si="0"/>
        <v>Preston</v>
      </c>
      <c r="H32" s="37" t="str">
        <f t="shared" si="1"/>
        <v>2/1</v>
      </c>
      <c r="I32" s="198">
        <f t="shared" si="3"/>
        <v>3</v>
      </c>
      <c r="J32" s="37">
        <f>INDEX(Picks!T:T,MATCH(G32,Picks!R:R,0))</f>
        <v>0</v>
      </c>
      <c r="K32" s="37">
        <f>IF(INDEX(Match!P:P,MATCH(A32,Match!A:A,0))="OFF",0,1)</f>
        <v>0</v>
      </c>
      <c r="L32" t="str">
        <f>INDEX(Match!Q:Q,MATCH(E32,Match!U:U,0))</f>
        <v>Preston</v>
      </c>
      <c r="M32" t="str">
        <f>INDEX(Match!X:X,MATCH(E32,Match!U:U,0))</f>
        <v>2/1</v>
      </c>
      <c r="N32" t="str">
        <f>INDEX(Match!R:R,MATCH(E32,Match!U:U,0))</f>
        <v>Sheff U</v>
      </c>
      <c r="O32" t="str">
        <f>INDEX(Match!Y:Y,MATCH(E32,Match!U:U,0))</f>
        <v>11/5</v>
      </c>
      <c r="P32" t="str">
        <f>INDEX(Match!Z:Z,MATCH(E32,Match!U:U,0))</f>
        <v>11/8</v>
      </c>
      <c r="Q32" s="195">
        <f>INDEX(Match!AA:AA,MATCH(E32,Match!U:U,0))</f>
        <v>3</v>
      </c>
      <c r="R32" s="195">
        <f>INDEX(Match!AB:AB,MATCH(E32,Match!U:U,0))</f>
        <v>3.2</v>
      </c>
      <c r="S32" s="195">
        <f>INDEX(Match!AC:AC,MATCH(E32,Match!U:U,0))</f>
        <v>2.375</v>
      </c>
    </row>
    <row r="33" spans="1:19">
      <c r="A33" s="4">
        <v>32</v>
      </c>
      <c r="B33" s="100">
        <f>IF(Match!B33="","",Match!B33)</f>
        <v>44556</v>
      </c>
      <c r="C33" s="584">
        <f t="shared" si="2"/>
        <v>1</v>
      </c>
      <c r="D33" s="99" t="str">
        <f>IF(Match!D33="","",Match!D33)</f>
        <v>League 1</v>
      </c>
      <c r="E33" s="98" t="str">
        <f>IF(Match!U33="","",Match!U33)</f>
        <v>Bolton  v  Morecambe  OFF</v>
      </c>
      <c r="F33" s="98" t="str">
        <f>IF(Match!V33="","",Match!V33)</f>
        <v>Bolton - Morecambe OFF</v>
      </c>
      <c r="G33" s="36" t="str">
        <f t="shared" ref="G33:G46" si="4">IF(E33="","",L33)</f>
        <v>Bolton</v>
      </c>
      <c r="H33" s="37" t="str">
        <f t="shared" si="1"/>
        <v>4/7</v>
      </c>
      <c r="I33" s="198">
        <f t="shared" si="3"/>
        <v>1.5714285714285714</v>
      </c>
      <c r="J33" s="37">
        <f>INDEX(Picks!T:T,MATCH(G33,Picks!R:R,0))</f>
        <v>0</v>
      </c>
      <c r="K33" s="37">
        <f>IF(INDEX(Match!P:P,MATCH(A33,Match!A:A,0))="OFF",0,1)</f>
        <v>0</v>
      </c>
      <c r="L33" t="str">
        <f>INDEX(Match!Q:Q,MATCH(E33,Match!U:U,0))</f>
        <v>Bolton</v>
      </c>
      <c r="M33" t="str">
        <f>INDEX(Match!X:X,MATCH(E33,Match!U:U,0))</f>
        <v>4/7</v>
      </c>
      <c r="N33" t="str">
        <f>INDEX(Match!R:R,MATCH(E33,Match!U:U,0))</f>
        <v>Morecambe</v>
      </c>
      <c r="O33" t="str">
        <f>INDEX(Match!Y:Y,MATCH(E33,Match!U:U,0))</f>
        <v>29/10</v>
      </c>
      <c r="P33" t="str">
        <f>INDEX(Match!Z:Z,MATCH(E33,Match!U:U,0))</f>
        <v>9/2</v>
      </c>
      <c r="Q33" s="195">
        <f>INDEX(Match!AA:AA,MATCH(E33,Match!U:U,0))</f>
        <v>1.5714285714285714</v>
      </c>
      <c r="R33" s="195">
        <f>INDEX(Match!AB:AB,MATCH(E33,Match!U:U,0))</f>
        <v>3.9</v>
      </c>
      <c r="S33" s="195">
        <f>INDEX(Match!AC:AC,MATCH(E33,Match!U:U,0))</f>
        <v>5.5</v>
      </c>
    </row>
    <row r="34" spans="1:19">
      <c r="A34" s="4">
        <v>33</v>
      </c>
      <c r="B34" s="100">
        <f>IF(Match!B34="","",Match!B34)</f>
        <v>44556</v>
      </c>
      <c r="C34" s="584">
        <f t="shared" si="2"/>
        <v>1</v>
      </c>
      <c r="D34" s="99" t="str">
        <f>IF(Match!D34="","",Match!D34)</f>
        <v>League 1</v>
      </c>
      <c r="E34" s="98" t="str">
        <f>IF(Match!U34="","",Match!U34)</f>
        <v>Crewe  v  Wigan  OFF</v>
      </c>
      <c r="F34" s="98" t="str">
        <f>IF(Match!V34="","",Match!V34)</f>
        <v>Crewe - Wigan OFF</v>
      </c>
      <c r="G34" s="36" t="str">
        <f t="shared" si="4"/>
        <v>Crewe</v>
      </c>
      <c r="H34" s="37" t="str">
        <f t="shared" si="1"/>
        <v>4/1</v>
      </c>
      <c r="I34" s="198">
        <f t="shared" si="3"/>
        <v>5</v>
      </c>
      <c r="J34" s="37">
        <f>INDEX(Picks!T:T,MATCH(G34,Picks!R:R,0))</f>
        <v>0</v>
      </c>
      <c r="K34" s="37">
        <f>IF(INDEX(Match!P:P,MATCH(A34,Match!A:A,0))="OFF",0,1)</f>
        <v>0</v>
      </c>
      <c r="L34" t="str">
        <f>INDEX(Match!Q:Q,MATCH(E34,Match!U:U,0))</f>
        <v>Crewe</v>
      </c>
      <c r="M34" t="str">
        <f>INDEX(Match!X:X,MATCH(E34,Match!U:U,0))</f>
        <v>4/1</v>
      </c>
      <c r="N34" t="str">
        <f>INDEX(Match!R:R,MATCH(E34,Match!U:U,0))</f>
        <v>Wigan</v>
      </c>
      <c r="O34" t="str">
        <f>INDEX(Match!Y:Y,MATCH(E34,Match!U:U,0))</f>
        <v>29/10</v>
      </c>
      <c r="P34" t="str">
        <f>INDEX(Match!Z:Z,MATCH(E34,Match!U:U,0))</f>
        <v>8/13</v>
      </c>
      <c r="Q34" s="195">
        <f>INDEX(Match!AA:AA,MATCH(E34,Match!U:U,0))</f>
        <v>5</v>
      </c>
      <c r="R34" s="195">
        <f>INDEX(Match!AB:AB,MATCH(E34,Match!U:U,0))</f>
        <v>3.9</v>
      </c>
      <c r="S34" s="195">
        <f>INDEX(Match!AC:AC,MATCH(E34,Match!U:U,0))</f>
        <v>1.6153846153846154</v>
      </c>
    </row>
    <row r="35" spans="1:19">
      <c r="A35" s="4">
        <v>34</v>
      </c>
      <c r="B35" s="100">
        <f>IF(Match!B35="","",Match!B35)</f>
        <v>44556</v>
      </c>
      <c r="C35" s="584">
        <f t="shared" si="2"/>
        <v>1</v>
      </c>
      <c r="D35" s="99" t="str">
        <f>IF(Match!D35="","",Match!D35)</f>
        <v>League 1</v>
      </c>
      <c r="E35" s="98" t="str">
        <f>IF(Match!U35="","",Match!U35)</f>
        <v>Gillingham  v  Ipswich  OFF</v>
      </c>
      <c r="F35" s="98" t="str">
        <f>IF(Match!V35="","",Match!V35)</f>
        <v>Gillingham - Ipswich OFF</v>
      </c>
      <c r="G35" s="36" t="str">
        <f t="shared" si="4"/>
        <v>Gillingham</v>
      </c>
      <c r="H35" s="37" t="str">
        <f t="shared" si="1"/>
        <v>11/4</v>
      </c>
      <c r="I35" s="198">
        <f t="shared" si="3"/>
        <v>3.75</v>
      </c>
      <c r="J35" s="37">
        <f>INDEX(Picks!T:T,MATCH(G35,Picks!R:R,0))</f>
        <v>0</v>
      </c>
      <c r="K35" s="37">
        <f>IF(INDEX(Match!P:P,MATCH(A35,Match!A:A,0))="OFF",0,1)</f>
        <v>0</v>
      </c>
      <c r="L35" t="str">
        <f>INDEX(Match!Q:Q,MATCH(E35,Match!U:U,0))</f>
        <v>Gillingham</v>
      </c>
      <c r="M35" t="str">
        <f>INDEX(Match!X:X,MATCH(E35,Match!U:U,0))</f>
        <v>11/4</v>
      </c>
      <c r="N35" t="str">
        <f>INDEX(Match!R:R,MATCH(E35,Match!U:U,0))</f>
        <v>Ipswich</v>
      </c>
      <c r="O35" t="str">
        <f>INDEX(Match!Y:Y,MATCH(E35,Match!U:U,0))</f>
        <v>13/5</v>
      </c>
      <c r="P35" t="str">
        <f>INDEX(Match!Z:Z,MATCH(E35,Match!U:U,0))</f>
        <v>10/11</v>
      </c>
      <c r="Q35" s="195">
        <f>INDEX(Match!AA:AA,MATCH(E35,Match!U:U,0))</f>
        <v>3.75</v>
      </c>
      <c r="R35" s="195">
        <f>INDEX(Match!AB:AB,MATCH(E35,Match!U:U,0))</f>
        <v>3.6</v>
      </c>
      <c r="S35" s="195">
        <f>INDEX(Match!AC:AC,MATCH(E35,Match!U:U,0))</f>
        <v>1.9090909090909092</v>
      </c>
    </row>
    <row r="36" spans="1:19">
      <c r="A36" s="4">
        <v>35</v>
      </c>
      <c r="B36" s="100">
        <f>IF(Match!B36="","",Match!B36)</f>
        <v>44556</v>
      </c>
      <c r="C36" s="584">
        <f t="shared" si="2"/>
        <v>1</v>
      </c>
      <c r="D36" s="99" t="str">
        <f>IF(Match!D36="","",Match!D36)</f>
        <v>League 1</v>
      </c>
      <c r="E36" s="98" t="str">
        <f>IF(Match!U36="","",Match!U36)</f>
        <v>Portsmouth  v  Oxford  OFF</v>
      </c>
      <c r="F36" s="98" t="str">
        <f>IF(Match!V36="","",Match!V36)</f>
        <v>Portsmouth - Oxford OFF</v>
      </c>
      <c r="G36" s="36" t="str">
        <f t="shared" si="4"/>
        <v>Portsmouth</v>
      </c>
      <c r="H36" s="37" t="str">
        <f t="shared" si="1"/>
        <v>6/4</v>
      </c>
      <c r="I36" s="198">
        <f t="shared" si="3"/>
        <v>2.5</v>
      </c>
      <c r="J36" s="37">
        <f>INDEX(Picks!T:T,MATCH(G36,Picks!R:R,0))</f>
        <v>0</v>
      </c>
      <c r="K36" s="37">
        <f>IF(INDEX(Match!P:P,MATCH(A36,Match!A:A,0))="OFF",0,1)</f>
        <v>0</v>
      </c>
      <c r="L36" t="str">
        <f>INDEX(Match!Q:Q,MATCH(E36,Match!U:U,0))</f>
        <v>Portsmouth</v>
      </c>
      <c r="M36" t="str">
        <f>INDEX(Match!X:X,MATCH(E36,Match!U:U,0))</f>
        <v>6/4</v>
      </c>
      <c r="N36" t="str">
        <f>INDEX(Match!R:R,MATCH(E36,Match!U:U,0))</f>
        <v>Oxford</v>
      </c>
      <c r="O36" t="str">
        <f>INDEX(Match!Y:Y,MATCH(E36,Match!U:U,0))</f>
        <v>23/10</v>
      </c>
      <c r="P36" t="str">
        <f>INDEX(Match!Z:Z,MATCH(E36,Match!U:U,0))</f>
        <v>17/10</v>
      </c>
      <c r="Q36" s="195">
        <f>INDEX(Match!AA:AA,MATCH(E36,Match!U:U,0))</f>
        <v>2.5</v>
      </c>
      <c r="R36" s="195">
        <f>INDEX(Match!AB:AB,MATCH(E36,Match!U:U,0))</f>
        <v>3.3</v>
      </c>
      <c r="S36" s="195">
        <f>INDEX(Match!AC:AC,MATCH(E36,Match!U:U,0))</f>
        <v>2.7</v>
      </c>
    </row>
    <row r="37" spans="1:19">
      <c r="A37" s="4">
        <v>36</v>
      </c>
      <c r="B37" s="100">
        <f>IF(Match!B37="","",Match!B37)</f>
        <v>44556</v>
      </c>
      <c r="C37" s="584">
        <f t="shared" si="2"/>
        <v>1</v>
      </c>
      <c r="D37" s="99" t="str">
        <f>IF(Match!D37="","",Match!D37)</f>
        <v>League 1</v>
      </c>
      <c r="E37" s="98" t="str">
        <f>IF(Match!U37="","",Match!U37)</f>
        <v>Sheff W  v  Burton  OFF</v>
      </c>
      <c r="F37" s="98" t="str">
        <f>IF(Match!V37="","",Match!V37)</f>
        <v>Sheff W - Burton OFF</v>
      </c>
      <c r="G37" s="36" t="str">
        <f t="shared" si="4"/>
        <v>Sheff W</v>
      </c>
      <c r="H37" s="37" t="str">
        <f t="shared" si="1"/>
        <v>8/11</v>
      </c>
      <c r="I37" s="198">
        <f t="shared" si="3"/>
        <v>1.7272727272727273</v>
      </c>
      <c r="J37" s="37">
        <f>INDEX(Picks!T:T,MATCH(G37,Picks!R:R,0))</f>
        <v>0</v>
      </c>
      <c r="K37" s="37">
        <f>IF(INDEX(Match!P:P,MATCH(A37,Match!A:A,0))="OFF",0,1)</f>
        <v>0</v>
      </c>
      <c r="L37" t="str">
        <f>INDEX(Match!Q:Q,MATCH(E37,Match!U:U,0))</f>
        <v>Sheff W</v>
      </c>
      <c r="M37" t="str">
        <f>INDEX(Match!X:X,MATCH(E37,Match!U:U,0))</f>
        <v>8/11</v>
      </c>
      <c r="N37" t="str">
        <f>INDEX(Match!R:R,MATCH(E37,Match!U:U,0))</f>
        <v>Burton</v>
      </c>
      <c r="O37" t="str">
        <f>INDEX(Match!Y:Y,MATCH(E37,Match!U:U,0))</f>
        <v>13/5</v>
      </c>
      <c r="P37" t="str">
        <f>INDEX(Match!Z:Z,MATCH(E37,Match!U:U,0))</f>
        <v>18/5</v>
      </c>
      <c r="Q37" s="195">
        <f>INDEX(Match!AA:AA,MATCH(E37,Match!U:U,0))</f>
        <v>1.7272727272727273</v>
      </c>
      <c r="R37" s="195">
        <f>INDEX(Match!AB:AB,MATCH(E37,Match!U:U,0))</f>
        <v>3.6</v>
      </c>
      <c r="S37" s="195">
        <f>INDEX(Match!AC:AC,MATCH(E37,Match!U:U,0))</f>
        <v>4.5999999999999996</v>
      </c>
    </row>
    <row r="38" spans="1:19">
      <c r="A38" s="4">
        <v>37</v>
      </c>
      <c r="B38" s="100">
        <f>IF(Match!B38="","",Match!B38)</f>
        <v>44556</v>
      </c>
      <c r="C38" s="584">
        <f t="shared" si="2"/>
        <v>1</v>
      </c>
      <c r="D38" s="99" t="str">
        <f>IF(Match!D38="","",Match!D38)</f>
        <v>League 1</v>
      </c>
      <c r="E38" s="98" t="str">
        <f>IF(Match!U38="","",Match!U38)</f>
        <v>Wimbledon  v  Charlton  OFF</v>
      </c>
      <c r="F38" s="98" t="str">
        <f>IF(Match!V38="","",Match!V38)</f>
        <v>Wimbledon - Charlton OFF</v>
      </c>
      <c r="G38" s="36" t="str">
        <f t="shared" si="4"/>
        <v>Wimbledon</v>
      </c>
      <c r="H38" s="37" t="str">
        <f t="shared" si="1"/>
        <v>17/10</v>
      </c>
      <c r="I38" s="198">
        <f t="shared" si="3"/>
        <v>2.7</v>
      </c>
      <c r="J38" s="37">
        <f>INDEX(Picks!T:T,MATCH(G38,Picks!R:R,0))</f>
        <v>0</v>
      </c>
      <c r="K38" s="37">
        <f>IF(INDEX(Match!P:P,MATCH(A38,Match!A:A,0))="OFF",0,1)</f>
        <v>0</v>
      </c>
      <c r="L38" t="str">
        <f>INDEX(Match!Q:Q,MATCH(E38,Match!U:U,0))</f>
        <v>Wimbledon</v>
      </c>
      <c r="M38" t="str">
        <f>INDEX(Match!X:X,MATCH(E38,Match!U:U,0))</f>
        <v>17/10</v>
      </c>
      <c r="N38" t="str">
        <f>INDEX(Match!R:R,MATCH(E38,Match!U:U,0))</f>
        <v>Charlton</v>
      </c>
      <c r="O38" t="str">
        <f>INDEX(Match!Y:Y,MATCH(E38,Match!U:U,0))</f>
        <v>23/10</v>
      </c>
      <c r="P38" t="str">
        <f>INDEX(Match!Z:Z,MATCH(E38,Match!U:U,0))</f>
        <v>6/4</v>
      </c>
      <c r="Q38" s="195">
        <f>INDEX(Match!AA:AA,MATCH(E38,Match!U:U,0))</f>
        <v>2.7</v>
      </c>
      <c r="R38" s="195">
        <f>INDEX(Match!AB:AB,MATCH(E38,Match!U:U,0))</f>
        <v>3.3</v>
      </c>
      <c r="S38" s="195">
        <f>INDEX(Match!AC:AC,MATCH(E38,Match!U:U,0))</f>
        <v>2.5</v>
      </c>
    </row>
    <row r="39" spans="1:19">
      <c r="A39" s="4">
        <v>38</v>
      </c>
      <c r="B39" s="100">
        <f>IF(Match!B39="","",Match!B39)</f>
        <v>44556</v>
      </c>
      <c r="C39" s="584">
        <f t="shared" si="2"/>
        <v>1</v>
      </c>
      <c r="D39" s="99" t="str">
        <f>IF(Match!D39="","",Match!D39)</f>
        <v>League 1</v>
      </c>
      <c r="E39" s="98" t="str">
        <f>IF(Match!U39="","",Match!U39)</f>
        <v>Wycombe  v  Cambridge  OFF</v>
      </c>
      <c r="F39" s="98" t="str">
        <f>IF(Match!V39="","",Match!V39)</f>
        <v>Wycombe - Cambridge OFF</v>
      </c>
      <c r="G39" s="36" t="str">
        <f t="shared" si="4"/>
        <v>Wycombe</v>
      </c>
      <c r="H39" s="37" t="str">
        <f t="shared" si="1"/>
        <v>13/20</v>
      </c>
      <c r="I39" s="198">
        <f t="shared" si="3"/>
        <v>1.65</v>
      </c>
      <c r="J39" s="37">
        <f>INDEX(Picks!T:T,MATCH(G39,Picks!R:R,0))</f>
        <v>0</v>
      </c>
      <c r="K39" s="37">
        <f>IF(INDEX(Match!P:P,MATCH(A39,Match!A:A,0))="OFF",0,1)</f>
        <v>0</v>
      </c>
      <c r="L39" t="str">
        <f>INDEX(Match!Q:Q,MATCH(E39,Match!U:U,0))</f>
        <v>Wycombe</v>
      </c>
      <c r="M39" t="str">
        <f>INDEX(Match!X:X,MATCH(E39,Match!U:U,0))</f>
        <v>13/20</v>
      </c>
      <c r="N39" t="str">
        <f>INDEX(Match!R:R,MATCH(E39,Match!U:U,0))</f>
        <v>Cambridge</v>
      </c>
      <c r="O39" t="str">
        <f>INDEX(Match!Y:Y,MATCH(E39,Match!U:U,0))</f>
        <v>29/10</v>
      </c>
      <c r="P39" t="str">
        <f>INDEX(Match!Z:Z,MATCH(E39,Match!U:U,0))</f>
        <v>19/5</v>
      </c>
      <c r="Q39" s="195">
        <f>INDEX(Match!AA:AA,MATCH(E39,Match!U:U,0))</f>
        <v>1.65</v>
      </c>
      <c r="R39" s="195">
        <f>INDEX(Match!AB:AB,MATCH(E39,Match!U:U,0))</f>
        <v>3.9</v>
      </c>
      <c r="S39" s="195">
        <f>INDEX(Match!AC:AC,MATCH(E39,Match!U:U,0))</f>
        <v>4.8</v>
      </c>
    </row>
    <row r="40" spans="1:19">
      <c r="A40" s="4">
        <v>39</v>
      </c>
      <c r="B40" s="100">
        <f>IF(Match!B40="","",Match!B40)</f>
        <v>44556</v>
      </c>
      <c r="C40" s="584">
        <f t="shared" si="2"/>
        <v>1</v>
      </c>
      <c r="D40" s="99" t="str">
        <f>IF(Match!D40="","",Match!D40)</f>
        <v>League 2</v>
      </c>
      <c r="E40" s="98" t="str">
        <f>IF(Match!U40="","",Match!U40)</f>
        <v>Bradford  v  Harrogate  OFF</v>
      </c>
      <c r="F40" s="98" t="str">
        <f>IF(Match!V40="","",Match!V40)</f>
        <v>Bradford - Harrogate OFF</v>
      </c>
      <c r="G40" s="36" t="str">
        <f t="shared" si="4"/>
        <v>Bradford</v>
      </c>
      <c r="H40" s="37" t="str">
        <f t="shared" si="1"/>
        <v>13/10</v>
      </c>
      <c r="I40" s="198">
        <f t="shared" si="3"/>
        <v>2.2999999999999998</v>
      </c>
      <c r="J40" s="37">
        <f>INDEX(Picks!T:T,MATCH(G40,Picks!R:R,0))</f>
        <v>0</v>
      </c>
      <c r="K40" s="37">
        <f>IF(INDEX(Match!P:P,MATCH(A40,Match!A:A,0))="OFF",0,1)</f>
        <v>0</v>
      </c>
      <c r="L40" t="str">
        <f>INDEX(Match!Q:Q,MATCH(E40,Match!U:U,0))</f>
        <v>Bradford</v>
      </c>
      <c r="M40" t="str">
        <f>INDEX(Match!X:X,MATCH(E40,Match!U:U,0))</f>
        <v>13/10</v>
      </c>
      <c r="N40" t="str">
        <f>INDEX(Match!R:R,MATCH(E40,Match!U:U,0))</f>
        <v>Harrogate</v>
      </c>
      <c r="O40" t="str">
        <f>INDEX(Match!Y:Y,MATCH(E40,Match!U:U,0))</f>
        <v>9/4</v>
      </c>
      <c r="P40" t="str">
        <f>INDEX(Match!Z:Z,MATCH(E40,Match!U:U,0))</f>
        <v>2/1</v>
      </c>
      <c r="Q40" s="195">
        <f>INDEX(Match!AA:AA,MATCH(E40,Match!U:U,0))</f>
        <v>2.2999999999999998</v>
      </c>
      <c r="R40" s="195">
        <f>INDEX(Match!AB:AB,MATCH(E40,Match!U:U,0))</f>
        <v>3.25</v>
      </c>
      <c r="S40" s="195">
        <f>INDEX(Match!AC:AC,MATCH(E40,Match!U:U,0))</f>
        <v>3</v>
      </c>
    </row>
    <row r="41" spans="1:19">
      <c r="A41" s="4">
        <v>40</v>
      </c>
      <c r="B41" s="100">
        <f>IF(Match!B41="","",Match!B41)</f>
        <v>44556</v>
      </c>
      <c r="C41" s="584">
        <f t="shared" si="2"/>
        <v>1</v>
      </c>
      <c r="D41" s="99" t="str">
        <f>IF(Match!D41="","",Match!D41)</f>
        <v>League 2</v>
      </c>
      <c r="E41" s="98" t="str">
        <f>IF(Match!U41="","",Match!U41)</f>
        <v>Bristol R  v  Sutton  OFF</v>
      </c>
      <c r="F41" s="98" t="str">
        <f>IF(Match!V41="","",Match!V41)</f>
        <v>Bristol R - Sutton OFF</v>
      </c>
      <c r="G41" s="36" t="str">
        <f t="shared" si="4"/>
        <v>Bristol R</v>
      </c>
      <c r="H41" s="37" t="str">
        <f t="shared" si="1"/>
        <v>8/5</v>
      </c>
      <c r="I41" s="198">
        <f t="shared" si="3"/>
        <v>2.6</v>
      </c>
      <c r="J41" s="37">
        <f>INDEX(Picks!T:T,MATCH(G41,Picks!R:R,0))</f>
        <v>0</v>
      </c>
      <c r="K41" s="37">
        <f>IF(INDEX(Match!P:P,MATCH(A41,Match!A:A,0))="OFF",0,1)</f>
        <v>0</v>
      </c>
      <c r="L41" t="str">
        <f>INDEX(Match!Q:Q,MATCH(E41,Match!U:U,0))</f>
        <v>Bristol R</v>
      </c>
      <c r="M41" t="str">
        <f>INDEX(Match!X:X,MATCH(E41,Match!U:U,0))</f>
        <v>8/5</v>
      </c>
      <c r="N41" t="str">
        <f>INDEX(Match!R:R,MATCH(E41,Match!U:U,0))</f>
        <v>Sutton</v>
      </c>
      <c r="O41" t="str">
        <f>INDEX(Match!Y:Y,MATCH(E41,Match!U:U,0))</f>
        <v>11/5</v>
      </c>
      <c r="P41" t="str">
        <f>INDEX(Match!Z:Z,MATCH(E41,Match!U:U,0))</f>
        <v>17/10</v>
      </c>
      <c r="Q41" s="195">
        <f>INDEX(Match!AA:AA,MATCH(E41,Match!U:U,0))</f>
        <v>2.6</v>
      </c>
      <c r="R41" s="195">
        <f>INDEX(Match!AB:AB,MATCH(E41,Match!U:U,0))</f>
        <v>3.2</v>
      </c>
      <c r="S41" s="195">
        <f>INDEX(Match!AC:AC,MATCH(E41,Match!U:U,0))</f>
        <v>2.7</v>
      </c>
    </row>
    <row r="42" spans="1:19">
      <c r="A42" s="4">
        <v>41</v>
      </c>
      <c r="B42" s="100">
        <f>IF(Match!B42="","",Match!B42)</f>
        <v>44556</v>
      </c>
      <c r="C42" s="584">
        <f t="shared" si="2"/>
        <v>1</v>
      </c>
      <c r="D42" s="99" t="str">
        <f>IF(Match!D42="","",Match!D42)</f>
        <v>League 2</v>
      </c>
      <c r="E42" s="98" t="str">
        <f>IF(Match!U42="","",Match!U42)</f>
        <v>Carlisle  v  Rochdale  OFF</v>
      </c>
      <c r="F42" s="98" t="str">
        <f>IF(Match!V42="","",Match!V42)</f>
        <v>Carlisle - Rochdale OFF</v>
      </c>
      <c r="G42" s="36" t="str">
        <f t="shared" si="4"/>
        <v>Carlisle</v>
      </c>
      <c r="H42" s="37" t="str">
        <f t="shared" si="1"/>
        <v>7/4</v>
      </c>
      <c r="I42" s="198">
        <f t="shared" si="3"/>
        <v>2.75</v>
      </c>
      <c r="J42" s="37">
        <f>INDEX(Picks!T:T,MATCH(G42,Picks!R:R,0))</f>
        <v>0</v>
      </c>
      <c r="K42" s="37">
        <f>IF(INDEX(Match!P:P,MATCH(A42,Match!A:A,0))="OFF",0,1)</f>
        <v>0</v>
      </c>
      <c r="L42" t="str">
        <f>INDEX(Match!Q:Q,MATCH(E42,Match!U:U,0))</f>
        <v>Carlisle</v>
      </c>
      <c r="M42" t="str">
        <f>INDEX(Match!X:X,MATCH(E42,Match!U:U,0))</f>
        <v>7/4</v>
      </c>
      <c r="N42" t="str">
        <f>INDEX(Match!R:R,MATCH(E42,Match!U:U,0))</f>
        <v>Rochdale</v>
      </c>
      <c r="O42" t="str">
        <f>INDEX(Match!Y:Y,MATCH(E42,Match!U:U,0))</f>
        <v>9/4</v>
      </c>
      <c r="P42" t="str">
        <f>INDEX(Match!Z:Z,MATCH(E42,Match!U:U,0))</f>
        <v>6/4</v>
      </c>
      <c r="Q42" s="195">
        <f>INDEX(Match!AA:AA,MATCH(E42,Match!U:U,0))</f>
        <v>2.75</v>
      </c>
      <c r="R42" s="195">
        <f>INDEX(Match!AB:AB,MATCH(E42,Match!U:U,0))</f>
        <v>3.25</v>
      </c>
      <c r="S42" s="195">
        <f>INDEX(Match!AC:AC,MATCH(E42,Match!U:U,0))</f>
        <v>2.5</v>
      </c>
    </row>
    <row r="43" spans="1:19">
      <c r="A43" s="4">
        <v>42</v>
      </c>
      <c r="B43" s="100">
        <f>IF(Match!B43="","",Match!B43)</f>
        <v>44556</v>
      </c>
      <c r="C43" s="584">
        <f t="shared" si="2"/>
        <v>1</v>
      </c>
      <c r="D43" s="99" t="str">
        <f>IF(Match!D43="","",Match!D43)</f>
        <v>League 2</v>
      </c>
      <c r="E43" s="98" t="str">
        <f>IF(Match!U43="","",Match!U43)</f>
        <v>Colchester  v  Orient  OFF</v>
      </c>
      <c r="F43" s="98" t="str">
        <f>IF(Match!V43="","",Match!V43)</f>
        <v>Colchester - Orient OFF</v>
      </c>
      <c r="G43" s="36" t="str">
        <f t="shared" si="4"/>
        <v>Colchester</v>
      </c>
      <c r="H43" s="37" t="str">
        <f t="shared" si="1"/>
        <v>5/2</v>
      </c>
      <c r="I43" s="198">
        <f t="shared" si="3"/>
        <v>3.5</v>
      </c>
      <c r="J43" s="37">
        <f>INDEX(Picks!T:T,MATCH(G43,Picks!R:R,0))</f>
        <v>0</v>
      </c>
      <c r="K43" s="37">
        <f>IF(INDEX(Match!P:P,MATCH(A43,Match!A:A,0))="OFF",0,1)</f>
        <v>0</v>
      </c>
      <c r="L43" t="str">
        <f>INDEX(Match!Q:Q,MATCH(E43,Match!U:U,0))</f>
        <v>Colchester</v>
      </c>
      <c r="M43" t="str">
        <f>INDEX(Match!X:X,MATCH(E43,Match!U:U,0))</f>
        <v>5/2</v>
      </c>
      <c r="N43" t="str">
        <f>INDEX(Match!R:R,MATCH(E43,Match!U:U,0))</f>
        <v>Orient</v>
      </c>
      <c r="O43" t="str">
        <f>INDEX(Match!Y:Y,MATCH(E43,Match!U:U,0))</f>
        <v>12/5</v>
      </c>
      <c r="P43" t="str">
        <f>INDEX(Match!Z:Z,MATCH(E43,Match!U:U,0))</f>
        <v>21/20</v>
      </c>
      <c r="Q43" s="195">
        <f>INDEX(Match!AA:AA,MATCH(E43,Match!U:U,0))</f>
        <v>3.5</v>
      </c>
      <c r="R43" s="195">
        <f>INDEX(Match!AB:AB,MATCH(E43,Match!U:U,0))</f>
        <v>3.4</v>
      </c>
      <c r="S43" s="195">
        <f>INDEX(Match!AC:AC,MATCH(E43,Match!U:U,0))</f>
        <v>2.0499999999999998</v>
      </c>
    </row>
    <row r="44" spans="1:19">
      <c r="A44" s="4">
        <v>43</v>
      </c>
      <c r="B44" s="100">
        <f>IF(Match!B44="","",Match!B44)</f>
        <v>44556</v>
      </c>
      <c r="C44" s="584">
        <f t="shared" si="2"/>
        <v>1</v>
      </c>
      <c r="D44" s="99" t="str">
        <f>IF(Match!D44="","",Match!D44)</f>
        <v>League 2</v>
      </c>
      <c r="E44" s="98" t="str">
        <f>IF(Match!U44="","",Match!U44)</f>
        <v>Exeter  v  Swindon  OFF</v>
      </c>
      <c r="F44" s="98" t="str">
        <f>IF(Match!V44="","",Match!V44)</f>
        <v>Exeter - Swindon OFF</v>
      </c>
      <c r="G44" s="36" t="str">
        <f t="shared" si="4"/>
        <v>Exeter</v>
      </c>
      <c r="H44" s="37" t="str">
        <f t="shared" si="1"/>
        <v>23/20</v>
      </c>
      <c r="I44" s="198">
        <f t="shared" si="3"/>
        <v>2.15</v>
      </c>
      <c r="J44" s="37">
        <f>INDEX(Picks!T:T,MATCH(G44,Picks!R:R,0))</f>
        <v>0</v>
      </c>
      <c r="K44" s="37">
        <f>IF(INDEX(Match!P:P,MATCH(A44,Match!A:A,0))="OFF",0,1)</f>
        <v>0</v>
      </c>
      <c r="L44" t="str">
        <f>INDEX(Match!Q:Q,MATCH(E44,Match!U:U,0))</f>
        <v>Exeter</v>
      </c>
      <c r="M44" t="str">
        <f>INDEX(Match!X:X,MATCH(E44,Match!U:U,0))</f>
        <v>23/20</v>
      </c>
      <c r="N44" t="str">
        <f>INDEX(Match!R:R,MATCH(E44,Match!U:U,0))</f>
        <v>Swindon</v>
      </c>
      <c r="O44" t="str">
        <f>INDEX(Match!Y:Y,MATCH(E44,Match!U:U,0))</f>
        <v>12/5</v>
      </c>
      <c r="P44" t="str">
        <f>INDEX(Match!Z:Z,MATCH(E44,Match!U:U,0))</f>
        <v>9/4</v>
      </c>
      <c r="Q44" s="195">
        <f>INDEX(Match!AA:AA,MATCH(E44,Match!U:U,0))</f>
        <v>2.15</v>
      </c>
      <c r="R44" s="195">
        <f>INDEX(Match!AB:AB,MATCH(E44,Match!U:U,0))</f>
        <v>3.4</v>
      </c>
      <c r="S44" s="195">
        <f>INDEX(Match!AC:AC,MATCH(E44,Match!U:U,0))</f>
        <v>3.25</v>
      </c>
    </row>
    <row r="45" spans="1:19">
      <c r="A45" s="4">
        <v>44</v>
      </c>
      <c r="B45" s="100">
        <f>IF(Match!B45="","",Match!B45)</f>
        <v>44556</v>
      </c>
      <c r="C45" s="584">
        <f t="shared" si="2"/>
        <v>1</v>
      </c>
      <c r="D45" s="99" t="str">
        <f>IF(Match!D45="","",Match!D45)</f>
        <v>League 2</v>
      </c>
      <c r="E45" s="98" t="str">
        <f>IF(Match!U45="","",Match!U45)</f>
        <v>Newport  v  Forest Green  OFF</v>
      </c>
      <c r="F45" s="98" t="str">
        <f>IF(Match!V45="","",Match!V45)</f>
        <v>Newport - Forest Green OFF</v>
      </c>
      <c r="G45" s="36" t="str">
        <f t="shared" si="4"/>
        <v>Newport</v>
      </c>
      <c r="H45" s="37" t="str">
        <f t="shared" si="1"/>
        <v>13/8</v>
      </c>
      <c r="I45" s="198">
        <f t="shared" si="3"/>
        <v>2.625</v>
      </c>
      <c r="J45" s="37">
        <f>INDEX(Picks!T:T,MATCH(G45,Picks!R:R,0))</f>
        <v>0</v>
      </c>
      <c r="K45" s="37">
        <f>IF(INDEX(Match!P:P,MATCH(A45,Match!A:A,0))="OFF",0,1)</f>
        <v>0</v>
      </c>
      <c r="L45" t="str">
        <f>INDEX(Match!Q:Q,MATCH(E45,Match!U:U,0))</f>
        <v>Newport</v>
      </c>
      <c r="M45" t="str">
        <f>INDEX(Match!X:X,MATCH(E45,Match!U:U,0))</f>
        <v>13/8</v>
      </c>
      <c r="N45" t="str">
        <f>INDEX(Match!R:R,MATCH(E45,Match!U:U,0))</f>
        <v>Forest Green</v>
      </c>
      <c r="O45" t="str">
        <f>INDEX(Match!Y:Y,MATCH(E45,Match!U:U,0))</f>
        <v>9/4</v>
      </c>
      <c r="P45" t="str">
        <f>INDEX(Match!Z:Z,MATCH(E45,Match!U:U,0))</f>
        <v>8/5</v>
      </c>
      <c r="Q45" s="195">
        <f>INDEX(Match!AA:AA,MATCH(E45,Match!U:U,0))</f>
        <v>2.625</v>
      </c>
      <c r="R45" s="195">
        <f>INDEX(Match!AB:AB,MATCH(E45,Match!U:U,0))</f>
        <v>3.25</v>
      </c>
      <c r="S45" s="195">
        <f>INDEX(Match!AC:AC,MATCH(E45,Match!U:U,0))</f>
        <v>2.6</v>
      </c>
    </row>
    <row r="46" spans="1:19">
      <c r="A46" s="4">
        <v>45</v>
      </c>
      <c r="B46" s="100">
        <f>IF(Match!B46="","",Match!B46)</f>
        <v>44556</v>
      </c>
      <c r="C46" s="584">
        <f t="shared" si="2"/>
        <v>1</v>
      </c>
      <c r="D46" s="99" t="str">
        <f>IF(Match!D46="","",Match!D46)</f>
        <v>League 2</v>
      </c>
      <c r="E46" s="98" t="str">
        <f>IF(Match!U46="","",Match!U46)</f>
        <v>Northampton  v  Walsall  OFF</v>
      </c>
      <c r="F46" s="98" t="str">
        <f>IF(Match!V46="","",Match!V46)</f>
        <v>Northampton - Walsall OFF</v>
      </c>
      <c r="G46" s="36" t="str">
        <f t="shared" si="4"/>
        <v>Northampton</v>
      </c>
      <c r="H46" s="37" t="str">
        <f>IF(E46="","",M46)</f>
        <v>21/20</v>
      </c>
      <c r="I46" s="198">
        <f t="shared" si="3"/>
        <v>2.0499999999999998</v>
      </c>
      <c r="J46" s="37">
        <f>INDEX(Picks!T:T,MATCH(G46,Picks!R:R,0))</f>
        <v>0</v>
      </c>
      <c r="K46" s="37">
        <f>IF(INDEX(Match!P:P,MATCH(A46,Match!A:A,0))="OFF",0,1)</f>
        <v>0</v>
      </c>
      <c r="L46" t="str">
        <f>INDEX(Match!Q:Q,MATCH(E46,Match!U:U,0))</f>
        <v>Northampton</v>
      </c>
      <c r="M46" t="str">
        <f>INDEX(Match!X:X,MATCH(E46,Match!U:U,0))</f>
        <v>21/20</v>
      </c>
      <c r="N46" t="str">
        <f>INDEX(Match!R:R,MATCH(E46,Match!U:U,0))</f>
        <v>Walsall</v>
      </c>
      <c r="O46" t="str">
        <f>INDEX(Match!Y:Y,MATCH(E46,Match!U:U,0))</f>
        <v>23/10</v>
      </c>
      <c r="P46" t="str">
        <f>INDEX(Match!Z:Z,MATCH(E46,Match!U:U,0))</f>
        <v>13/5</v>
      </c>
      <c r="Q46" s="195">
        <f>INDEX(Match!AA:AA,MATCH(E46,Match!U:U,0))</f>
        <v>2.0499999999999998</v>
      </c>
      <c r="R46" s="195">
        <f>INDEX(Match!AB:AB,MATCH(E46,Match!U:U,0))</f>
        <v>3.3</v>
      </c>
      <c r="S46" s="195">
        <f>INDEX(Match!AC:AC,MATCH(E46,Match!U:U,0))</f>
        <v>3.6</v>
      </c>
    </row>
    <row r="47" spans="1:19">
      <c r="A47" s="4">
        <v>46</v>
      </c>
      <c r="B47" s="100">
        <f>IF(Match!B47="","",Match!B47)</f>
        <v>44556</v>
      </c>
      <c r="C47" s="584">
        <f t="shared" si="2"/>
        <v>1</v>
      </c>
      <c r="D47" s="99" t="str">
        <f>IF(Match!D47="","",Match!D47)</f>
        <v>League 2</v>
      </c>
      <c r="E47" s="98" t="str">
        <f>IF(Match!U47="","",Match!U47)</f>
        <v>Port Vale  v  Salford  OFF</v>
      </c>
      <c r="F47" s="98" t="str">
        <f>IF(Match!V47="","",Match!V47)</f>
        <v>Port Vale - Salford OFF</v>
      </c>
      <c r="G47" s="36" t="str">
        <f>IF(E47="","",L47)</f>
        <v>Port Vale</v>
      </c>
      <c r="H47" s="37" t="str">
        <f>IF(E47="","",M47)</f>
        <v>11/10</v>
      </c>
      <c r="I47" s="198">
        <f t="shared" si="3"/>
        <v>2.1</v>
      </c>
      <c r="J47" s="37">
        <f>INDEX(Picks!T:T,MATCH(G47,Picks!R:R,0))</f>
        <v>0</v>
      </c>
      <c r="K47" s="37">
        <f>IF(INDEX(Match!P:P,MATCH(A47,Match!A:A,0))="OFF",0,1)</f>
        <v>0</v>
      </c>
      <c r="L47" t="str">
        <f>INDEX(Match!Q:Q,MATCH(E47,Match!U:U,0))</f>
        <v>Port Vale</v>
      </c>
      <c r="M47" t="str">
        <f>INDEX(Match!X:X,MATCH(E47,Match!U:U,0))</f>
        <v>11/10</v>
      </c>
      <c r="N47" t="str">
        <f>INDEX(Match!R:R,MATCH(E47,Match!U:U,0))</f>
        <v>Salford</v>
      </c>
      <c r="O47" t="str">
        <f>INDEX(Match!Y:Y,MATCH(E47,Match!U:U,0))</f>
        <v>23/10</v>
      </c>
      <c r="P47" t="str">
        <f>INDEX(Match!Z:Z,MATCH(E47,Match!U:U,0))</f>
        <v>12/5</v>
      </c>
      <c r="Q47" s="195">
        <f>INDEX(Match!AA:AA,MATCH(E47,Match!U:U,0))</f>
        <v>2.1</v>
      </c>
      <c r="R47" s="195">
        <f>INDEX(Match!AB:AB,MATCH(E47,Match!U:U,0))</f>
        <v>3.3</v>
      </c>
      <c r="S47" s="195">
        <f>INDEX(Match!AC:AC,MATCH(E47,Match!U:U,0))</f>
        <v>3.4</v>
      </c>
    </row>
    <row r="48" spans="1:19">
      <c r="A48" s="4">
        <v>1</v>
      </c>
      <c r="B48" s="101">
        <f>IF(Match!B2="","",Match!B2)</f>
        <v>44556</v>
      </c>
      <c r="C48" s="584">
        <f t="shared" si="2"/>
        <v>1</v>
      </c>
      <c r="E48" s="9"/>
      <c r="F48" s="9"/>
      <c r="G48" s="166" t="str">
        <f t="shared" ref="G48:G93" si="5">IF(E2="","",L2&amp;" draw")</f>
        <v>Brighton draw</v>
      </c>
      <c r="H48" s="167" t="str">
        <f t="shared" ref="H48:H93" si="6">IF(E2="","",O2)</f>
        <v>5/2</v>
      </c>
      <c r="I48" s="199">
        <f>IF(E2="","",R2)</f>
        <v>3.5</v>
      </c>
      <c r="J48" s="167">
        <f>INDEX(Picks!T:T,MATCH(G48,Picks!R:R,0))</f>
        <v>0</v>
      </c>
      <c r="K48" s="167">
        <f>IF(INDEX(Match!P:P,MATCH(A48,Match!A:A,0))="OFF",0,1)</f>
        <v>1</v>
      </c>
    </row>
    <row r="49" spans="1:11">
      <c r="A49" s="4">
        <v>2</v>
      </c>
      <c r="B49" s="101">
        <f>IF(Match!B3="","",Match!B3)</f>
        <v>44556</v>
      </c>
      <c r="C49" s="584">
        <f t="shared" si="2"/>
        <v>1</v>
      </c>
      <c r="G49" s="166" t="str">
        <f t="shared" si="5"/>
        <v>Man C draw</v>
      </c>
      <c r="H49" s="167" t="str">
        <f t="shared" si="6"/>
        <v>11/2</v>
      </c>
      <c r="I49" s="199">
        <f t="shared" ref="I49:I93" si="7">IF(E3="","",R3)</f>
        <v>6.5</v>
      </c>
      <c r="J49" s="167">
        <f>INDEX(Picks!T:T,MATCH(G49,Picks!R:R,0))</f>
        <v>0</v>
      </c>
      <c r="K49" s="167">
        <f>IF(INDEX(Match!P:P,MATCH(A49,Match!A:A,0))="OFF",0,1)</f>
        <v>1</v>
      </c>
    </row>
    <row r="50" spans="1:11">
      <c r="A50" s="4">
        <v>3</v>
      </c>
      <c r="B50" s="101">
        <f>IF(Match!B4="","",Match!B4)</f>
        <v>44556</v>
      </c>
      <c r="C50" s="584">
        <f t="shared" si="2"/>
        <v>1</v>
      </c>
      <c r="G50" s="166" t="str">
        <f t="shared" si="5"/>
        <v>Norwich draw</v>
      </c>
      <c r="H50" s="167" t="str">
        <f t="shared" si="6"/>
        <v>10/3</v>
      </c>
      <c r="I50" s="199">
        <f t="shared" si="7"/>
        <v>4.3333333333333339</v>
      </c>
      <c r="J50" s="167">
        <f>INDEX(Picks!T:T,MATCH(G50,Picks!R:R,0))</f>
        <v>0</v>
      </c>
      <c r="K50" s="167">
        <f>IF(INDEX(Match!P:P,MATCH(A50,Match!A:A,0))="OFF",0,1)</f>
        <v>1</v>
      </c>
    </row>
    <row r="51" spans="1:11">
      <c r="A51" s="4">
        <v>4</v>
      </c>
      <c r="B51" s="101">
        <f>IF(Match!B5="","",Match!B5)</f>
        <v>44556</v>
      </c>
      <c r="C51" s="584">
        <f t="shared" si="2"/>
        <v>1</v>
      </c>
      <c r="G51" s="166" t="str">
        <f t="shared" si="5"/>
        <v>Spurs draw</v>
      </c>
      <c r="H51" s="167" t="str">
        <f t="shared" si="6"/>
        <v>11/4</v>
      </c>
      <c r="I51" s="199">
        <f t="shared" si="7"/>
        <v>3.75</v>
      </c>
      <c r="J51" s="167">
        <f>INDEX(Picks!T:T,MATCH(G51,Picks!R:R,0))</f>
        <v>0</v>
      </c>
      <c r="K51" s="167">
        <f>IF(INDEX(Match!P:P,MATCH(A51,Match!A:A,0))="OFF",0,1)</f>
        <v>1</v>
      </c>
    </row>
    <row r="52" spans="1:11">
      <c r="A52" s="4">
        <v>5</v>
      </c>
      <c r="B52" s="101">
        <f>IF(Match!B6="","",Match!B6)</f>
        <v>44556</v>
      </c>
      <c r="C52" s="584">
        <f t="shared" si="2"/>
        <v>1</v>
      </c>
      <c r="G52" s="166" t="str">
        <f t="shared" si="5"/>
        <v>Villa draw</v>
      </c>
      <c r="H52" s="167" t="str">
        <f t="shared" si="6"/>
        <v>11/4</v>
      </c>
      <c r="I52" s="199">
        <f t="shared" si="7"/>
        <v>3.75</v>
      </c>
      <c r="J52" s="167">
        <f>INDEX(Picks!T:T,MATCH(G52,Picks!R:R,0))</f>
        <v>0</v>
      </c>
      <c r="K52" s="167">
        <f>IF(INDEX(Match!P:P,MATCH(A52,Match!A:A,0))="OFF",0,1)</f>
        <v>1</v>
      </c>
    </row>
    <row r="53" spans="1:11">
      <c r="A53" s="4">
        <v>6</v>
      </c>
      <c r="B53" s="101">
        <f>IF(Match!B7="","",Match!B7)</f>
        <v>44556</v>
      </c>
      <c r="C53" s="584">
        <f t="shared" si="2"/>
        <v>1</v>
      </c>
      <c r="G53" s="166" t="str">
        <f t="shared" si="5"/>
        <v>West Ham draw</v>
      </c>
      <c r="H53" s="167" t="str">
        <f t="shared" si="6"/>
        <v>14/5</v>
      </c>
      <c r="I53" s="199">
        <f t="shared" si="7"/>
        <v>3.8</v>
      </c>
      <c r="J53" s="167">
        <f>INDEX(Picks!T:T,MATCH(G53,Picks!R:R,0))</f>
        <v>0</v>
      </c>
      <c r="K53" s="167">
        <f>IF(INDEX(Match!P:P,MATCH(A53,Match!A:A,0))="OFF",0,1)</f>
        <v>1</v>
      </c>
    </row>
    <row r="54" spans="1:11">
      <c r="A54" s="4">
        <v>7</v>
      </c>
      <c r="B54" s="101">
        <f>IF(Match!B8="","",Match!B8)</f>
        <v>44556</v>
      </c>
      <c r="C54" s="584">
        <f t="shared" si="2"/>
        <v>1</v>
      </c>
      <c r="G54" s="166" t="str">
        <f t="shared" si="5"/>
        <v>Huddersfield draw</v>
      </c>
      <c r="H54" s="167" t="str">
        <f t="shared" si="6"/>
        <v>23/10</v>
      </c>
      <c r="I54" s="199">
        <f t="shared" si="7"/>
        <v>3.3</v>
      </c>
      <c r="J54" s="167">
        <f>INDEX(Picks!T:T,MATCH(G54,Picks!R:R,0))</f>
        <v>0</v>
      </c>
      <c r="K54" s="167">
        <f>IF(INDEX(Match!P:P,MATCH(A54,Match!A:A,0))="OFF",0,1)</f>
        <v>1</v>
      </c>
    </row>
    <row r="55" spans="1:11">
      <c r="A55" s="4">
        <v>8</v>
      </c>
      <c r="B55" s="101">
        <f>IF(Match!B9="","",Match!B9)</f>
        <v>44556</v>
      </c>
      <c r="C55" s="584">
        <f t="shared" si="2"/>
        <v>1</v>
      </c>
      <c r="G55" s="166" t="str">
        <f t="shared" si="5"/>
        <v>Middlesbro draw</v>
      </c>
      <c r="H55" s="167" t="str">
        <f t="shared" si="6"/>
        <v>11/5</v>
      </c>
      <c r="I55" s="199">
        <f t="shared" si="7"/>
        <v>3.2</v>
      </c>
      <c r="J55" s="167">
        <f>INDEX(Picks!T:T,MATCH(G55,Picks!R:R,0))</f>
        <v>0</v>
      </c>
      <c r="K55" s="167">
        <f>IF(INDEX(Match!P:P,MATCH(A55,Match!A:A,0))="OFF",0,1)</f>
        <v>1</v>
      </c>
    </row>
    <row r="56" spans="1:11">
      <c r="A56" s="4">
        <v>9</v>
      </c>
      <c r="B56" s="101">
        <f>IF(Match!B10="","",Match!B10)</f>
        <v>44556</v>
      </c>
      <c r="C56" s="584">
        <f t="shared" si="2"/>
        <v>1</v>
      </c>
      <c r="G56" s="166" t="str">
        <f t="shared" si="5"/>
        <v>Accrington draw</v>
      </c>
      <c r="H56" s="167" t="str">
        <f t="shared" si="6"/>
        <v>11/4</v>
      </c>
      <c r="I56" s="199">
        <f t="shared" si="7"/>
        <v>3.75</v>
      </c>
      <c r="J56" s="167">
        <f>INDEX(Picks!T:T,MATCH(G56,Picks!R:R,0))</f>
        <v>0</v>
      </c>
      <c r="K56" s="167">
        <f>IF(INDEX(Match!P:P,MATCH(A56,Match!A:A,0))="OFF",0,1)</f>
        <v>1</v>
      </c>
    </row>
    <row r="57" spans="1:11">
      <c r="A57" s="4">
        <v>10</v>
      </c>
      <c r="B57" s="101">
        <f>IF(Match!B11="","",Match!B11)</f>
        <v>44556</v>
      </c>
      <c r="C57" s="584">
        <f t="shared" si="2"/>
        <v>1</v>
      </c>
      <c r="G57" s="166" t="str">
        <f t="shared" si="5"/>
        <v>Cheltenham draw</v>
      </c>
      <c r="H57" s="167" t="str">
        <f t="shared" si="6"/>
        <v>23/10</v>
      </c>
      <c r="I57" s="199">
        <f t="shared" si="7"/>
        <v>3.3</v>
      </c>
      <c r="J57" s="167">
        <f>INDEX(Picks!T:T,MATCH(G57,Picks!R:R,0))</f>
        <v>0</v>
      </c>
      <c r="K57" s="167">
        <f>IF(INDEX(Match!P:P,MATCH(A57,Match!A:A,0))="OFF",0,1)</f>
        <v>1</v>
      </c>
    </row>
    <row r="58" spans="1:11">
      <c r="A58" s="4">
        <v>11</v>
      </c>
      <c r="B58" s="101">
        <f>IF(Match!B12="","",Match!B12)</f>
        <v>44556</v>
      </c>
      <c r="C58" s="584">
        <f t="shared" si="2"/>
        <v>1</v>
      </c>
      <c r="G58" s="166" t="str">
        <f t="shared" si="5"/>
        <v>Fleetwood draw</v>
      </c>
      <c r="H58" s="167" t="str">
        <f t="shared" si="6"/>
        <v>9/4</v>
      </c>
      <c r="I58" s="199">
        <f t="shared" si="7"/>
        <v>3.25</v>
      </c>
      <c r="J58" s="167">
        <f>INDEX(Picks!T:T,MATCH(G58,Picks!R:R,0))</f>
        <v>0</v>
      </c>
      <c r="K58" s="167">
        <f>IF(INDEX(Match!P:P,MATCH(A58,Match!A:A,0))="OFF",0,1)</f>
        <v>1</v>
      </c>
    </row>
    <row r="59" spans="1:11">
      <c r="A59" s="4">
        <v>12</v>
      </c>
      <c r="B59" s="101">
        <f>IF(Match!B13="","",Match!B13)</f>
        <v>44556</v>
      </c>
      <c r="C59" s="584">
        <f t="shared" si="2"/>
        <v>1</v>
      </c>
      <c r="G59" s="166" t="str">
        <f t="shared" si="5"/>
        <v>Lincoln draw</v>
      </c>
      <c r="H59" s="167" t="str">
        <f t="shared" si="6"/>
        <v>12/5</v>
      </c>
      <c r="I59" s="199">
        <f t="shared" si="7"/>
        <v>3.4</v>
      </c>
      <c r="J59" s="167">
        <f>INDEX(Picks!T:T,MATCH(G59,Picks!R:R,0))</f>
        <v>0</v>
      </c>
      <c r="K59" s="167">
        <f>IF(INDEX(Match!P:P,MATCH(A59,Match!A:A,0))="OFF",0,1)</f>
        <v>1</v>
      </c>
    </row>
    <row r="60" spans="1:11">
      <c r="A60" s="4">
        <v>13</v>
      </c>
      <c r="B60" s="101">
        <f>IF(Match!B14="","",Match!B14)</f>
        <v>44556</v>
      </c>
      <c r="C60" s="584">
        <f t="shared" si="2"/>
        <v>1</v>
      </c>
      <c r="G60" s="166" t="str">
        <f t="shared" si="5"/>
        <v>Mansfield draw</v>
      </c>
      <c r="H60" s="167" t="str">
        <f t="shared" si="6"/>
        <v>12/5</v>
      </c>
      <c r="I60" s="199">
        <f t="shared" si="7"/>
        <v>3.4</v>
      </c>
      <c r="J60" s="167">
        <f>INDEX(Picks!T:T,MATCH(G60,Picks!R:R,0))</f>
        <v>0</v>
      </c>
      <c r="K60" s="167">
        <f>IF(INDEX(Match!P:P,MATCH(A60,Match!A:A,0))="OFF",0,1)</f>
        <v>1</v>
      </c>
    </row>
    <row r="61" spans="1:11">
      <c r="A61" s="4">
        <v>14</v>
      </c>
      <c r="B61" s="101">
        <f>IF(Match!B15="","",Match!B15)</f>
        <v>44556</v>
      </c>
      <c r="C61" s="584">
        <f t="shared" si="2"/>
        <v>1</v>
      </c>
      <c r="G61" s="166" t="str">
        <f t="shared" si="5"/>
        <v>Oldham draw</v>
      </c>
      <c r="H61" s="167" t="str">
        <f t="shared" si="6"/>
        <v>12/5</v>
      </c>
      <c r="I61" s="199">
        <f t="shared" si="7"/>
        <v>3.4</v>
      </c>
      <c r="J61" s="167">
        <f>INDEX(Picks!T:T,MATCH(G61,Picks!R:R,0))</f>
        <v>0</v>
      </c>
      <c r="K61" s="167">
        <f>IF(INDEX(Match!P:P,MATCH(A61,Match!A:A,0))="OFF",0,1)</f>
        <v>1</v>
      </c>
    </row>
    <row r="62" spans="1:11">
      <c r="A62" s="4">
        <v>15</v>
      </c>
      <c r="B62" s="101">
        <f>IF(Match!B16="","",Match!B16)</f>
        <v>44556</v>
      </c>
      <c r="C62" s="584">
        <f t="shared" si="2"/>
        <v>1</v>
      </c>
      <c r="G62" s="166" t="str">
        <f t="shared" si="5"/>
        <v>Tranmere draw</v>
      </c>
      <c r="H62" s="167" t="str">
        <f t="shared" si="6"/>
        <v>23/10</v>
      </c>
      <c r="I62" s="199">
        <f t="shared" si="7"/>
        <v>3.3</v>
      </c>
      <c r="J62" s="167">
        <f>INDEX(Picks!T:T,MATCH(G62,Picks!R:R,0))</f>
        <v>0</v>
      </c>
      <c r="K62" s="167">
        <f>IF(INDEX(Match!P:P,MATCH(A62,Match!A:A,0))="OFF",0,1)</f>
        <v>1</v>
      </c>
    </row>
    <row r="63" spans="1:11">
      <c r="A63" s="4">
        <v>16</v>
      </c>
      <c r="B63" s="101">
        <f>IF(Match!B17="","",Match!B17)</f>
        <v>44556</v>
      </c>
      <c r="C63" s="584">
        <f t="shared" si="2"/>
        <v>1</v>
      </c>
      <c r="G63" s="166" t="str">
        <f t="shared" si="5"/>
        <v>Aldershot draw</v>
      </c>
      <c r="H63" s="167" t="str">
        <f t="shared" si="6"/>
        <v>5/2</v>
      </c>
      <c r="I63" s="199">
        <f t="shared" si="7"/>
        <v>3.5</v>
      </c>
      <c r="J63" s="167">
        <f>INDEX(Picks!T:T,MATCH(G63,Picks!R:R,0))</f>
        <v>1</v>
      </c>
      <c r="K63" s="167">
        <f>IF(INDEX(Match!P:P,MATCH(A63,Match!A:A,0))="OFF",0,1)</f>
        <v>1</v>
      </c>
    </row>
    <row r="64" spans="1:11">
      <c r="A64" s="4">
        <v>17</v>
      </c>
      <c r="B64" s="101">
        <f>IF(Match!B18="","",Match!B18)</f>
        <v>44556</v>
      </c>
      <c r="C64" s="584">
        <f t="shared" si="2"/>
        <v>1</v>
      </c>
      <c r="G64" s="166" t="str">
        <f t="shared" si="5"/>
        <v>Bromley draw</v>
      </c>
      <c r="H64" s="167" t="str">
        <f t="shared" si="6"/>
        <v>3/1</v>
      </c>
      <c r="I64" s="199">
        <f t="shared" si="7"/>
        <v>4</v>
      </c>
      <c r="J64" s="167">
        <f>INDEX(Picks!T:T,MATCH(G64,Picks!R:R,0))</f>
        <v>1</v>
      </c>
      <c r="K64" s="167">
        <f>IF(INDEX(Match!P:P,MATCH(A64,Match!A:A,0))="OFF",0,1)</f>
        <v>1</v>
      </c>
    </row>
    <row r="65" spans="1:11">
      <c r="A65" s="4">
        <v>18</v>
      </c>
      <c r="B65" s="101">
        <f>IF(Match!B19="","",Match!B19)</f>
        <v>44556</v>
      </c>
      <c r="C65" s="584">
        <f t="shared" si="2"/>
        <v>1</v>
      </c>
      <c r="G65" s="166" t="str">
        <f t="shared" si="5"/>
        <v>Dover draw</v>
      </c>
      <c r="H65" s="167" t="str">
        <f t="shared" si="6"/>
        <v>16/5</v>
      </c>
      <c r="I65" s="199">
        <f t="shared" si="7"/>
        <v>4.2</v>
      </c>
      <c r="J65" s="167">
        <f>INDEX(Picks!T:T,MATCH(G65,Picks!R:R,0))</f>
        <v>0</v>
      </c>
      <c r="K65" s="167">
        <f>IF(INDEX(Match!P:P,MATCH(A65,Match!A:A,0))="OFF",0,1)</f>
        <v>1</v>
      </c>
    </row>
    <row r="66" spans="1:11">
      <c r="A66" s="4">
        <v>19</v>
      </c>
      <c r="B66" s="101">
        <f>IF(Match!B20="","",Match!B20)</f>
        <v>44556</v>
      </c>
      <c r="C66" s="584">
        <f t="shared" si="2"/>
        <v>1</v>
      </c>
      <c r="G66" s="166" t="str">
        <f t="shared" si="5"/>
        <v>Stockport draw</v>
      </c>
      <c r="H66" s="167" t="str">
        <f t="shared" si="6"/>
        <v>37/13</v>
      </c>
      <c r="I66" s="199">
        <f t="shared" si="7"/>
        <v>3.8461538461538463</v>
      </c>
      <c r="J66" s="167">
        <f>INDEX(Picks!T:T,MATCH(G66,Picks!R:R,0))</f>
        <v>0</v>
      </c>
      <c r="K66" s="167">
        <f>IF(INDEX(Match!P:P,MATCH(A66,Match!A:A,0))="OFF",0,1)</f>
        <v>1</v>
      </c>
    </row>
    <row r="67" spans="1:11">
      <c r="A67" s="4">
        <v>20</v>
      </c>
      <c r="B67" s="101">
        <f>IF(Match!B21="","",Match!B21)</f>
        <v>44556</v>
      </c>
      <c r="C67" s="584">
        <f t="shared" ref="C67:C130" si="8">IF(B67="","",WEEKDAY(B67))</f>
        <v>1</v>
      </c>
      <c r="G67" s="166" t="str">
        <f t="shared" si="5"/>
        <v>Torquay draw</v>
      </c>
      <c r="H67" s="167" t="str">
        <f t="shared" si="6"/>
        <v>11/4</v>
      </c>
      <c r="I67" s="199">
        <f t="shared" si="7"/>
        <v>3.75</v>
      </c>
      <c r="J67" s="167">
        <f>INDEX(Picks!T:T,MATCH(G67,Picks!R:R,0))</f>
        <v>0</v>
      </c>
      <c r="K67" s="167">
        <f>IF(INDEX(Match!P:P,MATCH(A67,Match!A:A,0))="OFF",0,1)</f>
        <v>1</v>
      </c>
    </row>
    <row r="68" spans="1:11">
      <c r="A68" s="4">
        <v>21</v>
      </c>
      <c r="B68" s="101">
        <f>IF(Match!B22="","",Match!B22)</f>
        <v>44556</v>
      </c>
      <c r="C68" s="584">
        <f t="shared" si="8"/>
        <v>1</v>
      </c>
      <c r="G68" s="166" t="str">
        <f t="shared" si="5"/>
        <v>Burnley draw</v>
      </c>
      <c r="H68" s="167" t="str">
        <f t="shared" si="6"/>
        <v>11/5</v>
      </c>
      <c r="I68" s="199">
        <f t="shared" si="7"/>
        <v>3.2</v>
      </c>
      <c r="J68" s="167">
        <f>INDEX(Picks!T:T,MATCH(G68,Picks!R:R,0))</f>
        <v>1</v>
      </c>
      <c r="K68" s="167">
        <f>IF(INDEX(Match!P:P,MATCH(A68,Match!A:A,0))="OFF",0,1)</f>
        <v>0</v>
      </c>
    </row>
    <row r="69" spans="1:11">
      <c r="A69" s="4">
        <v>22</v>
      </c>
      <c r="B69" s="101">
        <f>IF(Match!B23="","",Match!B23)</f>
        <v>44556</v>
      </c>
      <c r="C69" s="584">
        <f t="shared" si="8"/>
        <v>1</v>
      </c>
      <c r="G69" s="166" t="str">
        <f t="shared" si="5"/>
        <v>Liverpool draw</v>
      </c>
      <c r="H69" s="167" t="str">
        <f t="shared" si="6"/>
        <v>7/1</v>
      </c>
      <c r="I69" s="199">
        <f t="shared" si="7"/>
        <v>8</v>
      </c>
      <c r="J69" s="167">
        <f>INDEX(Picks!T:T,MATCH(G69,Picks!R:R,0))</f>
        <v>1</v>
      </c>
      <c r="K69" s="167">
        <f>IF(INDEX(Match!P:P,MATCH(A69,Match!A:A,0))="OFF",0,1)</f>
        <v>0</v>
      </c>
    </row>
    <row r="70" spans="1:11">
      <c r="A70" s="4">
        <v>23</v>
      </c>
      <c r="B70" s="101">
        <f>IF(Match!B24="","",Match!B24)</f>
        <v>44556</v>
      </c>
      <c r="C70" s="584">
        <f t="shared" si="8"/>
        <v>1</v>
      </c>
      <c r="G70" s="166" t="str">
        <f t="shared" si="5"/>
        <v>Wolves draw</v>
      </c>
      <c r="H70" s="167" t="str">
        <f t="shared" si="6"/>
        <v>5/2</v>
      </c>
      <c r="I70" s="199">
        <f t="shared" si="7"/>
        <v>3.5</v>
      </c>
      <c r="J70" s="167">
        <f>INDEX(Picks!T:T,MATCH(G70,Picks!R:R,0))</f>
        <v>1</v>
      </c>
      <c r="K70" s="167">
        <f>IF(INDEX(Match!P:P,MATCH(A70,Match!A:A,0))="OFF",0,1)</f>
        <v>0</v>
      </c>
    </row>
    <row r="71" spans="1:11">
      <c r="A71" s="4">
        <v>24</v>
      </c>
      <c r="B71" s="101">
        <f>IF(Match!B25="","",Match!B25)</f>
        <v>44556</v>
      </c>
      <c r="C71" s="584">
        <f t="shared" si="8"/>
        <v>1</v>
      </c>
      <c r="G71" s="166" t="str">
        <f t="shared" si="5"/>
        <v>Barnsley draw</v>
      </c>
      <c r="H71" s="167" t="str">
        <f t="shared" si="6"/>
        <v>11/5</v>
      </c>
      <c r="I71" s="199">
        <f t="shared" si="7"/>
        <v>3.2</v>
      </c>
      <c r="J71" s="167">
        <f>INDEX(Picks!T:T,MATCH(G71,Picks!R:R,0))</f>
        <v>1</v>
      </c>
      <c r="K71" s="167">
        <f>IF(INDEX(Match!P:P,MATCH(A71,Match!A:A,0))="OFF",0,1)</f>
        <v>0</v>
      </c>
    </row>
    <row r="72" spans="1:11">
      <c r="A72" s="4">
        <v>25</v>
      </c>
      <c r="B72" s="101">
        <f>IF(Match!B26="","",Match!B26)</f>
        <v>44556</v>
      </c>
      <c r="C72" s="584">
        <f t="shared" si="8"/>
        <v>1</v>
      </c>
      <c r="G72" s="166" t="str">
        <f t="shared" si="5"/>
        <v>Cardiff draw</v>
      </c>
      <c r="H72" s="167" t="str">
        <f t="shared" si="6"/>
        <v>9/4</v>
      </c>
      <c r="I72" s="199">
        <f t="shared" si="7"/>
        <v>3.25</v>
      </c>
      <c r="J72" s="167">
        <f>INDEX(Picks!T:T,MATCH(G72,Picks!R:R,0))</f>
        <v>1</v>
      </c>
      <c r="K72" s="167">
        <f>IF(INDEX(Match!P:P,MATCH(A72,Match!A:A,0))="OFF",0,1)</f>
        <v>0</v>
      </c>
    </row>
    <row r="73" spans="1:11">
      <c r="A73" s="4">
        <v>26</v>
      </c>
      <c r="B73" s="101">
        <f>IF(Match!B27="","",Match!B27)</f>
        <v>44556</v>
      </c>
      <c r="C73" s="584">
        <f t="shared" si="8"/>
        <v>1</v>
      </c>
      <c r="G73" s="166" t="str">
        <f t="shared" si="5"/>
        <v>Fulham draw</v>
      </c>
      <c r="H73" s="167" t="str">
        <f t="shared" si="6"/>
        <v>17/5</v>
      </c>
      <c r="I73" s="199">
        <f t="shared" si="7"/>
        <v>4.4000000000000004</v>
      </c>
      <c r="J73" s="167">
        <f>INDEX(Picks!T:T,MATCH(G73,Picks!R:R,0))</f>
        <v>1</v>
      </c>
      <c r="K73" s="167">
        <f>IF(INDEX(Match!P:P,MATCH(A73,Match!A:A,0))="OFF",0,1)</f>
        <v>0</v>
      </c>
    </row>
    <row r="74" spans="1:11">
      <c r="A74" s="4">
        <v>27</v>
      </c>
      <c r="B74" s="101">
        <f>IF(Match!B28="","",Match!B28)</f>
        <v>44556</v>
      </c>
      <c r="C74" s="584">
        <f t="shared" si="8"/>
        <v>1</v>
      </c>
      <c r="G74" s="166" t="str">
        <f t="shared" si="5"/>
        <v>Hull draw</v>
      </c>
      <c r="H74" s="167" t="str">
        <f t="shared" si="6"/>
        <v>9/4</v>
      </c>
      <c r="I74" s="199">
        <f t="shared" si="7"/>
        <v>3.25</v>
      </c>
      <c r="J74" s="167">
        <f>INDEX(Picks!T:T,MATCH(G74,Picks!R:R,0))</f>
        <v>1</v>
      </c>
      <c r="K74" s="167">
        <f>IF(INDEX(Match!P:P,MATCH(A74,Match!A:A,0))="OFF",0,1)</f>
        <v>0</v>
      </c>
    </row>
    <row r="75" spans="1:11">
      <c r="A75" s="4">
        <v>28</v>
      </c>
      <c r="B75" s="101">
        <f>IF(Match!B29="","",Match!B29)</f>
        <v>44556</v>
      </c>
      <c r="C75" s="584">
        <f t="shared" si="8"/>
        <v>1</v>
      </c>
      <c r="G75" s="166" t="str">
        <f t="shared" si="5"/>
        <v>Luton draw</v>
      </c>
      <c r="H75" s="167" t="str">
        <f t="shared" si="6"/>
        <v>11/4</v>
      </c>
      <c r="I75" s="199">
        <f t="shared" si="7"/>
        <v>3.75</v>
      </c>
      <c r="J75" s="167">
        <f>INDEX(Picks!T:T,MATCH(G75,Picks!R:R,0))</f>
        <v>1</v>
      </c>
      <c r="K75" s="167">
        <f>IF(INDEX(Match!P:P,MATCH(A75,Match!A:A,0))="OFF",0,1)</f>
        <v>0</v>
      </c>
    </row>
    <row r="76" spans="1:11">
      <c r="A76" s="4">
        <v>29</v>
      </c>
      <c r="B76" s="101">
        <f>IF(Match!B30="","",Match!B30)</f>
        <v>44556</v>
      </c>
      <c r="C76" s="584">
        <f t="shared" si="8"/>
        <v>1</v>
      </c>
      <c r="G76" s="166" t="str">
        <f t="shared" si="5"/>
        <v>Millwall draw</v>
      </c>
      <c r="H76" s="167" t="str">
        <f t="shared" si="6"/>
        <v>21/10</v>
      </c>
      <c r="I76" s="199">
        <f t="shared" si="7"/>
        <v>3.1</v>
      </c>
      <c r="J76" s="167">
        <f>INDEX(Picks!T:T,MATCH(G76,Picks!R:R,0))</f>
        <v>1</v>
      </c>
      <c r="K76" s="167">
        <f>IF(INDEX(Match!P:P,MATCH(A76,Match!A:A,0))="OFF",0,1)</f>
        <v>0</v>
      </c>
    </row>
    <row r="77" spans="1:11">
      <c r="A77" s="4">
        <v>30</v>
      </c>
      <c r="B77" s="101">
        <f>IF(Match!B31="","",Match!B31)</f>
        <v>44556</v>
      </c>
      <c r="C77" s="584">
        <f t="shared" si="8"/>
        <v>1</v>
      </c>
      <c r="G77" s="166" t="str">
        <f t="shared" si="5"/>
        <v>Peterborough draw</v>
      </c>
      <c r="H77" s="167" t="str">
        <f t="shared" si="6"/>
        <v>9/4</v>
      </c>
      <c r="I77" s="199">
        <f t="shared" si="7"/>
        <v>3.25</v>
      </c>
      <c r="J77" s="167">
        <f>INDEX(Picks!T:T,MATCH(G77,Picks!R:R,0))</f>
        <v>1</v>
      </c>
      <c r="K77" s="167">
        <f>IF(INDEX(Match!P:P,MATCH(A77,Match!A:A,0))="OFF",0,1)</f>
        <v>0</v>
      </c>
    </row>
    <row r="78" spans="1:11">
      <c r="A78" s="4">
        <v>31</v>
      </c>
      <c r="B78" s="101">
        <f>IF(Match!B32="","",Match!B32)</f>
        <v>44556</v>
      </c>
      <c r="C78" s="584">
        <f t="shared" si="8"/>
        <v>1</v>
      </c>
      <c r="G78" s="166" t="str">
        <f t="shared" si="5"/>
        <v>Preston draw</v>
      </c>
      <c r="H78" s="167" t="str">
        <f t="shared" si="6"/>
        <v>11/5</v>
      </c>
      <c r="I78" s="199">
        <f t="shared" si="7"/>
        <v>3.2</v>
      </c>
      <c r="J78" s="167">
        <f>INDEX(Picks!T:T,MATCH(G78,Picks!R:R,0))</f>
        <v>1</v>
      </c>
      <c r="K78" s="167">
        <f>IF(INDEX(Match!P:P,MATCH(A78,Match!A:A,0))="OFF",0,1)</f>
        <v>0</v>
      </c>
    </row>
    <row r="79" spans="1:11">
      <c r="A79" s="4">
        <v>32</v>
      </c>
      <c r="B79" s="101">
        <f>IF(Match!B33="","",Match!B33)</f>
        <v>44556</v>
      </c>
      <c r="C79" s="584">
        <f t="shared" si="8"/>
        <v>1</v>
      </c>
      <c r="G79" s="166" t="str">
        <f t="shared" si="5"/>
        <v>Bolton draw</v>
      </c>
      <c r="H79" s="167" t="str">
        <f t="shared" si="6"/>
        <v>29/10</v>
      </c>
      <c r="I79" s="199">
        <f t="shared" si="7"/>
        <v>3.9</v>
      </c>
      <c r="J79" s="167">
        <f>INDEX(Picks!T:T,MATCH(G79,Picks!R:R,0))</f>
        <v>1</v>
      </c>
      <c r="K79" s="167">
        <f>IF(INDEX(Match!P:P,MATCH(A79,Match!A:A,0))="OFF",0,1)</f>
        <v>0</v>
      </c>
    </row>
    <row r="80" spans="1:11">
      <c r="A80" s="4">
        <v>33</v>
      </c>
      <c r="B80" s="101">
        <f>IF(Match!B34="","",Match!B34)</f>
        <v>44556</v>
      </c>
      <c r="C80" s="584">
        <f t="shared" si="8"/>
        <v>1</v>
      </c>
      <c r="G80" s="166" t="str">
        <f t="shared" si="5"/>
        <v>Crewe draw</v>
      </c>
      <c r="H80" s="167" t="str">
        <f t="shared" si="6"/>
        <v>29/10</v>
      </c>
      <c r="I80" s="199">
        <f t="shared" si="7"/>
        <v>3.9</v>
      </c>
      <c r="J80" s="167">
        <f>INDEX(Picks!T:T,MATCH(G80,Picks!R:R,0))</f>
        <v>1</v>
      </c>
      <c r="K80" s="167">
        <f>IF(INDEX(Match!P:P,MATCH(A80,Match!A:A,0))="OFF",0,1)</f>
        <v>0</v>
      </c>
    </row>
    <row r="81" spans="1:11">
      <c r="A81" s="4">
        <v>34</v>
      </c>
      <c r="B81" s="101">
        <f>IF(Match!B35="","",Match!B35)</f>
        <v>44556</v>
      </c>
      <c r="C81" s="584">
        <f t="shared" si="8"/>
        <v>1</v>
      </c>
      <c r="G81" s="166" t="str">
        <f t="shared" si="5"/>
        <v>Gillingham draw</v>
      </c>
      <c r="H81" s="167" t="str">
        <f t="shared" si="6"/>
        <v>13/5</v>
      </c>
      <c r="I81" s="199">
        <f t="shared" si="7"/>
        <v>3.6</v>
      </c>
      <c r="J81" s="167">
        <f>INDEX(Picks!T:T,MATCH(G81,Picks!R:R,0))</f>
        <v>1</v>
      </c>
      <c r="K81" s="167">
        <f>IF(INDEX(Match!P:P,MATCH(A81,Match!A:A,0))="OFF",0,1)</f>
        <v>0</v>
      </c>
    </row>
    <row r="82" spans="1:11">
      <c r="A82" s="4">
        <v>35</v>
      </c>
      <c r="B82" s="101">
        <f>IF(Match!B36="","",Match!B36)</f>
        <v>44556</v>
      </c>
      <c r="C82" s="584">
        <f t="shared" si="8"/>
        <v>1</v>
      </c>
      <c r="G82" s="166" t="str">
        <f t="shared" si="5"/>
        <v>Portsmouth draw</v>
      </c>
      <c r="H82" s="167" t="str">
        <f t="shared" si="6"/>
        <v>23/10</v>
      </c>
      <c r="I82" s="199">
        <f t="shared" si="7"/>
        <v>3.3</v>
      </c>
      <c r="J82" s="167">
        <f>INDEX(Picks!T:T,MATCH(G82,Picks!R:R,0))</f>
        <v>1</v>
      </c>
      <c r="K82" s="167">
        <f>IF(INDEX(Match!P:P,MATCH(A82,Match!A:A,0))="OFF",0,1)</f>
        <v>0</v>
      </c>
    </row>
    <row r="83" spans="1:11">
      <c r="A83" s="4">
        <v>36</v>
      </c>
      <c r="B83" s="101">
        <f>IF(Match!B37="","",Match!B37)</f>
        <v>44556</v>
      </c>
      <c r="C83" s="584">
        <f t="shared" si="8"/>
        <v>1</v>
      </c>
      <c r="G83" s="166" t="str">
        <f t="shared" si="5"/>
        <v>Sheff W draw</v>
      </c>
      <c r="H83" s="167" t="str">
        <f t="shared" si="6"/>
        <v>13/5</v>
      </c>
      <c r="I83" s="199">
        <f t="shared" si="7"/>
        <v>3.6</v>
      </c>
      <c r="J83" s="167">
        <f>INDEX(Picks!T:T,MATCH(G83,Picks!R:R,0))</f>
        <v>1</v>
      </c>
      <c r="K83" s="167">
        <f>IF(INDEX(Match!P:P,MATCH(A83,Match!A:A,0))="OFF",0,1)</f>
        <v>0</v>
      </c>
    </row>
    <row r="84" spans="1:11">
      <c r="A84" s="4">
        <v>37</v>
      </c>
      <c r="B84" s="101">
        <f>IF(Match!B38="","",Match!B38)</f>
        <v>44556</v>
      </c>
      <c r="C84" s="584">
        <f t="shared" si="8"/>
        <v>1</v>
      </c>
      <c r="G84" s="166" t="str">
        <f t="shared" si="5"/>
        <v>Wimbledon draw</v>
      </c>
      <c r="H84" s="167" t="str">
        <f t="shared" si="6"/>
        <v>23/10</v>
      </c>
      <c r="I84" s="199">
        <f t="shared" si="7"/>
        <v>3.3</v>
      </c>
      <c r="J84" s="167">
        <f>INDEX(Picks!T:T,MATCH(G84,Picks!R:R,0))</f>
        <v>1</v>
      </c>
      <c r="K84" s="167">
        <f>IF(INDEX(Match!P:P,MATCH(A84,Match!A:A,0))="OFF",0,1)</f>
        <v>0</v>
      </c>
    </row>
    <row r="85" spans="1:11">
      <c r="A85" s="4">
        <v>38</v>
      </c>
      <c r="B85" s="101">
        <f>IF(Match!B39="","",Match!B39)</f>
        <v>44556</v>
      </c>
      <c r="C85" s="584">
        <f t="shared" si="8"/>
        <v>1</v>
      </c>
      <c r="G85" s="166" t="str">
        <f t="shared" si="5"/>
        <v>Wycombe draw</v>
      </c>
      <c r="H85" s="167" t="str">
        <f t="shared" si="6"/>
        <v>29/10</v>
      </c>
      <c r="I85" s="199">
        <f t="shared" si="7"/>
        <v>3.9</v>
      </c>
      <c r="J85" s="167">
        <f>INDEX(Picks!T:T,MATCH(G85,Picks!R:R,0))</f>
        <v>1</v>
      </c>
      <c r="K85" s="167">
        <f>IF(INDEX(Match!P:P,MATCH(A85,Match!A:A,0))="OFF",0,1)</f>
        <v>0</v>
      </c>
    </row>
    <row r="86" spans="1:11">
      <c r="A86" s="4">
        <v>39</v>
      </c>
      <c r="B86" s="101">
        <f>IF(Match!B40="","",Match!B40)</f>
        <v>44556</v>
      </c>
      <c r="C86" s="584">
        <f t="shared" si="8"/>
        <v>1</v>
      </c>
      <c r="G86" s="166" t="str">
        <f t="shared" si="5"/>
        <v>Bradford draw</v>
      </c>
      <c r="H86" s="167" t="str">
        <f t="shared" si="6"/>
        <v>9/4</v>
      </c>
      <c r="I86" s="199">
        <f t="shared" si="7"/>
        <v>3.25</v>
      </c>
      <c r="J86" s="167">
        <f>INDEX(Picks!T:T,MATCH(G86,Picks!R:R,0))</f>
        <v>1</v>
      </c>
      <c r="K86" s="167">
        <f>IF(INDEX(Match!P:P,MATCH(A86,Match!A:A,0))="OFF",0,1)</f>
        <v>0</v>
      </c>
    </row>
    <row r="87" spans="1:11">
      <c r="A87" s="4">
        <v>40</v>
      </c>
      <c r="B87" s="101">
        <f>IF(Match!B41="","",Match!B41)</f>
        <v>44556</v>
      </c>
      <c r="C87" s="584">
        <f t="shared" si="8"/>
        <v>1</v>
      </c>
      <c r="G87" s="166" t="str">
        <f t="shared" si="5"/>
        <v>Bristol R draw</v>
      </c>
      <c r="H87" s="167" t="str">
        <f t="shared" si="6"/>
        <v>11/5</v>
      </c>
      <c r="I87" s="199">
        <f t="shared" si="7"/>
        <v>3.2</v>
      </c>
      <c r="J87" s="167">
        <f>INDEX(Picks!T:T,MATCH(G87,Picks!R:R,0))</f>
        <v>1</v>
      </c>
      <c r="K87" s="167">
        <f>IF(INDEX(Match!P:P,MATCH(A87,Match!A:A,0))="OFF",0,1)</f>
        <v>0</v>
      </c>
    </row>
    <row r="88" spans="1:11">
      <c r="A88" s="4">
        <v>41</v>
      </c>
      <c r="B88" s="101">
        <f>IF(Match!B42="","",Match!B42)</f>
        <v>44556</v>
      </c>
      <c r="C88" s="584">
        <f t="shared" si="8"/>
        <v>1</v>
      </c>
      <c r="G88" s="166" t="str">
        <f t="shared" si="5"/>
        <v>Carlisle draw</v>
      </c>
      <c r="H88" s="167" t="str">
        <f t="shared" si="6"/>
        <v>9/4</v>
      </c>
      <c r="I88" s="199">
        <f t="shared" si="7"/>
        <v>3.25</v>
      </c>
      <c r="J88" s="167">
        <f>INDEX(Picks!T:T,MATCH(G88,Picks!R:R,0))</f>
        <v>1</v>
      </c>
      <c r="K88" s="167">
        <f>IF(INDEX(Match!P:P,MATCH(A88,Match!A:A,0))="OFF",0,1)</f>
        <v>0</v>
      </c>
    </row>
    <row r="89" spans="1:11">
      <c r="A89" s="4">
        <v>42</v>
      </c>
      <c r="B89" s="101">
        <f>IF(Match!B43="","",Match!B43)</f>
        <v>44556</v>
      </c>
      <c r="C89" s="584">
        <f t="shared" si="8"/>
        <v>1</v>
      </c>
      <c r="G89" s="166" t="str">
        <f t="shared" si="5"/>
        <v>Colchester draw</v>
      </c>
      <c r="H89" s="167" t="str">
        <f t="shared" si="6"/>
        <v>12/5</v>
      </c>
      <c r="I89" s="199">
        <f t="shared" si="7"/>
        <v>3.4</v>
      </c>
      <c r="J89" s="167">
        <f>INDEX(Picks!T:T,MATCH(G89,Picks!R:R,0))</f>
        <v>1</v>
      </c>
      <c r="K89" s="167">
        <f>IF(INDEX(Match!P:P,MATCH(A89,Match!A:A,0))="OFF",0,1)</f>
        <v>0</v>
      </c>
    </row>
    <row r="90" spans="1:11">
      <c r="A90" s="4">
        <v>43</v>
      </c>
      <c r="B90" s="101">
        <f>IF(Match!B44="","",Match!B44)</f>
        <v>44556</v>
      </c>
      <c r="C90" s="584">
        <f t="shared" si="8"/>
        <v>1</v>
      </c>
      <c r="G90" s="166" t="str">
        <f t="shared" si="5"/>
        <v>Exeter draw</v>
      </c>
      <c r="H90" s="167" t="str">
        <f t="shared" si="6"/>
        <v>12/5</v>
      </c>
      <c r="I90" s="199">
        <f t="shared" si="7"/>
        <v>3.4</v>
      </c>
      <c r="J90" s="167">
        <f>INDEX(Picks!T:T,MATCH(G90,Picks!R:R,0))</f>
        <v>1</v>
      </c>
      <c r="K90" s="167">
        <f>IF(INDEX(Match!P:P,MATCH(A90,Match!A:A,0))="OFF",0,1)</f>
        <v>0</v>
      </c>
    </row>
    <row r="91" spans="1:11">
      <c r="A91" s="4">
        <v>44</v>
      </c>
      <c r="B91" s="101">
        <f>IF(Match!B45="","",Match!B45)</f>
        <v>44556</v>
      </c>
      <c r="C91" s="584">
        <f t="shared" si="8"/>
        <v>1</v>
      </c>
      <c r="G91" s="166" t="str">
        <f t="shared" si="5"/>
        <v>Newport draw</v>
      </c>
      <c r="H91" s="167" t="str">
        <f t="shared" si="6"/>
        <v>9/4</v>
      </c>
      <c r="I91" s="199">
        <f t="shared" si="7"/>
        <v>3.25</v>
      </c>
      <c r="J91" s="167">
        <f>INDEX(Picks!T:T,MATCH(G91,Picks!R:R,0))</f>
        <v>1</v>
      </c>
      <c r="K91" s="167">
        <f>IF(INDEX(Match!P:P,MATCH(A91,Match!A:A,0))="OFF",0,1)</f>
        <v>0</v>
      </c>
    </row>
    <row r="92" spans="1:11">
      <c r="A92" s="4">
        <v>45</v>
      </c>
      <c r="B92" s="101">
        <f>IF(Match!B46="","",Match!B46)</f>
        <v>44556</v>
      </c>
      <c r="C92" s="584">
        <f t="shared" si="8"/>
        <v>1</v>
      </c>
      <c r="G92" s="166" t="str">
        <f t="shared" si="5"/>
        <v>Northampton draw</v>
      </c>
      <c r="H92" s="167" t="str">
        <f t="shared" si="6"/>
        <v>23/10</v>
      </c>
      <c r="I92" s="199">
        <f t="shared" si="7"/>
        <v>3.3</v>
      </c>
      <c r="J92" s="167">
        <f>INDEX(Picks!T:T,MATCH(G92,Picks!R:R,0))</f>
        <v>1</v>
      </c>
      <c r="K92" s="167">
        <f>IF(INDEX(Match!P:P,MATCH(A92,Match!A:A,0))="OFF",0,1)</f>
        <v>0</v>
      </c>
    </row>
    <row r="93" spans="1:11">
      <c r="A93" s="4">
        <v>46</v>
      </c>
      <c r="B93" s="101">
        <f>IF(Match!B47="","",Match!B47)</f>
        <v>44556</v>
      </c>
      <c r="C93" s="584">
        <f t="shared" si="8"/>
        <v>1</v>
      </c>
      <c r="G93" s="166" t="str">
        <f t="shared" si="5"/>
        <v>Port Vale draw</v>
      </c>
      <c r="H93" s="167" t="str">
        <f t="shared" si="6"/>
        <v>23/10</v>
      </c>
      <c r="I93" s="199">
        <f t="shared" si="7"/>
        <v>3.3</v>
      </c>
      <c r="J93" s="167">
        <f>INDEX(Picks!T:T,MATCH(G93,Picks!R:R,0))</f>
        <v>1</v>
      </c>
      <c r="K93" s="167">
        <f>IF(INDEX(Match!P:P,MATCH(A93,Match!A:A,0))="OFF",0,1)</f>
        <v>0</v>
      </c>
    </row>
    <row r="94" spans="1:11">
      <c r="A94" s="4">
        <v>1</v>
      </c>
      <c r="B94" s="101">
        <f>IF(Match!B2="","",Match!B2)</f>
        <v>44556</v>
      </c>
      <c r="C94" s="584">
        <f t="shared" si="8"/>
        <v>1</v>
      </c>
      <c r="G94" s="168" t="str">
        <f t="shared" ref="G94:G139" si="9">IF(E2="","",N2)</f>
        <v>Brentford</v>
      </c>
      <c r="H94" s="169" t="str">
        <f t="shared" ref="H94:H139" si="10">IF(E2="","",P2)</f>
        <v>16/5</v>
      </c>
      <c r="I94" s="200">
        <f>IF(E2="","",S2)</f>
        <v>4.2</v>
      </c>
      <c r="J94" s="169">
        <f>INDEX(Picks!T:T,MATCH(G94,Picks!R:R,0))</f>
        <v>0</v>
      </c>
      <c r="K94" s="205">
        <f>IF(INDEX(Match!P:P,MATCH(A94,Match!A:A,0))="OFF",0,1)</f>
        <v>1</v>
      </c>
    </row>
    <row r="95" spans="1:11">
      <c r="A95" s="4">
        <v>2</v>
      </c>
      <c r="B95" s="101">
        <f>IF(Match!B3="","",Match!B3)</f>
        <v>44556</v>
      </c>
      <c r="C95" s="584">
        <f t="shared" si="8"/>
        <v>1</v>
      </c>
      <c r="E95" s="9"/>
      <c r="F95" s="9"/>
      <c r="G95" s="168" t="str">
        <f t="shared" si="9"/>
        <v>Leicester</v>
      </c>
      <c r="H95" s="169" t="str">
        <f t="shared" si="10"/>
        <v>12/1</v>
      </c>
      <c r="I95" s="200">
        <f t="shared" ref="I95:I139" si="11">IF(E3="","",S3)</f>
        <v>13</v>
      </c>
      <c r="J95" s="169">
        <f>INDEX(Picks!T:T,MATCH(G95,Picks!R:R,0))</f>
        <v>0</v>
      </c>
      <c r="K95" s="205">
        <f>IF(INDEX(Match!P:P,MATCH(A95,Match!A:A,0))="OFF",0,1)</f>
        <v>1</v>
      </c>
    </row>
    <row r="96" spans="1:11">
      <c r="A96" s="4">
        <v>3</v>
      </c>
      <c r="B96" s="101">
        <f>IF(Match!B4="","",Match!B4)</f>
        <v>44556</v>
      </c>
      <c r="C96" s="584">
        <f t="shared" si="8"/>
        <v>1</v>
      </c>
      <c r="G96" s="168" t="str">
        <f t="shared" si="9"/>
        <v>Arsenal</v>
      </c>
      <c r="H96" s="169" t="str">
        <f t="shared" si="10"/>
        <v>4/9</v>
      </c>
      <c r="I96" s="200">
        <f t="shared" si="11"/>
        <v>1.4444444444444444</v>
      </c>
      <c r="J96" s="169">
        <f>INDEX(Picks!T:T,MATCH(G96,Picks!R:R,0))</f>
        <v>1</v>
      </c>
      <c r="K96" s="205">
        <f>IF(INDEX(Match!P:P,MATCH(A96,Match!A:A,0))="OFF",0,1)</f>
        <v>1</v>
      </c>
    </row>
    <row r="97" spans="1:11">
      <c r="A97" s="4">
        <v>4</v>
      </c>
      <c r="B97" s="101">
        <f>IF(Match!B5="","",Match!B5)</f>
        <v>44556</v>
      </c>
      <c r="C97" s="584">
        <f t="shared" si="8"/>
        <v>1</v>
      </c>
      <c r="G97" s="168" t="str">
        <f t="shared" si="9"/>
        <v>Palace</v>
      </c>
      <c r="H97" s="169" t="str">
        <f t="shared" si="10"/>
        <v>19/5</v>
      </c>
      <c r="I97" s="200">
        <f t="shared" si="11"/>
        <v>4.8</v>
      </c>
      <c r="J97" s="169">
        <f>INDEX(Picks!T:T,MATCH(G97,Picks!R:R,0))</f>
        <v>0</v>
      </c>
      <c r="K97" s="205">
        <f>IF(INDEX(Match!P:P,MATCH(A97,Match!A:A,0))="OFF",0,1)</f>
        <v>1</v>
      </c>
    </row>
    <row r="98" spans="1:11">
      <c r="A98" s="4">
        <v>5</v>
      </c>
      <c r="B98" s="101">
        <f>IF(Match!B6="","",Match!B6)</f>
        <v>44556</v>
      </c>
      <c r="C98" s="584">
        <f t="shared" si="8"/>
        <v>1</v>
      </c>
      <c r="G98" s="168" t="str">
        <f t="shared" si="9"/>
        <v>Chelsea</v>
      </c>
      <c r="H98" s="169" t="str">
        <f t="shared" si="10"/>
        <v>8/13</v>
      </c>
      <c r="I98" s="200">
        <f t="shared" si="11"/>
        <v>1.6153846153846154</v>
      </c>
      <c r="J98" s="169">
        <f>INDEX(Picks!T:T,MATCH(G98,Picks!R:R,0))</f>
        <v>1</v>
      </c>
      <c r="K98" s="205">
        <f>IF(INDEX(Match!P:P,MATCH(A98,Match!A:A,0))="OFF",0,1)</f>
        <v>1</v>
      </c>
    </row>
    <row r="99" spans="1:11">
      <c r="A99" s="4">
        <v>6</v>
      </c>
      <c r="B99" s="101">
        <f>IF(Match!B7="","",Match!B7)</f>
        <v>44556</v>
      </c>
      <c r="C99" s="584">
        <f t="shared" si="8"/>
        <v>1</v>
      </c>
      <c r="G99" s="168" t="str">
        <f t="shared" si="9"/>
        <v>Southampton</v>
      </c>
      <c r="H99" s="169" t="str">
        <f t="shared" si="10"/>
        <v>17/5</v>
      </c>
      <c r="I99" s="200">
        <f t="shared" si="11"/>
        <v>4.4000000000000004</v>
      </c>
      <c r="J99" s="169">
        <f>INDEX(Picks!T:T,MATCH(G99,Picks!R:R,0))</f>
        <v>1</v>
      </c>
      <c r="K99" s="205">
        <f>IF(INDEX(Match!P:P,MATCH(A99,Match!A:A,0))="OFF",0,1)</f>
        <v>1</v>
      </c>
    </row>
    <row r="100" spans="1:11">
      <c r="A100" s="4">
        <v>7</v>
      </c>
      <c r="B100" s="101">
        <f>IF(Match!B8="","",Match!B8)</f>
        <v>44556</v>
      </c>
      <c r="C100" s="584">
        <f t="shared" si="8"/>
        <v>1</v>
      </c>
      <c r="G100" s="168" t="str">
        <f t="shared" si="9"/>
        <v>Blackpool</v>
      </c>
      <c r="H100" s="169" t="str">
        <f t="shared" si="10"/>
        <v>5/2</v>
      </c>
      <c r="I100" s="200">
        <f t="shared" si="11"/>
        <v>3.5</v>
      </c>
      <c r="J100" s="169">
        <f>INDEX(Picks!T:T,MATCH(G100,Picks!R:R,0))</f>
        <v>0</v>
      </c>
      <c r="K100" s="205">
        <f>IF(INDEX(Match!P:P,MATCH(A100,Match!A:A,0))="OFF",0,1)</f>
        <v>1</v>
      </c>
    </row>
    <row r="101" spans="1:11">
      <c r="A101" s="4">
        <v>8</v>
      </c>
      <c r="B101" s="101">
        <f>IF(Match!B9="","",Match!B9)</f>
        <v>44556</v>
      </c>
      <c r="C101" s="584">
        <f t="shared" si="8"/>
        <v>1</v>
      </c>
      <c r="G101" s="168" t="str">
        <f t="shared" si="9"/>
        <v>Forest</v>
      </c>
      <c r="H101" s="169" t="str">
        <f t="shared" si="10"/>
        <v>5/2</v>
      </c>
      <c r="I101" s="200">
        <f t="shared" si="11"/>
        <v>3.5</v>
      </c>
      <c r="J101" s="169">
        <f>INDEX(Picks!T:T,MATCH(G101,Picks!R:R,0))</f>
        <v>0</v>
      </c>
      <c r="K101" s="205">
        <f>IF(INDEX(Match!P:P,MATCH(A101,Match!A:A,0))="OFF",0,1)</f>
        <v>1</v>
      </c>
    </row>
    <row r="102" spans="1:11">
      <c r="A102" s="4">
        <v>9</v>
      </c>
      <c r="B102" s="101">
        <f>IF(Match!B10="","",Match!B10)</f>
        <v>44556</v>
      </c>
      <c r="C102" s="584">
        <f t="shared" si="8"/>
        <v>1</v>
      </c>
      <c r="G102" s="168" t="str">
        <f t="shared" si="9"/>
        <v>Rotherham</v>
      </c>
      <c r="H102" s="169" t="str">
        <f t="shared" si="10"/>
        <v>4/5</v>
      </c>
      <c r="I102" s="200">
        <f t="shared" si="11"/>
        <v>1.8</v>
      </c>
      <c r="J102" s="169">
        <f>INDEX(Picks!T:T,MATCH(G102,Picks!R:R,0))</f>
        <v>0</v>
      </c>
      <c r="K102" s="205">
        <f>IF(INDEX(Match!P:P,MATCH(A102,Match!A:A,0))="OFF",0,1)</f>
        <v>1</v>
      </c>
    </row>
    <row r="103" spans="1:11">
      <c r="A103" s="4">
        <v>10</v>
      </c>
      <c r="B103" s="101">
        <f>IF(Match!B11="","",Match!B11)</f>
        <v>44556</v>
      </c>
      <c r="C103" s="584">
        <f t="shared" si="8"/>
        <v>1</v>
      </c>
      <c r="G103" s="168" t="str">
        <f t="shared" si="9"/>
        <v>Plymouth</v>
      </c>
      <c r="H103" s="169" t="str">
        <f t="shared" si="10"/>
        <v>13/10</v>
      </c>
      <c r="I103" s="200">
        <f t="shared" si="11"/>
        <v>2.2999999999999998</v>
      </c>
      <c r="J103" s="169">
        <f>INDEX(Picks!T:T,MATCH(G103,Picks!R:R,0))</f>
        <v>1</v>
      </c>
      <c r="K103" s="205">
        <f>IF(INDEX(Match!P:P,MATCH(A103,Match!A:A,0))="OFF",0,1)</f>
        <v>1</v>
      </c>
    </row>
    <row r="104" spans="1:11">
      <c r="A104" s="4">
        <v>11</v>
      </c>
      <c r="B104" s="101">
        <f>IF(Match!B12="","",Match!B12)</f>
        <v>44556</v>
      </c>
      <c r="C104" s="584">
        <f t="shared" si="8"/>
        <v>1</v>
      </c>
      <c r="G104" s="168" t="str">
        <f t="shared" si="9"/>
        <v>Shrewsbury</v>
      </c>
      <c r="H104" s="169" t="str">
        <f t="shared" si="10"/>
        <v>11/5</v>
      </c>
      <c r="I104" s="200">
        <f t="shared" si="11"/>
        <v>3.2</v>
      </c>
      <c r="J104" s="169">
        <f>INDEX(Picks!T:T,MATCH(G104,Picks!R:R,0))</f>
        <v>1</v>
      </c>
      <c r="K104" s="205">
        <f>IF(INDEX(Match!P:P,MATCH(A104,Match!A:A,0))="OFF",0,1)</f>
        <v>1</v>
      </c>
    </row>
    <row r="105" spans="1:11">
      <c r="A105" s="4">
        <v>12</v>
      </c>
      <c r="B105" s="101">
        <f>IF(Match!B13="","",Match!B13)</f>
        <v>44556</v>
      </c>
      <c r="C105" s="584">
        <f t="shared" si="8"/>
        <v>1</v>
      </c>
      <c r="G105" s="168" t="str">
        <f t="shared" si="9"/>
        <v>MK Dons</v>
      </c>
      <c r="H105" s="169" t="str">
        <f t="shared" si="10"/>
        <v>5/4</v>
      </c>
      <c r="I105" s="200">
        <f t="shared" si="11"/>
        <v>2.25</v>
      </c>
      <c r="J105" s="169">
        <f>INDEX(Picks!T:T,MATCH(G105,Picks!R:R,0))</f>
        <v>1</v>
      </c>
      <c r="K105" s="205">
        <f>IF(INDEX(Match!P:P,MATCH(A105,Match!A:A,0))="OFF",0,1)</f>
        <v>1</v>
      </c>
    </row>
    <row r="106" spans="1:11">
      <c r="A106" s="4">
        <v>13</v>
      </c>
      <c r="B106" s="101">
        <f>IF(Match!B14="","",Match!B14)</f>
        <v>44556</v>
      </c>
      <c r="C106" s="584">
        <f t="shared" si="8"/>
        <v>1</v>
      </c>
      <c r="G106" s="168" t="str">
        <f t="shared" si="9"/>
        <v>Hartlepool</v>
      </c>
      <c r="H106" s="169" t="str">
        <f t="shared" si="10"/>
        <v>29/10</v>
      </c>
      <c r="I106" s="200">
        <f t="shared" si="11"/>
        <v>3.9</v>
      </c>
      <c r="J106" s="169">
        <f>INDEX(Picks!T:T,MATCH(G106,Picks!R:R,0))</f>
        <v>0</v>
      </c>
      <c r="K106" s="205">
        <f>IF(INDEX(Match!P:P,MATCH(A106,Match!A:A,0))="OFF",0,1)</f>
        <v>1</v>
      </c>
    </row>
    <row r="107" spans="1:11">
      <c r="A107" s="4">
        <v>14</v>
      </c>
      <c r="B107" s="101">
        <f>IF(Match!B15="","",Match!B15)</f>
        <v>44556</v>
      </c>
      <c r="C107" s="584">
        <f t="shared" si="8"/>
        <v>1</v>
      </c>
      <c r="G107" s="168" t="str">
        <f t="shared" si="9"/>
        <v>Scunthorpe</v>
      </c>
      <c r="H107" s="169" t="str">
        <f t="shared" si="10"/>
        <v>21/10</v>
      </c>
      <c r="I107" s="200">
        <f t="shared" si="11"/>
        <v>3.1</v>
      </c>
      <c r="J107" s="169">
        <f>INDEX(Picks!T:T,MATCH(G107,Picks!R:R,0))</f>
        <v>1</v>
      </c>
      <c r="K107" s="205">
        <f>IF(INDEX(Match!P:P,MATCH(A107,Match!A:A,0))="OFF",0,1)</f>
        <v>1</v>
      </c>
    </row>
    <row r="108" spans="1:11">
      <c r="A108" s="4">
        <v>15</v>
      </c>
      <c r="B108" s="101">
        <f>IF(Match!B16="","",Match!B16)</f>
        <v>44556</v>
      </c>
      <c r="C108" s="584">
        <f t="shared" si="8"/>
        <v>1</v>
      </c>
      <c r="G108" s="168" t="str">
        <f t="shared" si="9"/>
        <v>Barrow</v>
      </c>
      <c r="H108" s="169" t="str">
        <f t="shared" si="10"/>
        <v>23/10</v>
      </c>
      <c r="I108" s="200">
        <f t="shared" si="11"/>
        <v>3.3</v>
      </c>
      <c r="J108" s="169">
        <f>INDEX(Picks!T:T,MATCH(G108,Picks!R:R,0))</f>
        <v>0</v>
      </c>
      <c r="K108" s="205">
        <f>IF(INDEX(Match!P:P,MATCH(A108,Match!A:A,0))="OFF",0,1)</f>
        <v>1</v>
      </c>
    </row>
    <row r="109" spans="1:11">
      <c r="A109" s="4">
        <v>16</v>
      </c>
      <c r="B109" s="101">
        <f>IF(Match!B17="","",Match!B17)</f>
        <v>44556</v>
      </c>
      <c r="C109" s="584">
        <f t="shared" si="8"/>
        <v>1</v>
      </c>
      <c r="G109" s="168" t="str">
        <f t="shared" si="9"/>
        <v>Woking</v>
      </c>
      <c r="H109" s="169" t="str">
        <f t="shared" si="10"/>
        <v>7/4</v>
      </c>
      <c r="I109" s="200">
        <f t="shared" si="11"/>
        <v>2.75</v>
      </c>
      <c r="J109" s="169">
        <f>INDEX(Picks!T:T,MATCH(G109,Picks!R:R,0))</f>
        <v>0</v>
      </c>
      <c r="K109" s="205">
        <f>IF(INDEX(Match!P:P,MATCH(A109,Match!A:A,0))="OFF",0,1)</f>
        <v>1</v>
      </c>
    </row>
    <row r="110" spans="1:11">
      <c r="A110" s="4">
        <v>17</v>
      </c>
      <c r="B110" s="101">
        <f>IF(Match!B18="","",Match!B18)</f>
        <v>44556</v>
      </c>
      <c r="C110" s="584">
        <f t="shared" si="8"/>
        <v>1</v>
      </c>
      <c r="G110" s="168" t="str">
        <f t="shared" si="9"/>
        <v>Southend</v>
      </c>
      <c r="H110" s="169" t="str">
        <f t="shared" si="10"/>
        <v>15/4</v>
      </c>
      <c r="I110" s="200">
        <f t="shared" si="11"/>
        <v>4.75</v>
      </c>
      <c r="J110" s="169">
        <f>INDEX(Picks!T:T,MATCH(G110,Picks!R:R,0))</f>
        <v>0</v>
      </c>
      <c r="K110" s="205">
        <f>IF(INDEX(Match!P:P,MATCH(A110,Match!A:A,0))="OFF",0,1)</f>
        <v>1</v>
      </c>
    </row>
    <row r="111" spans="1:11">
      <c r="A111" s="4">
        <v>18</v>
      </c>
      <c r="B111" s="101">
        <f>IF(Match!B19="","",Match!B19)</f>
        <v>44556</v>
      </c>
      <c r="C111" s="584">
        <f t="shared" si="8"/>
        <v>1</v>
      </c>
      <c r="G111" s="168" t="str">
        <f t="shared" si="9"/>
        <v>Dagenham</v>
      </c>
      <c r="H111" s="169" t="str">
        <f t="shared" si="10"/>
        <v>11/18</v>
      </c>
      <c r="I111" s="200">
        <f t="shared" si="11"/>
        <v>1.6111111111111112</v>
      </c>
      <c r="J111" s="169">
        <f>INDEX(Picks!T:T,MATCH(G111,Picks!R:R,0))</f>
        <v>1</v>
      </c>
      <c r="K111" s="205">
        <f>IF(INDEX(Match!P:P,MATCH(A111,Match!A:A,0))="OFF",0,1)</f>
        <v>1</v>
      </c>
    </row>
    <row r="112" spans="1:11">
      <c r="A112" s="4">
        <v>19</v>
      </c>
      <c r="B112" s="101">
        <f>IF(Match!B20="","",Match!B20)</f>
        <v>44556</v>
      </c>
      <c r="C112" s="584">
        <f t="shared" si="8"/>
        <v>1</v>
      </c>
      <c r="G112" s="168" t="str">
        <f t="shared" si="9"/>
        <v>Altrincham</v>
      </c>
      <c r="H112" s="169" t="str">
        <f t="shared" si="10"/>
        <v>15/4</v>
      </c>
      <c r="I112" s="200">
        <f t="shared" si="11"/>
        <v>4.75</v>
      </c>
      <c r="J112" s="169">
        <f>INDEX(Picks!T:T,MATCH(G112,Picks!R:R,0))</f>
        <v>0</v>
      </c>
      <c r="K112" s="205">
        <f>IF(INDEX(Match!P:P,MATCH(A112,Match!A:A,0))="OFF",0,1)</f>
        <v>1</v>
      </c>
    </row>
    <row r="113" spans="1:11">
      <c r="A113" s="4">
        <v>20</v>
      </c>
      <c r="B113" s="101">
        <f>IF(Match!B21="","",Match!B21)</f>
        <v>44556</v>
      </c>
      <c r="C113" s="584">
        <f t="shared" si="8"/>
        <v>1</v>
      </c>
      <c r="G113" s="168" t="str">
        <f t="shared" si="9"/>
        <v>Yeovil</v>
      </c>
      <c r="H113" s="169" t="str">
        <f t="shared" si="10"/>
        <v>11/4</v>
      </c>
      <c r="I113" s="200">
        <f t="shared" si="11"/>
        <v>3.75</v>
      </c>
      <c r="J113" s="169">
        <f>INDEX(Picks!T:T,MATCH(G113,Picks!R:R,0))</f>
        <v>0</v>
      </c>
      <c r="K113" s="205">
        <f>IF(INDEX(Match!P:P,MATCH(A113,Match!A:A,0))="OFF",0,1)</f>
        <v>1</v>
      </c>
    </row>
    <row r="114" spans="1:11">
      <c r="A114" s="4">
        <v>21</v>
      </c>
      <c r="B114" s="101">
        <f>IF(Match!B22="","",Match!B22)</f>
        <v>44556</v>
      </c>
      <c r="C114" s="584">
        <f t="shared" si="8"/>
        <v>1</v>
      </c>
      <c r="G114" s="168" t="str">
        <f t="shared" si="9"/>
        <v>Everton</v>
      </c>
      <c r="H114" s="169" t="str">
        <f t="shared" si="10"/>
        <v>2/1</v>
      </c>
      <c r="I114" s="200">
        <f t="shared" si="11"/>
        <v>3</v>
      </c>
      <c r="J114" s="169">
        <f>INDEX(Picks!T:T,MATCH(G114,Picks!R:R,0))</f>
        <v>0</v>
      </c>
      <c r="K114" s="205">
        <f>IF(INDEX(Match!P:P,MATCH(A114,Match!A:A,0))="OFF",0,1)</f>
        <v>0</v>
      </c>
    </row>
    <row r="115" spans="1:11">
      <c r="A115" s="4">
        <v>22</v>
      </c>
      <c r="B115" s="101">
        <f>IF(Match!B23="","",Match!B23)</f>
        <v>44556</v>
      </c>
      <c r="C115" s="584">
        <f t="shared" si="8"/>
        <v>1</v>
      </c>
      <c r="G115" s="168" t="str">
        <f t="shared" si="9"/>
        <v>Leeds</v>
      </c>
      <c r="H115" s="169" t="str">
        <f t="shared" si="10"/>
        <v>16/1</v>
      </c>
      <c r="I115" s="200">
        <f t="shared" si="11"/>
        <v>17</v>
      </c>
      <c r="J115" s="169">
        <f>INDEX(Picks!T:T,MATCH(G115,Picks!R:R,0))</f>
        <v>0</v>
      </c>
      <c r="K115" s="205">
        <f>IF(INDEX(Match!P:P,MATCH(A115,Match!A:A,0))="OFF",0,1)</f>
        <v>0</v>
      </c>
    </row>
    <row r="116" spans="1:11">
      <c r="A116" s="4">
        <v>23</v>
      </c>
      <c r="B116" s="101">
        <f>IF(Match!B24="","",Match!B24)</f>
        <v>44556</v>
      </c>
      <c r="C116" s="584">
        <f t="shared" si="8"/>
        <v>1</v>
      </c>
      <c r="G116" s="168" t="str">
        <f t="shared" si="9"/>
        <v>Watford</v>
      </c>
      <c r="H116" s="169" t="str">
        <f t="shared" si="10"/>
        <v>10/3</v>
      </c>
      <c r="I116" s="200">
        <f t="shared" si="11"/>
        <v>4.3333333333333339</v>
      </c>
      <c r="J116" s="169">
        <f>INDEX(Picks!T:T,MATCH(G116,Picks!R:R,0))</f>
        <v>0</v>
      </c>
      <c r="K116" s="205">
        <f>IF(INDEX(Match!P:P,MATCH(A116,Match!A:A,0))="OFF",0,1)</f>
        <v>0</v>
      </c>
    </row>
    <row r="117" spans="1:11">
      <c r="A117" s="4">
        <v>24</v>
      </c>
      <c r="B117" s="101">
        <f>IF(Match!B25="","",Match!B25)</f>
        <v>44556</v>
      </c>
      <c r="C117" s="584">
        <f t="shared" si="8"/>
        <v>1</v>
      </c>
      <c r="G117" s="168" t="str">
        <f t="shared" si="9"/>
        <v>Stoke</v>
      </c>
      <c r="H117" s="169" t="str">
        <f t="shared" si="10"/>
        <v>6/5</v>
      </c>
      <c r="I117" s="200">
        <f t="shared" si="11"/>
        <v>2.2000000000000002</v>
      </c>
      <c r="J117" s="169">
        <f>INDEX(Picks!T:T,MATCH(G117,Picks!R:R,0))</f>
        <v>0</v>
      </c>
      <c r="K117" s="205">
        <f>IF(INDEX(Match!P:P,MATCH(A117,Match!A:A,0))="OFF",0,1)</f>
        <v>0</v>
      </c>
    </row>
    <row r="118" spans="1:11">
      <c r="A118" s="4">
        <v>25</v>
      </c>
      <c r="B118" s="101">
        <f>IF(Match!B26="","",Match!B26)</f>
        <v>44556</v>
      </c>
      <c r="C118" s="584">
        <f t="shared" si="8"/>
        <v>1</v>
      </c>
      <c r="G118" s="168" t="str">
        <f t="shared" si="9"/>
        <v>Coventry</v>
      </c>
      <c r="H118" s="169" t="str">
        <f t="shared" si="10"/>
        <v>15/8</v>
      </c>
      <c r="I118" s="200">
        <f t="shared" si="11"/>
        <v>2.875</v>
      </c>
      <c r="J118" s="169">
        <f>INDEX(Picks!T:T,MATCH(G118,Picks!R:R,0))</f>
        <v>0</v>
      </c>
      <c r="K118" s="205">
        <f>IF(INDEX(Match!P:P,MATCH(A118,Match!A:A,0))="OFF",0,1)</f>
        <v>0</v>
      </c>
    </row>
    <row r="119" spans="1:11">
      <c r="A119" s="4">
        <v>26</v>
      </c>
      <c r="B119" s="101">
        <f>IF(Match!B27="","",Match!B27)</f>
        <v>44556</v>
      </c>
      <c r="C119" s="584">
        <f t="shared" si="8"/>
        <v>1</v>
      </c>
      <c r="G119" s="168" t="str">
        <f t="shared" si="9"/>
        <v>Birmingham</v>
      </c>
      <c r="H119" s="169" t="str">
        <f t="shared" si="10"/>
        <v>13/2</v>
      </c>
      <c r="I119" s="200">
        <f t="shared" si="11"/>
        <v>7.5</v>
      </c>
      <c r="J119" s="169">
        <f>INDEX(Picks!T:T,MATCH(G119,Picks!R:R,0))</f>
        <v>0</v>
      </c>
      <c r="K119" s="205">
        <f>IF(INDEX(Match!P:P,MATCH(A119,Match!A:A,0))="OFF",0,1)</f>
        <v>0</v>
      </c>
    </row>
    <row r="120" spans="1:11">
      <c r="A120" s="4">
        <v>27</v>
      </c>
      <c r="B120" s="101">
        <f>IF(Match!B28="","",Match!B28)</f>
        <v>44556</v>
      </c>
      <c r="C120" s="584">
        <f t="shared" si="8"/>
        <v>1</v>
      </c>
      <c r="G120" s="168" t="str">
        <f t="shared" si="9"/>
        <v>Blackburn</v>
      </c>
      <c r="H120" s="169" t="str">
        <f t="shared" si="10"/>
        <v>7/5</v>
      </c>
      <c r="I120" s="200">
        <f t="shared" si="11"/>
        <v>2.4</v>
      </c>
      <c r="J120" s="169">
        <f>INDEX(Picks!T:T,MATCH(G120,Picks!R:R,0))</f>
        <v>0</v>
      </c>
      <c r="K120" s="205">
        <f>IF(INDEX(Match!P:P,MATCH(A120,Match!A:A,0))="OFF",0,1)</f>
        <v>0</v>
      </c>
    </row>
    <row r="121" spans="1:11">
      <c r="A121" s="4">
        <v>28</v>
      </c>
      <c r="B121" s="101">
        <f>IF(Match!B29="","",Match!B29)</f>
        <v>44556</v>
      </c>
      <c r="C121" s="584">
        <f t="shared" si="8"/>
        <v>1</v>
      </c>
      <c r="G121" s="168" t="str">
        <f t="shared" si="9"/>
        <v>Bristol C</v>
      </c>
      <c r="H121" s="169" t="str">
        <f t="shared" si="10"/>
        <v>4/1</v>
      </c>
      <c r="I121" s="200">
        <f t="shared" si="11"/>
        <v>5</v>
      </c>
      <c r="J121" s="169">
        <f>INDEX(Picks!T:T,MATCH(G121,Picks!R:R,0))</f>
        <v>0</v>
      </c>
      <c r="K121" s="205">
        <f>IF(INDEX(Match!P:P,MATCH(A121,Match!A:A,0))="OFF",0,1)</f>
        <v>0</v>
      </c>
    </row>
    <row r="122" spans="1:11">
      <c r="A122" s="4">
        <v>29</v>
      </c>
      <c r="B122" s="101">
        <f>IF(Match!B30="","",Match!B30)</f>
        <v>44556</v>
      </c>
      <c r="C122" s="584">
        <f t="shared" si="8"/>
        <v>1</v>
      </c>
      <c r="G122" s="168" t="str">
        <f t="shared" si="9"/>
        <v>Swansea</v>
      </c>
      <c r="H122" s="169" t="str">
        <f t="shared" si="10"/>
        <v>21/10</v>
      </c>
      <c r="I122" s="200">
        <f t="shared" si="11"/>
        <v>3.1</v>
      </c>
      <c r="J122" s="169">
        <f>INDEX(Picks!T:T,MATCH(G122,Picks!R:R,0))</f>
        <v>0</v>
      </c>
      <c r="K122" s="205">
        <f>IF(INDEX(Match!P:P,MATCH(A122,Match!A:A,0))="OFF",0,1)</f>
        <v>0</v>
      </c>
    </row>
    <row r="123" spans="1:11">
      <c r="A123" s="4">
        <v>30</v>
      </c>
      <c r="B123" s="101">
        <f>IF(Match!B31="","",Match!B31)</f>
        <v>44556</v>
      </c>
      <c r="C123" s="584">
        <f t="shared" si="8"/>
        <v>1</v>
      </c>
      <c r="G123" s="168" t="str">
        <f t="shared" si="9"/>
        <v>Reading</v>
      </c>
      <c r="H123" s="169" t="str">
        <f t="shared" si="10"/>
        <v>9/5</v>
      </c>
      <c r="I123" s="200">
        <f t="shared" si="11"/>
        <v>2.8</v>
      </c>
      <c r="J123" s="169">
        <f>INDEX(Picks!T:T,MATCH(G123,Picks!R:R,0))</f>
        <v>0</v>
      </c>
      <c r="K123" s="205">
        <f>IF(INDEX(Match!P:P,MATCH(A123,Match!A:A,0))="OFF",0,1)</f>
        <v>0</v>
      </c>
    </row>
    <row r="124" spans="1:11">
      <c r="A124" s="4">
        <v>31</v>
      </c>
      <c r="B124" s="101">
        <f>IF(Match!B32="","",Match!B32)</f>
        <v>44556</v>
      </c>
      <c r="C124" s="584">
        <f t="shared" si="8"/>
        <v>1</v>
      </c>
      <c r="G124" s="168" t="str">
        <f t="shared" si="9"/>
        <v>Sheff U</v>
      </c>
      <c r="H124" s="169" t="str">
        <f t="shared" si="10"/>
        <v>11/8</v>
      </c>
      <c r="I124" s="200">
        <f t="shared" si="11"/>
        <v>2.375</v>
      </c>
      <c r="J124" s="169">
        <f>INDEX(Picks!T:T,MATCH(G124,Picks!R:R,0))</f>
        <v>0</v>
      </c>
      <c r="K124" s="205">
        <f>IF(INDEX(Match!P:P,MATCH(A124,Match!A:A,0))="OFF",0,1)</f>
        <v>0</v>
      </c>
    </row>
    <row r="125" spans="1:11">
      <c r="A125" s="4">
        <v>32</v>
      </c>
      <c r="B125" s="101">
        <f>IF(Match!B33="","",Match!B33)</f>
        <v>44556</v>
      </c>
      <c r="C125" s="584">
        <f t="shared" si="8"/>
        <v>1</v>
      </c>
      <c r="G125" s="168" t="str">
        <f t="shared" si="9"/>
        <v>Morecambe</v>
      </c>
      <c r="H125" s="169" t="str">
        <f t="shared" si="10"/>
        <v>9/2</v>
      </c>
      <c r="I125" s="200">
        <f t="shared" si="11"/>
        <v>5.5</v>
      </c>
      <c r="J125" s="169">
        <f>INDEX(Picks!T:T,MATCH(G125,Picks!R:R,0))</f>
        <v>0</v>
      </c>
      <c r="K125" s="205">
        <f>IF(INDEX(Match!P:P,MATCH(A125,Match!A:A,0))="OFF",0,1)</f>
        <v>0</v>
      </c>
    </row>
    <row r="126" spans="1:11">
      <c r="A126" s="4">
        <v>33</v>
      </c>
      <c r="B126" s="101">
        <f>IF(Match!B34="","",Match!B34)</f>
        <v>44556</v>
      </c>
      <c r="C126" s="584">
        <f t="shared" si="8"/>
        <v>1</v>
      </c>
      <c r="G126" s="168" t="str">
        <f t="shared" si="9"/>
        <v>Wigan</v>
      </c>
      <c r="H126" s="169" t="str">
        <f t="shared" si="10"/>
        <v>8/13</v>
      </c>
      <c r="I126" s="200">
        <f t="shared" si="11"/>
        <v>1.6153846153846154</v>
      </c>
      <c r="J126" s="169">
        <f>INDEX(Picks!T:T,MATCH(G126,Picks!R:R,0))</f>
        <v>0</v>
      </c>
      <c r="K126" s="205">
        <f>IF(INDEX(Match!P:P,MATCH(A126,Match!A:A,0))="OFF",0,1)</f>
        <v>0</v>
      </c>
    </row>
    <row r="127" spans="1:11">
      <c r="A127" s="4">
        <v>34</v>
      </c>
      <c r="B127" s="101">
        <f>IF(Match!B35="","",Match!B35)</f>
        <v>44556</v>
      </c>
      <c r="C127" s="584">
        <f t="shared" si="8"/>
        <v>1</v>
      </c>
      <c r="G127" s="168" t="str">
        <f t="shared" si="9"/>
        <v>Ipswich</v>
      </c>
      <c r="H127" s="169" t="str">
        <f t="shared" si="10"/>
        <v>10/11</v>
      </c>
      <c r="I127" s="200">
        <f t="shared" si="11"/>
        <v>1.9090909090909092</v>
      </c>
      <c r="J127" s="169">
        <f>INDEX(Picks!T:T,MATCH(G127,Picks!R:R,0))</f>
        <v>0</v>
      </c>
      <c r="K127" s="205">
        <f>IF(INDEX(Match!P:P,MATCH(A127,Match!A:A,0))="OFF",0,1)</f>
        <v>0</v>
      </c>
    </row>
    <row r="128" spans="1:11">
      <c r="A128" s="4">
        <v>35</v>
      </c>
      <c r="B128" s="101">
        <f>IF(Match!B36="","",Match!B36)</f>
        <v>44556</v>
      </c>
      <c r="C128" s="584">
        <f t="shared" si="8"/>
        <v>1</v>
      </c>
      <c r="G128" s="168" t="str">
        <f t="shared" si="9"/>
        <v>Oxford</v>
      </c>
      <c r="H128" s="169" t="str">
        <f t="shared" si="10"/>
        <v>17/10</v>
      </c>
      <c r="I128" s="200">
        <f t="shared" si="11"/>
        <v>2.7</v>
      </c>
      <c r="J128" s="169">
        <f>INDEX(Picks!T:T,MATCH(G128,Picks!R:R,0))</f>
        <v>0</v>
      </c>
      <c r="K128" s="205">
        <f>IF(INDEX(Match!P:P,MATCH(A128,Match!A:A,0))="OFF",0,1)</f>
        <v>0</v>
      </c>
    </row>
    <row r="129" spans="1:11">
      <c r="A129" s="4">
        <v>36</v>
      </c>
      <c r="B129" s="101">
        <f>IF(Match!B37="","",Match!B37)</f>
        <v>44556</v>
      </c>
      <c r="C129" s="584">
        <f t="shared" si="8"/>
        <v>1</v>
      </c>
      <c r="G129" s="168" t="str">
        <f t="shared" si="9"/>
        <v>Burton</v>
      </c>
      <c r="H129" s="169" t="str">
        <f t="shared" si="10"/>
        <v>18/5</v>
      </c>
      <c r="I129" s="200">
        <f t="shared" si="11"/>
        <v>4.5999999999999996</v>
      </c>
      <c r="J129" s="169">
        <f>INDEX(Picks!T:T,MATCH(G129,Picks!R:R,0))</f>
        <v>0</v>
      </c>
      <c r="K129" s="205">
        <f>IF(INDEX(Match!P:P,MATCH(A129,Match!A:A,0))="OFF",0,1)</f>
        <v>0</v>
      </c>
    </row>
    <row r="130" spans="1:11">
      <c r="A130" s="4">
        <v>37</v>
      </c>
      <c r="B130" s="101">
        <f>IF(Match!B38="","",Match!B38)</f>
        <v>44556</v>
      </c>
      <c r="C130" s="584">
        <f t="shared" si="8"/>
        <v>1</v>
      </c>
      <c r="G130" s="168" t="str">
        <f t="shared" si="9"/>
        <v>Charlton</v>
      </c>
      <c r="H130" s="169" t="str">
        <f t="shared" si="10"/>
        <v>6/4</v>
      </c>
      <c r="I130" s="200">
        <f t="shared" si="11"/>
        <v>2.5</v>
      </c>
      <c r="J130" s="169">
        <f>INDEX(Picks!T:T,MATCH(G130,Picks!R:R,0))</f>
        <v>0</v>
      </c>
      <c r="K130" s="205">
        <f>IF(INDEX(Match!P:P,MATCH(A130,Match!A:A,0))="OFF",0,1)</f>
        <v>0</v>
      </c>
    </row>
    <row r="131" spans="1:11">
      <c r="A131" s="4">
        <v>38</v>
      </c>
      <c r="B131" s="101">
        <f>IF(Match!B39="","",Match!B39)</f>
        <v>44556</v>
      </c>
      <c r="C131" s="584">
        <f t="shared" ref="C131:C139" si="12">IF(B131="","",WEEKDAY(B131))</f>
        <v>1</v>
      </c>
      <c r="G131" s="168" t="str">
        <f t="shared" si="9"/>
        <v>Cambridge</v>
      </c>
      <c r="H131" s="169" t="str">
        <f t="shared" si="10"/>
        <v>19/5</v>
      </c>
      <c r="I131" s="200">
        <f t="shared" si="11"/>
        <v>4.8</v>
      </c>
      <c r="J131" s="169">
        <f>INDEX(Picks!T:T,MATCH(G131,Picks!R:R,0))</f>
        <v>0</v>
      </c>
      <c r="K131" s="205">
        <f>IF(INDEX(Match!P:P,MATCH(A131,Match!A:A,0))="OFF",0,1)</f>
        <v>0</v>
      </c>
    </row>
    <row r="132" spans="1:11">
      <c r="A132" s="4">
        <v>39</v>
      </c>
      <c r="B132" s="101">
        <f>IF(Match!B40="","",Match!B40)</f>
        <v>44556</v>
      </c>
      <c r="C132" s="584">
        <f t="shared" si="12"/>
        <v>1</v>
      </c>
      <c r="G132" s="168" t="str">
        <f t="shared" si="9"/>
        <v>Harrogate</v>
      </c>
      <c r="H132" s="169" t="str">
        <f t="shared" si="10"/>
        <v>2/1</v>
      </c>
      <c r="I132" s="200">
        <f t="shared" si="11"/>
        <v>3</v>
      </c>
      <c r="J132" s="169">
        <f>INDEX(Picks!T:T,MATCH(G132,Picks!R:R,0))</f>
        <v>0</v>
      </c>
      <c r="K132" s="205">
        <f>IF(INDEX(Match!P:P,MATCH(A132,Match!A:A,0))="OFF",0,1)</f>
        <v>0</v>
      </c>
    </row>
    <row r="133" spans="1:11">
      <c r="A133" s="4">
        <v>40</v>
      </c>
      <c r="B133" s="101">
        <f>IF(Match!B41="","",Match!B41)</f>
        <v>44556</v>
      </c>
      <c r="C133" s="584">
        <f t="shared" si="12"/>
        <v>1</v>
      </c>
      <c r="G133" s="168" t="str">
        <f t="shared" si="9"/>
        <v>Sutton</v>
      </c>
      <c r="H133" s="169" t="str">
        <f t="shared" si="10"/>
        <v>17/10</v>
      </c>
      <c r="I133" s="200">
        <f t="shared" si="11"/>
        <v>2.7</v>
      </c>
      <c r="J133" s="169">
        <f>INDEX(Picks!T:T,MATCH(G133,Picks!R:R,0))</f>
        <v>0</v>
      </c>
      <c r="K133" s="205">
        <f>IF(INDEX(Match!P:P,MATCH(A133,Match!A:A,0))="OFF",0,1)</f>
        <v>0</v>
      </c>
    </row>
    <row r="134" spans="1:11">
      <c r="A134" s="4">
        <v>41</v>
      </c>
      <c r="B134" s="101">
        <f>IF(Match!B42="","",Match!B42)</f>
        <v>44556</v>
      </c>
      <c r="C134" s="584">
        <f t="shared" si="12"/>
        <v>1</v>
      </c>
      <c r="G134" s="168" t="str">
        <f t="shared" si="9"/>
        <v>Rochdale</v>
      </c>
      <c r="H134" s="169" t="str">
        <f t="shared" si="10"/>
        <v>6/4</v>
      </c>
      <c r="I134" s="200">
        <f t="shared" si="11"/>
        <v>2.5</v>
      </c>
      <c r="J134" s="169">
        <f>INDEX(Picks!T:T,MATCH(G134,Picks!R:R,0))</f>
        <v>0</v>
      </c>
      <c r="K134" s="205">
        <f>IF(INDEX(Match!P:P,MATCH(A134,Match!A:A,0))="OFF",0,1)</f>
        <v>0</v>
      </c>
    </row>
    <row r="135" spans="1:11">
      <c r="A135" s="4">
        <v>42</v>
      </c>
      <c r="B135" s="101">
        <f>IF(Match!B43="","",Match!B43)</f>
        <v>44556</v>
      </c>
      <c r="C135" s="584">
        <f t="shared" si="12"/>
        <v>1</v>
      </c>
      <c r="G135" s="168" t="str">
        <f t="shared" si="9"/>
        <v>Orient</v>
      </c>
      <c r="H135" s="169" t="str">
        <f t="shared" si="10"/>
        <v>21/20</v>
      </c>
      <c r="I135" s="200">
        <f t="shared" si="11"/>
        <v>2.0499999999999998</v>
      </c>
      <c r="J135" s="169">
        <f>INDEX(Picks!T:T,MATCH(G135,Picks!R:R,0))</f>
        <v>0</v>
      </c>
      <c r="K135" s="205">
        <f>IF(INDEX(Match!P:P,MATCH(A135,Match!A:A,0))="OFF",0,1)</f>
        <v>0</v>
      </c>
    </row>
    <row r="136" spans="1:11">
      <c r="A136" s="4">
        <v>43</v>
      </c>
      <c r="B136" s="101">
        <f>IF(Match!B44="","",Match!B44)</f>
        <v>44556</v>
      </c>
      <c r="C136" s="584">
        <f t="shared" si="12"/>
        <v>1</v>
      </c>
      <c r="G136" s="168" t="str">
        <f t="shared" si="9"/>
        <v>Swindon</v>
      </c>
      <c r="H136" s="169" t="str">
        <f t="shared" si="10"/>
        <v>9/4</v>
      </c>
      <c r="I136" s="200">
        <f t="shared" si="11"/>
        <v>3.25</v>
      </c>
      <c r="J136" s="169">
        <f>INDEX(Picks!T:T,MATCH(G136,Picks!R:R,0))</f>
        <v>0</v>
      </c>
      <c r="K136" s="205">
        <f>IF(INDEX(Match!P:P,MATCH(A136,Match!A:A,0))="OFF",0,1)</f>
        <v>0</v>
      </c>
    </row>
    <row r="137" spans="1:11">
      <c r="A137" s="4">
        <v>44</v>
      </c>
      <c r="B137" s="101">
        <f>IF(Match!B45="","",Match!B45)</f>
        <v>44556</v>
      </c>
      <c r="C137" s="584">
        <f t="shared" si="12"/>
        <v>1</v>
      </c>
      <c r="G137" s="168" t="str">
        <f t="shared" si="9"/>
        <v>Forest Green</v>
      </c>
      <c r="H137" s="169" t="str">
        <f t="shared" si="10"/>
        <v>8/5</v>
      </c>
      <c r="I137" s="200">
        <f t="shared" si="11"/>
        <v>2.6</v>
      </c>
      <c r="J137" s="169">
        <f>INDEX(Picks!T:T,MATCH(G137,Picks!R:R,0))</f>
        <v>0</v>
      </c>
      <c r="K137" s="205">
        <f>IF(INDEX(Match!P:P,MATCH(A137,Match!A:A,0))="OFF",0,1)</f>
        <v>0</v>
      </c>
    </row>
    <row r="138" spans="1:11">
      <c r="A138" s="4">
        <v>45</v>
      </c>
      <c r="B138" s="101">
        <f>IF(Match!B46="","",Match!B46)</f>
        <v>44556</v>
      </c>
      <c r="C138" s="584">
        <f t="shared" si="12"/>
        <v>1</v>
      </c>
      <c r="G138" s="168" t="str">
        <f t="shared" si="9"/>
        <v>Walsall</v>
      </c>
      <c r="H138" s="169" t="str">
        <f t="shared" si="10"/>
        <v>13/5</v>
      </c>
      <c r="I138" s="200">
        <f t="shared" si="11"/>
        <v>3.6</v>
      </c>
      <c r="J138" s="169">
        <f>INDEX(Picks!T:T,MATCH(G138,Picks!R:R,0))</f>
        <v>0</v>
      </c>
      <c r="K138" s="205">
        <f>IF(INDEX(Match!P:P,MATCH(A138,Match!A:A,0))="OFF",0,1)</f>
        <v>0</v>
      </c>
    </row>
    <row r="139" spans="1:11">
      <c r="A139" s="4">
        <v>46</v>
      </c>
      <c r="B139" s="101">
        <f>IF(Match!B47="","",Match!B47)</f>
        <v>44556</v>
      </c>
      <c r="C139" s="584">
        <f t="shared" si="12"/>
        <v>1</v>
      </c>
      <c r="G139" s="168" t="str">
        <f t="shared" si="9"/>
        <v>Salford</v>
      </c>
      <c r="H139" s="169" t="str">
        <f t="shared" si="10"/>
        <v>12/5</v>
      </c>
      <c r="I139" s="200">
        <f t="shared" si="11"/>
        <v>3.4</v>
      </c>
      <c r="J139" s="169">
        <f>INDEX(Picks!T:T,MATCH(G139,Picks!R:R,0))</f>
        <v>0</v>
      </c>
      <c r="K139" s="205">
        <f>IF(INDEX(Match!P:P,MATCH(A139,Match!A:A,0))="OFF",0,1)</f>
        <v>0</v>
      </c>
    </row>
  </sheetData>
  <phoneticPr fontId="0" type="noConversion"/>
  <printOptions gridLines="1"/>
  <pageMargins left="0.74803149606299213" right="0.74803149606299213" top="1.3779527559055118" bottom="0.98425196850393704" header="0.51181102362204722" footer="0.51181102362204722"/>
  <pageSetup paperSize="9" orientation="portrait" r:id="rId1"/>
  <headerFooter alignWithMargins="0">
    <oddHeader>&amp;L&amp;G&amp;C&amp;16&amp;K7030A0
Current odds</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pageSetUpPr fitToPage="1"/>
  </sheetPr>
  <dimension ref="A1:AN289"/>
  <sheetViews>
    <sheetView zoomScale="80" zoomScaleNormal="80" workbookViewId="0">
      <pane ySplit="1" topLeftCell="A25" activePane="bottomLeft" state="frozen"/>
      <selection activeCell="A194" sqref="A194"/>
      <selection pane="bottomLeft" activeCell="A32" sqref="A32"/>
    </sheetView>
  </sheetViews>
  <sheetFormatPr defaultColWidth="9.1328125" defaultRowHeight="13.15"/>
  <cols>
    <col min="1" max="1" width="22.1328125" style="11" bestFit="1" customWidth="1"/>
    <col min="2" max="2" width="20.3984375" style="15" customWidth="1"/>
    <col min="3" max="3" width="10.265625" style="19" customWidth="1"/>
    <col min="4" max="4" width="9.1328125" style="20" customWidth="1"/>
    <col min="5" max="5" width="8.59765625" style="11" customWidth="1"/>
    <col min="6" max="6" width="8.59765625" style="144" customWidth="1"/>
    <col min="7" max="7" width="8.86328125" style="11" customWidth="1"/>
    <col min="8" max="8" width="8.265625" style="505" customWidth="1"/>
    <col min="9" max="9" width="9.3984375" style="413" customWidth="1"/>
    <col min="10" max="10" width="29.265625" style="15" customWidth="1"/>
    <col min="11" max="11" width="10.73046875" style="11" customWidth="1"/>
    <col min="12" max="12" width="10.86328125" style="193" customWidth="1"/>
    <col min="13" max="13" width="6.59765625" style="11" customWidth="1"/>
    <col min="14" max="14" width="9" style="21" customWidth="1"/>
    <col min="15" max="15" width="29.265625" style="21" customWidth="1"/>
    <col min="16" max="16" width="38.73046875" style="9" hidden="1" customWidth="1"/>
    <col min="17" max="17" width="3.59765625" style="62" hidden="1" customWidth="1"/>
    <col min="18" max="18" width="25.73046875" style="9" hidden="1" customWidth="1"/>
    <col min="19" max="19" width="11.1328125" style="9" hidden="1" customWidth="1"/>
    <col min="20" max="20" width="7" style="11" hidden="1" customWidth="1"/>
    <col min="21" max="21" width="20.73046875" style="9" hidden="1" customWidth="1"/>
    <col min="22" max="22" width="9.265625" style="9" hidden="1" customWidth="1"/>
    <col min="23" max="23" width="16.3984375" style="9" hidden="1" customWidth="1"/>
    <col min="24" max="24" width="8.86328125" style="9" hidden="1" customWidth="1"/>
    <col min="25" max="25" width="10.86328125" style="9" hidden="1" customWidth="1"/>
    <col min="26" max="26" width="20.1328125" style="9" hidden="1" customWidth="1"/>
    <col min="27" max="27" width="6.265625" style="11" hidden="1" customWidth="1"/>
    <col min="28" max="29" width="9.46484375" style="11" customWidth="1"/>
    <col min="30" max="30" width="21.86328125" style="9" customWidth="1"/>
    <col min="31" max="31" width="12.59765625" style="9" customWidth="1"/>
    <col min="32" max="32" width="12.59765625" style="319" customWidth="1"/>
    <col min="33" max="33" width="8" style="9" customWidth="1"/>
    <col min="34" max="34" width="3.73046875" style="9" customWidth="1"/>
    <col min="35" max="35" width="21.86328125" style="9" customWidth="1"/>
    <col min="36" max="37" width="12.59765625" style="9" customWidth="1"/>
    <col min="38" max="38" width="7.73046875" style="9" customWidth="1"/>
    <col min="39" max="16384" width="9.1328125" style="9"/>
  </cols>
  <sheetData>
    <row r="1" spans="1:40" s="22" customFormat="1" ht="55.5" customHeight="1" thickTop="1" thickBot="1">
      <c r="A1" s="530" t="s">
        <v>16</v>
      </c>
      <c r="B1" s="530" t="s">
        <v>25</v>
      </c>
      <c r="C1" s="531" t="s">
        <v>477</v>
      </c>
      <c r="D1" s="532" t="s">
        <v>165</v>
      </c>
      <c r="E1" s="533" t="s">
        <v>272</v>
      </c>
      <c r="F1" s="533" t="s">
        <v>28</v>
      </c>
      <c r="G1" s="534" t="s">
        <v>169</v>
      </c>
      <c r="H1" s="234">
        <f>entrants-SUM(H2:H187)</f>
        <v>5</v>
      </c>
      <c r="I1" s="416" t="s">
        <v>368</v>
      </c>
      <c r="J1" s="594" t="s">
        <v>478</v>
      </c>
      <c r="K1" s="226" t="s">
        <v>54</v>
      </c>
      <c r="L1" s="227" t="s">
        <v>55</v>
      </c>
      <c r="M1" s="228" t="s">
        <v>17</v>
      </c>
      <c r="N1" s="228" t="s">
        <v>53</v>
      </c>
      <c r="O1" s="661" t="s">
        <v>479</v>
      </c>
      <c r="P1" s="660" t="s">
        <v>19</v>
      </c>
      <c r="Q1" s="229"/>
      <c r="R1" s="230" t="s">
        <v>48</v>
      </c>
      <c r="S1" s="231" t="s">
        <v>31</v>
      </c>
      <c r="T1" s="232" t="s">
        <v>52</v>
      </c>
      <c r="U1" s="22" t="s">
        <v>20</v>
      </c>
      <c r="V1" s="22" t="s">
        <v>44</v>
      </c>
      <c r="W1" s="22" t="s">
        <v>21</v>
      </c>
      <c r="X1" s="22" t="s">
        <v>45</v>
      </c>
      <c r="AA1" s="233"/>
      <c r="AB1" s="662"/>
      <c r="AC1" s="696" t="s">
        <v>527</v>
      </c>
      <c r="AD1" s="225" t="s">
        <v>193</v>
      </c>
      <c r="AE1" s="417" t="s">
        <v>370</v>
      </c>
      <c r="AF1" s="480" t="s">
        <v>444</v>
      </c>
      <c r="AG1" s="417" t="s">
        <v>372</v>
      </c>
      <c r="AI1" s="225" t="s">
        <v>16</v>
      </c>
      <c r="AJ1" s="417" t="s">
        <v>371</v>
      </c>
      <c r="AK1" s="480" t="s">
        <v>444</v>
      </c>
      <c r="AL1" s="417" t="s">
        <v>372</v>
      </c>
      <c r="AN1" s="22">
        <f>COUNTIF(F2:F187,-10)</f>
        <v>5</v>
      </c>
    </row>
    <row r="2" spans="1:40" ht="13.9" thickTop="1" thickBot="1">
      <c r="A2" s="484" t="str">
        <f>Results!B2</f>
        <v>Alan Bond</v>
      </c>
      <c r="B2" s="502" t="str">
        <f>IF(J2="","",TRIM(CLEAN(J2)))</f>
        <v>Brighton</v>
      </c>
      <c r="C2" s="586">
        <f>IF(J2="","",INDEX(Odds!C:C,MATCH(J2,Odds!G:G,0)))</f>
        <v>1</v>
      </c>
      <c r="D2" s="485">
        <f>IF(J2="","",L2)</f>
        <v>1.85</v>
      </c>
      <c r="E2" s="506" t="str">
        <f>IF(J2="","",IF(M2=1,"√","x"))</f>
        <v>√</v>
      </c>
      <c r="F2" s="415">
        <f>IF(J2="",-10,INDEX(Results!T:T,MATCH(A2,Results!V:V,0)))</f>
        <v>-5.15</v>
      </c>
      <c r="G2" s="216">
        <f>IF(J2="","",INDEX(Results!AI:AI,MATCH(A2,Results!V:V,0)))</f>
        <v>17.080000000000005</v>
      </c>
      <c r="H2" s="235">
        <f>IF(G2="",0,1)</f>
        <v>1</v>
      </c>
      <c r="I2" s="411">
        <f>INDEX(Picks!AG:AG,MATCH(A2,Picks!AD:AD,0))</f>
        <v>46</v>
      </c>
      <c r="J2" s="486" t="s">
        <v>607</v>
      </c>
      <c r="K2" s="217" t="str">
        <f>INDEX(Odds!H:H,MATCH(J2,Odds!G:G,0))</f>
        <v>17/20</v>
      </c>
      <c r="L2" s="487">
        <f>INDEX(Odds!I:I,MATCH(J2,Odds!G:G,0))</f>
        <v>1.85</v>
      </c>
      <c r="M2" s="488">
        <f>INDEX(Odds!J:J,MATCH(J2,Odds!G:G,0))</f>
        <v>1</v>
      </c>
      <c r="N2" s="489">
        <f>L2*M2</f>
        <v>1.85</v>
      </c>
      <c r="O2" s="657"/>
      <c r="P2" s="654" t="str">
        <f>IF(Match!B2="","",Match!V2)</f>
        <v xml:space="preserve">Brighton 2-0 Brentford </v>
      </c>
      <c r="Q2" s="96"/>
      <c r="R2" s="41" t="str">
        <f>IF(Odds!G2="","",Odds!G2)</f>
        <v>Brighton</v>
      </c>
      <c r="S2" s="42" t="str">
        <f>INDEX(Odds!H:H,MATCH(R2,Odds!G:G,0))</f>
        <v>17/20</v>
      </c>
      <c r="T2" s="43">
        <f t="shared" ref="T2:T46" si="0">IF(V2&gt;X2,1,0)</f>
        <v>1</v>
      </c>
      <c r="U2" s="22" t="str">
        <f>INDEX(Match!Q:Q,MATCH(P2,Match!V:V,0))</f>
        <v>Brighton</v>
      </c>
      <c r="V2" s="22">
        <f>INDEX(Match!G:G,MATCH(P2,Match!V:V,0))</f>
        <v>2</v>
      </c>
      <c r="W2" s="22" t="str">
        <f>INDEX(Match!R:R,MATCH(P2,Match!V:V,0))</f>
        <v>Brentford</v>
      </c>
      <c r="X2" s="22">
        <f>INDEX(Match!H:H,MATCH(P2,Match!V:V,0))</f>
        <v>0</v>
      </c>
      <c r="AB2" s="663" t="str">
        <f>IF(O2="","",INDEX(Odds!H:H,MATCH(O2,Odds!G:G,0)))</f>
        <v/>
      </c>
      <c r="AC2" s="694">
        <f>IF(J2="","",INDEX(Odds!K:K,MATCH(J2,Odds!G:G,0)))</f>
        <v>1</v>
      </c>
      <c r="AD2" s="74" t="s">
        <v>553</v>
      </c>
      <c r="AE2" s="77">
        <f>INDEX(Picks!F:F,MATCH(AD2,Picks!A:A,0))</f>
        <v>21.781818181818181</v>
      </c>
      <c r="AF2" s="481">
        <f>INDEX(Weekly!I:I,MATCH(AD2,Weekly!E:E,0))</f>
        <v>3</v>
      </c>
      <c r="AG2" s="74">
        <f t="shared" ref="AG2:AG33" si="1">IF(AE2=-10,"",_xlfn.RANK.EQ(AE2,TopScores,0))</f>
        <v>1</v>
      </c>
      <c r="AI2" s="76" t="s">
        <v>547</v>
      </c>
      <c r="AJ2" s="77" t="str">
        <f>INDEX(Picks!G:G,MATCH(AI2,Picks!A:A,0))</f>
        <v/>
      </c>
      <c r="AK2" s="481">
        <f>INDEX(Weekly!I:I,MATCH(AI2,Weekly!E:E,0))</f>
        <v>0</v>
      </c>
      <c r="AL2" s="74" t="str">
        <f t="shared" ref="AL2:AL33" si="2">IF(AJ2="","",_xlfn.RANK.EQ(AJ2,TopMaxScores,0))</f>
        <v/>
      </c>
    </row>
    <row r="3" spans="1:40">
      <c r="A3" s="490" t="str">
        <f>A2</f>
        <v>Alan Bond</v>
      </c>
      <c r="B3" s="491" t="str">
        <f t="shared" ref="B3:B59" si="3">IF(J3="","",J3)</f>
        <v>West ham</v>
      </c>
      <c r="C3" s="586">
        <f>IF(J3="","",INDEX(Odds!C:C,MATCH(J3,Odds!G:G,0)))</f>
        <v>1</v>
      </c>
      <c r="D3" s="492">
        <f t="shared" ref="D3:D60" si="4">IF(J3="","",L3)</f>
        <v>1.75</v>
      </c>
      <c r="E3" s="507" t="str">
        <f t="shared" ref="E3:E66" si="5">IF(J3="","",IF(M3=1,"√","x"))</f>
        <v>x</v>
      </c>
      <c r="F3" s="493"/>
      <c r="G3" s="494"/>
      <c r="H3" s="235"/>
      <c r="I3" s="412"/>
      <c r="J3" s="486" t="s">
        <v>654</v>
      </c>
      <c r="K3" s="218" t="str">
        <f>INDEX(Odds!H:H,MATCH(J3,Odds!G:G,0))</f>
        <v>3/4</v>
      </c>
      <c r="L3" s="495">
        <f>INDEX(Odds!I:I,MATCH(J3,Odds!G:G,0))</f>
        <v>1.75</v>
      </c>
      <c r="M3" s="488">
        <f>INDEX(Odds!J:J,MATCH(J3,Odds!G:G,0))</f>
        <v>0</v>
      </c>
      <c r="N3" s="489">
        <f>L3*M3</f>
        <v>0</v>
      </c>
      <c r="O3" s="658"/>
      <c r="P3" s="655" t="str">
        <f>IF(Match!B3="","",Match!V3)</f>
        <v xml:space="preserve">Man C 6-3 Leicester </v>
      </c>
      <c r="Q3" s="96"/>
      <c r="R3" s="39" t="str">
        <f>IF(Odds!G3="","",Odds!G3)</f>
        <v>Man C</v>
      </c>
      <c r="S3" s="40" t="str">
        <f>INDEX(Odds!H:H,MATCH(R3,Odds!G:G,0))</f>
        <v>1/5</v>
      </c>
      <c r="T3" s="44">
        <f t="shared" si="0"/>
        <v>1</v>
      </c>
      <c r="U3" s="22" t="str">
        <f>INDEX(Match!Q:Q,MATCH(P3,Match!V:V,0))</f>
        <v>Man C</v>
      </c>
      <c r="V3" s="22">
        <f>INDEX(Match!G:G,MATCH(P3,Match!V:V,0))</f>
        <v>6</v>
      </c>
      <c r="W3" s="22" t="str">
        <f>INDEX(Match!R:R,MATCH(P3,Match!V:V,0))</f>
        <v>Leicester</v>
      </c>
      <c r="X3" s="22">
        <f>INDEX(Match!H:H,MATCH(P3,Match!V:V,0))</f>
        <v>3</v>
      </c>
      <c r="AB3" s="663" t="str">
        <f>IF(O3="","",INDEX(Odds!H:H,MATCH(O3,Odds!G:G,0)))</f>
        <v/>
      </c>
      <c r="AC3" s="694">
        <f>IF(J3="","",INDEX(Odds!K:K,MATCH(J3,Odds!G:G,0)))</f>
        <v>1</v>
      </c>
      <c r="AD3" s="74" t="s">
        <v>292</v>
      </c>
      <c r="AE3" s="77">
        <f>INDEX(Picks!F:F,MATCH(AD3,Picks!A:A,0))</f>
        <v>16.239249999999998</v>
      </c>
      <c r="AF3" s="481">
        <f>INDEX(Weekly!I:I,MATCH(AD3,Weekly!E:E,0))</f>
        <v>3</v>
      </c>
      <c r="AG3" s="74">
        <f t="shared" si="1"/>
        <v>2</v>
      </c>
      <c r="AI3" s="74" t="s">
        <v>302</v>
      </c>
      <c r="AJ3" s="77" t="str">
        <f>INDEX(Picks!G:G,MATCH(AI3,Picks!A:A,0))</f>
        <v/>
      </c>
      <c r="AK3" s="481">
        <f>INDEX(Weekly!I:I,MATCH(AI3,Weekly!E:E,0))</f>
        <v>0</v>
      </c>
      <c r="AL3" s="74" t="str">
        <f t="shared" si="2"/>
        <v/>
      </c>
    </row>
    <row r="4" spans="1:40" ht="13.5" thickBot="1">
      <c r="A4" s="496" t="str">
        <f>A2</f>
        <v>Alan Bond</v>
      </c>
      <c r="B4" s="497" t="str">
        <f t="shared" si="3"/>
        <v>Oldham</v>
      </c>
      <c r="C4" s="587">
        <f>IF(J4="","",INDEX(Odds!C:C,MATCH(J4,Odds!G:G,0)))</f>
        <v>1</v>
      </c>
      <c r="D4" s="498">
        <f t="shared" si="4"/>
        <v>2.2000000000000002</v>
      </c>
      <c r="E4" s="507" t="str">
        <f t="shared" si="5"/>
        <v>x</v>
      </c>
      <c r="F4" s="493"/>
      <c r="G4" s="494"/>
      <c r="H4" s="235"/>
      <c r="I4" s="412"/>
      <c r="J4" s="499" t="s">
        <v>599</v>
      </c>
      <c r="K4" s="219" t="str">
        <f>INDEX(Odds!H:H,MATCH(J4,Odds!G:G,0))</f>
        <v>6/5</v>
      </c>
      <c r="L4" s="500">
        <f>INDEX(Odds!I:I,MATCH(J4,Odds!G:G,0))</f>
        <v>2.2000000000000002</v>
      </c>
      <c r="M4" s="488">
        <f>INDEX(Odds!J:J,MATCH(J4,Odds!G:G,0))</f>
        <v>0</v>
      </c>
      <c r="N4" s="501">
        <f>L4*M4</f>
        <v>0</v>
      </c>
      <c r="O4" s="659"/>
      <c r="P4" s="655" t="str">
        <f>IF(Match!B4="","",Match!V4)</f>
        <v xml:space="preserve">Norwich 0-5 Arsenal </v>
      </c>
      <c r="Q4" s="96"/>
      <c r="R4" s="39" t="str">
        <f>IF(Odds!G4="","",Odds!G4)</f>
        <v>Norwich</v>
      </c>
      <c r="S4" s="40" t="str">
        <f>INDEX(Odds!H:H,MATCH(R4,Odds!G:G,0))</f>
        <v>13/2</v>
      </c>
      <c r="T4" s="44">
        <f t="shared" si="0"/>
        <v>0</v>
      </c>
      <c r="U4" s="22" t="str">
        <f>INDEX(Match!Q:Q,MATCH(P4,Match!V:V,0))</f>
        <v>Norwich</v>
      </c>
      <c r="V4" s="22">
        <f>INDEX(Match!G:G,MATCH(P4,Match!V:V,0))</f>
        <v>0</v>
      </c>
      <c r="W4" s="22" t="str">
        <f>INDEX(Match!R:R,MATCH(P4,Match!V:V,0))</f>
        <v>Arsenal</v>
      </c>
      <c r="X4" s="22">
        <f>INDEX(Match!H:H,MATCH(P4,Match!V:V,0))</f>
        <v>5</v>
      </c>
      <c r="AB4" s="664" t="str">
        <f>IF(O4="","",INDEX(Odds!H:H,MATCH(O4,Odds!G:G,0)))</f>
        <v/>
      </c>
      <c r="AC4" s="694">
        <f>IF(J4="","",INDEX(Odds!K:K,MATCH(J4,Odds!G:G,0)))</f>
        <v>1</v>
      </c>
      <c r="AD4" s="74" t="s">
        <v>313</v>
      </c>
      <c r="AE4" s="77">
        <f>INDEX(Picks!F:F,MATCH(AD4,Picks!A:A,0))</f>
        <v>15.466666666666669</v>
      </c>
      <c r="AF4" s="481">
        <f>INDEX(Weekly!I:I,MATCH(AD4,Weekly!E:E,0))</f>
        <v>3</v>
      </c>
      <c r="AG4" s="74">
        <f t="shared" si="1"/>
        <v>3</v>
      </c>
      <c r="AI4" s="76" t="s">
        <v>305</v>
      </c>
      <c r="AJ4" s="77" t="str">
        <f>INDEX(Picks!G:G,MATCH(AI4,Picks!A:A,0))</f>
        <v/>
      </c>
      <c r="AK4" s="481">
        <f>INDEX(Weekly!I:I,MATCH(AI4,Weekly!E:E,0))</f>
        <v>0</v>
      </c>
      <c r="AL4" s="74" t="str">
        <f t="shared" si="2"/>
        <v/>
      </c>
    </row>
    <row r="5" spans="1:40" ht="13.9" thickTop="1" thickBot="1">
      <c r="A5" s="484" t="str">
        <f>Results!B5</f>
        <v>Alan Rogers</v>
      </c>
      <c r="B5" s="502" t="str">
        <f>IF(J5="","",J5)</f>
        <v>Brentford</v>
      </c>
      <c r="C5" s="586">
        <f>IF(J5="","",INDEX(Odds!C:C,MATCH(J5,Odds!G:G,0)))</f>
        <v>1</v>
      </c>
      <c r="D5" s="485">
        <f t="shared" si="4"/>
        <v>4.2</v>
      </c>
      <c r="E5" s="508" t="str">
        <f t="shared" si="5"/>
        <v>x</v>
      </c>
      <c r="F5" s="415">
        <f>IF(J5="",-10,INDEX(Results!T:T,MATCH(A5,Results!V:V,0)))</f>
        <v>-3</v>
      </c>
      <c r="G5" s="216">
        <f>IF(J5="","",INDEX(Results!AI:AI,MATCH(A5,Results!V:V,0)))</f>
        <v>18.36</v>
      </c>
      <c r="H5" s="235">
        <f>IF(G5="",0,1)</f>
        <v>1</v>
      </c>
      <c r="I5" s="411">
        <f>INDEX(Picks!AG:AG,MATCH(A5,Picks!AD:AD,0))</f>
        <v>39</v>
      </c>
      <c r="J5" s="486" t="s">
        <v>573</v>
      </c>
      <c r="K5" s="217" t="str">
        <f>INDEX(Odds!H:H,MATCH(J5,Odds!G:G,0))</f>
        <v>16/5</v>
      </c>
      <c r="L5" s="487">
        <f>INDEX(Odds!I:I,MATCH(J5,Odds!G:G,0))</f>
        <v>4.2</v>
      </c>
      <c r="M5" s="503">
        <f>INDEX(Odds!J:J,MATCH(J5,Odds!G:G,0))</f>
        <v>0</v>
      </c>
      <c r="N5" s="489">
        <f t="shared" ref="N5:N61" si="6">L5*M5</f>
        <v>0</v>
      </c>
      <c r="O5" s="658"/>
      <c r="P5" s="655" t="str">
        <f>IF(Match!B5="","",Match!V5)</f>
        <v xml:space="preserve">Spurs 3-0 Palace </v>
      </c>
      <c r="Q5" s="96"/>
      <c r="R5" s="39" t="str">
        <f>IF(Odds!G5="","",Odds!G5)</f>
        <v>Spurs</v>
      </c>
      <c r="S5" s="40" t="str">
        <f>INDEX(Odds!H:H,MATCH(R5,Odds!G:G,0))</f>
        <v>7/10</v>
      </c>
      <c r="T5" s="44">
        <f t="shared" si="0"/>
        <v>1</v>
      </c>
      <c r="U5" s="22" t="str">
        <f>INDEX(Match!Q:Q,MATCH(P5,Match!V:V,0))</f>
        <v>Spurs</v>
      </c>
      <c r="V5" s="22">
        <f>INDEX(Match!G:G,MATCH(P5,Match!V:V,0))</f>
        <v>3</v>
      </c>
      <c r="W5" s="22" t="str">
        <f>INDEX(Match!R:R,MATCH(P5,Match!V:V,0))</f>
        <v>Palace</v>
      </c>
      <c r="X5" s="22">
        <f>INDEX(Match!H:H,MATCH(P5,Match!V:V,0))</f>
        <v>0</v>
      </c>
      <c r="AB5" s="663" t="str">
        <f>IF(O5="","",INDEX(Odds!H:H,MATCH(O5,Odds!G:G,0)))</f>
        <v/>
      </c>
      <c r="AC5" s="694">
        <f>IF(J5="","",INDEX(Odds!K:K,MATCH(J5,Odds!G:G,0)))</f>
        <v>1</v>
      </c>
      <c r="AD5" s="74" t="s">
        <v>307</v>
      </c>
      <c r="AE5" s="77">
        <f>INDEX(Picks!F:F,MATCH(AD5,Picks!A:A,0))</f>
        <v>14.680000000000003</v>
      </c>
      <c r="AF5" s="481">
        <f>INDEX(Weekly!I:I,MATCH(AD5,Weekly!E:E,0))</f>
        <v>2</v>
      </c>
      <c r="AG5" s="74">
        <f t="shared" si="1"/>
        <v>4</v>
      </c>
      <c r="AI5" s="76" t="s">
        <v>336</v>
      </c>
      <c r="AJ5" s="77" t="str">
        <f>INDEX(Picks!G:G,MATCH(AI5,Picks!A:A,0))</f>
        <v/>
      </c>
      <c r="AK5" s="481">
        <f>INDEX(Weekly!I:I,MATCH(AI5,Weekly!E:E,0))</f>
        <v>0</v>
      </c>
      <c r="AL5" s="74" t="str">
        <f t="shared" si="2"/>
        <v/>
      </c>
    </row>
    <row r="6" spans="1:40">
      <c r="A6" s="490" t="str">
        <f>A5</f>
        <v>Alan Rogers</v>
      </c>
      <c r="B6" s="491" t="str">
        <f t="shared" si="3"/>
        <v>Huddersfield draw</v>
      </c>
      <c r="C6" s="586">
        <f>IF(J6="","",INDEX(Odds!C:C,MATCH(J6,Odds!G:G,0)))</f>
        <v>1</v>
      </c>
      <c r="D6" s="492">
        <f t="shared" si="4"/>
        <v>3.3</v>
      </c>
      <c r="E6" s="507" t="str">
        <f t="shared" si="5"/>
        <v>x</v>
      </c>
      <c r="F6" s="493"/>
      <c r="G6" s="504"/>
      <c r="H6" s="235"/>
      <c r="I6" s="412"/>
      <c r="J6" s="486" t="s">
        <v>657</v>
      </c>
      <c r="K6" s="218" t="str">
        <f>INDEX(Odds!H:H,MATCH(J6,Odds!G:G,0))</f>
        <v>23/10</v>
      </c>
      <c r="L6" s="495">
        <f>INDEX(Odds!I:I,MATCH(J6,Odds!G:G,0))</f>
        <v>3.3</v>
      </c>
      <c r="M6" s="488">
        <f>INDEX(Odds!J:J,MATCH(J6,Odds!G:G,0))</f>
        <v>0</v>
      </c>
      <c r="N6" s="489">
        <f t="shared" si="6"/>
        <v>0</v>
      </c>
      <c r="O6" s="658"/>
      <c r="P6" s="655" t="str">
        <f>IF(Match!B6="","",Match!V6)</f>
        <v xml:space="preserve">Villa 1-3 Chelsea </v>
      </c>
      <c r="Q6" s="96"/>
      <c r="R6" s="39" t="str">
        <f>IF(Odds!G6="","",Odds!G6)</f>
        <v>Villa</v>
      </c>
      <c r="S6" s="40" t="str">
        <f>INDEX(Odds!H:H,MATCH(R6,Odds!G:G,0))</f>
        <v>24/5</v>
      </c>
      <c r="T6" s="44">
        <f t="shared" si="0"/>
        <v>0</v>
      </c>
      <c r="U6" s="22" t="str">
        <f>INDEX(Match!Q:Q,MATCH(P6,Match!V:V,0))</f>
        <v>Villa</v>
      </c>
      <c r="V6" s="22">
        <f>INDEX(Match!G:G,MATCH(P6,Match!V:V,0))</f>
        <v>1</v>
      </c>
      <c r="W6" s="22" t="str">
        <f>INDEX(Match!R:R,MATCH(P6,Match!V:V,0))</f>
        <v>Chelsea</v>
      </c>
      <c r="X6" s="22">
        <f>INDEX(Match!H:H,MATCH(P6,Match!V:V,0))</f>
        <v>3</v>
      </c>
      <c r="AB6" s="663" t="str">
        <f>IF(O6="","",INDEX(Odds!H:H,MATCH(O6,Odds!G:G,0)))</f>
        <v/>
      </c>
      <c r="AC6" s="694">
        <f>IF(J6="","",INDEX(Odds!K:K,MATCH(J6,Odds!G:G,0)))</f>
        <v>1</v>
      </c>
      <c r="AD6" s="74" t="s">
        <v>312</v>
      </c>
      <c r="AE6" s="77">
        <f>INDEX(Picks!F:F,MATCH(AD6,Picks!A:A,0))</f>
        <v>14.207499999999996</v>
      </c>
      <c r="AF6" s="481">
        <f>INDEX(Weekly!I:I,MATCH(AD6,Weekly!E:E,0))</f>
        <v>3</v>
      </c>
      <c r="AG6" s="74">
        <f t="shared" si="1"/>
        <v>5</v>
      </c>
      <c r="AI6" s="76" t="s">
        <v>379</v>
      </c>
      <c r="AJ6" s="77" t="str">
        <f>INDEX(Picks!G:G,MATCH(AI6,Picks!A:A,0))</f>
        <v/>
      </c>
      <c r="AK6" s="481">
        <f>INDEX(Weekly!I:I,MATCH(AI6,Weekly!E:E,0))</f>
        <v>0</v>
      </c>
      <c r="AL6" s="74" t="str">
        <f t="shared" si="2"/>
        <v/>
      </c>
    </row>
    <row r="7" spans="1:40" ht="13.5" thickBot="1">
      <c r="A7" s="496" t="str">
        <f>A5</f>
        <v>Alan Rogers</v>
      </c>
      <c r="B7" s="497" t="str">
        <f t="shared" si="3"/>
        <v>Blackburn</v>
      </c>
      <c r="C7" s="587">
        <f>IF(J7="","",INDEX(Odds!C:C,MATCH(J7,Odds!G:G,0)))</f>
        <v>1</v>
      </c>
      <c r="D7" s="498">
        <f t="shared" si="4"/>
        <v>2.4</v>
      </c>
      <c r="E7" s="507" t="str">
        <f t="shared" si="5"/>
        <v>x</v>
      </c>
      <c r="F7" s="493"/>
      <c r="G7" s="504"/>
      <c r="H7" s="235"/>
      <c r="I7" s="412"/>
      <c r="J7" s="499" t="s">
        <v>577</v>
      </c>
      <c r="K7" s="219" t="str">
        <f>INDEX(Odds!H:H,MATCH(J7,Odds!G:G,0))</f>
        <v>7/5</v>
      </c>
      <c r="L7" s="500">
        <f>INDEX(Odds!I:I,MATCH(J7,Odds!G:G,0))</f>
        <v>2.4</v>
      </c>
      <c r="M7" s="488">
        <f>INDEX(Odds!J:J,MATCH(J7,Odds!G:G,0))</f>
        <v>0</v>
      </c>
      <c r="N7" s="501">
        <f t="shared" si="6"/>
        <v>0</v>
      </c>
      <c r="O7" s="659"/>
      <c r="P7" s="655" t="str">
        <f>IF(Match!B7="","",Match!V7)</f>
        <v xml:space="preserve">West Ham 2-3 Southampton </v>
      </c>
      <c r="Q7" s="96"/>
      <c r="R7" s="39" t="str">
        <f>IF(Odds!G7="","",Odds!G7)</f>
        <v>West Ham</v>
      </c>
      <c r="S7" s="40" t="str">
        <f>INDEX(Odds!H:H,MATCH(R7,Odds!G:G,0))</f>
        <v>3/4</v>
      </c>
      <c r="T7" s="44">
        <f t="shared" si="0"/>
        <v>0</v>
      </c>
      <c r="U7" s="22" t="str">
        <f>INDEX(Match!Q:Q,MATCH(P7,Match!V:V,0))</f>
        <v>West Ham</v>
      </c>
      <c r="V7" s="22">
        <f>INDEX(Match!G:G,MATCH(P7,Match!V:V,0))</f>
        <v>2</v>
      </c>
      <c r="W7" s="22" t="str">
        <f>INDEX(Match!R:R,MATCH(P7,Match!V:V,0))</f>
        <v>Southampton</v>
      </c>
      <c r="X7" s="22">
        <f>INDEX(Match!H:H,MATCH(P7,Match!V:V,0))</f>
        <v>3</v>
      </c>
      <c r="AB7" s="664" t="str">
        <f>IF(O7="","",INDEX(Odds!H:H,MATCH(O7,Odds!G:G,0)))</f>
        <v/>
      </c>
      <c r="AC7" s="694">
        <f>IF(J7="","",INDEX(Odds!K:K,MATCH(J7,Odds!G:G,0)))</f>
        <v>0</v>
      </c>
      <c r="AD7" s="702" t="s">
        <v>310</v>
      </c>
      <c r="AE7" s="77">
        <f>INDEX(Picks!F:F,MATCH(AD7,Picks!A:A,0))</f>
        <v>11.818803418803419</v>
      </c>
      <c r="AF7" s="481">
        <f>INDEX(Weekly!I:I,MATCH(AD7,Weekly!E:E,0))</f>
        <v>3</v>
      </c>
      <c r="AG7" s="74">
        <f t="shared" si="1"/>
        <v>6</v>
      </c>
      <c r="AI7" s="76" t="s">
        <v>390</v>
      </c>
      <c r="AJ7" s="77">
        <f>INDEX(Picks!G:G,MATCH(AI7,Picks!A:A,0))</f>
        <v>801.2</v>
      </c>
      <c r="AK7" s="481">
        <f>INDEX(Weekly!I:I,MATCH(AI7,Weekly!E:E,0))</f>
        <v>0</v>
      </c>
      <c r="AL7" s="74">
        <f t="shared" si="2"/>
        <v>1</v>
      </c>
    </row>
    <row r="8" spans="1:40" ht="13.9" thickTop="1" thickBot="1">
      <c r="A8" s="484" t="str">
        <f>Results!B8</f>
        <v>Alan White</v>
      </c>
      <c r="B8" s="502" t="str">
        <f t="shared" si="3"/>
        <v>Mansfield</v>
      </c>
      <c r="C8" s="586">
        <f>IF(J8="","",INDEX(Odds!C:C,MATCH(J8,Odds!G:G,0)))</f>
        <v>1</v>
      </c>
      <c r="D8" s="485">
        <f t="shared" si="4"/>
        <v>1.9090909090909092</v>
      </c>
      <c r="E8" s="508" t="str">
        <f t="shared" si="5"/>
        <v>√</v>
      </c>
      <c r="F8" s="415">
        <f>IF(J8="",-10,INDEX(Results!T:T,MATCH(A8,Results!V:V,0)))</f>
        <v>1.163636363636364</v>
      </c>
      <c r="G8" s="216">
        <f>IF(J8="","",INDEX(Results!AI:AI,MATCH(A8,Results!V:V,0)))</f>
        <v>23.656198347107441</v>
      </c>
      <c r="H8" s="235">
        <f>IF(G8="",0,1)</f>
        <v>1</v>
      </c>
      <c r="I8" s="411">
        <f>INDEX(Picks!AG:AG,MATCH(A8,Picks!AD:AD,0))</f>
        <v>13</v>
      </c>
      <c r="J8" s="486" t="s">
        <v>631</v>
      </c>
      <c r="K8" s="217" t="str">
        <f>INDEX(Odds!H:H,MATCH(J8,Odds!G:G,0))</f>
        <v>10/11</v>
      </c>
      <c r="L8" s="487">
        <f>INDEX(Odds!I:I,MATCH(J8,Odds!G:G,0))</f>
        <v>1.9090909090909092</v>
      </c>
      <c r="M8" s="503">
        <f>INDEX(Odds!J:J,MATCH(J8,Odds!G:G,0))</f>
        <v>1</v>
      </c>
      <c r="N8" s="489">
        <f t="shared" si="6"/>
        <v>1.9090909090909092</v>
      </c>
      <c r="O8" s="658"/>
      <c r="P8" s="655" t="str">
        <f>IF(Match!B8="","",Match!V8)</f>
        <v xml:space="preserve">Huddersfield 3-2 Blackpool </v>
      </c>
      <c r="Q8" s="96"/>
      <c r="R8" s="39" t="str">
        <f>IF(Odds!G8="","",Odds!G8)</f>
        <v>Huddersfield</v>
      </c>
      <c r="S8" s="40" t="str">
        <f>INDEX(Odds!H:H,MATCH(R8,Odds!G:G,0))</f>
        <v>11/10</v>
      </c>
      <c r="T8" s="44">
        <f t="shared" si="0"/>
        <v>1</v>
      </c>
      <c r="U8" s="22" t="str">
        <f>INDEX(Match!Q:Q,MATCH(P8,Match!V:V,0))</f>
        <v>Huddersfield</v>
      </c>
      <c r="V8" s="22">
        <f>INDEX(Match!G:G,MATCH(P8,Match!V:V,0))</f>
        <v>3</v>
      </c>
      <c r="W8" s="22" t="str">
        <f>INDEX(Match!R:R,MATCH(P8,Match!V:V,0))</f>
        <v>Blackpool</v>
      </c>
      <c r="X8" s="22">
        <f>INDEX(Match!H:H,MATCH(P8,Match!V:V,0))</f>
        <v>2</v>
      </c>
      <c r="AB8" s="663" t="str">
        <f>IF(O8="","",INDEX(Odds!H:H,MATCH(O8,Odds!G:G,0)))</f>
        <v/>
      </c>
      <c r="AC8" s="694">
        <f>IF(J8="","",INDEX(Odds!K:K,MATCH(J8,Odds!G:G,0)))</f>
        <v>1</v>
      </c>
      <c r="AD8" s="74" t="s">
        <v>289</v>
      </c>
      <c r="AE8" s="77">
        <f>INDEX(Picks!F:F,MATCH(AD8,Picks!A:A,0))</f>
        <v>9.2200000000000024</v>
      </c>
      <c r="AF8" s="481">
        <f>INDEX(Weekly!I:I,MATCH(AD8,Weekly!E:E,0))</f>
        <v>2</v>
      </c>
      <c r="AG8" s="74">
        <f t="shared" si="1"/>
        <v>7</v>
      </c>
      <c r="AI8" s="74" t="s">
        <v>322</v>
      </c>
      <c r="AJ8" s="77">
        <f>INDEX(Picks!G:G,MATCH(AI8,Picks!A:A,0))</f>
        <v>287.79999999999995</v>
      </c>
      <c r="AK8" s="481">
        <f>INDEX(Weekly!I:I,MATCH(AI8,Weekly!E:E,0))</f>
        <v>0</v>
      </c>
      <c r="AL8" s="74">
        <f t="shared" si="2"/>
        <v>2</v>
      </c>
    </row>
    <row r="9" spans="1:40" ht="13.5" customHeight="1">
      <c r="A9" s="490" t="str">
        <f>A8</f>
        <v>Alan White</v>
      </c>
      <c r="B9" s="491" t="str">
        <f t="shared" si="3"/>
        <v>Tranmere</v>
      </c>
      <c r="C9" s="586">
        <f>IF(J9="","",INDEX(Odds!C:C,MATCH(J9,Odds!G:G,0)))</f>
        <v>1</v>
      </c>
      <c r="D9" s="492">
        <f t="shared" si="4"/>
        <v>2.15</v>
      </c>
      <c r="E9" s="507" t="str">
        <f t="shared" si="5"/>
        <v>√</v>
      </c>
      <c r="F9" s="493"/>
      <c r="G9" s="504"/>
      <c r="H9" s="235"/>
      <c r="I9" s="412"/>
      <c r="J9" s="486" t="s">
        <v>559</v>
      </c>
      <c r="K9" s="218" t="str">
        <f>INDEX(Odds!H:H,MATCH(J9,Odds!G:G,0))</f>
        <v>23/20</v>
      </c>
      <c r="L9" s="495">
        <f>INDEX(Odds!I:I,MATCH(J9,Odds!G:G,0))</f>
        <v>2.15</v>
      </c>
      <c r="M9" s="488">
        <f>INDEX(Odds!J:J,MATCH(J9,Odds!G:G,0))</f>
        <v>1</v>
      </c>
      <c r="N9" s="489">
        <f t="shared" si="6"/>
        <v>2.15</v>
      </c>
      <c r="O9" s="658"/>
      <c r="P9" s="655" t="str">
        <f>IF(Match!B9="","",Match!V9)</f>
        <v xml:space="preserve">Middlesbro 2-0 Forest </v>
      </c>
      <c r="Q9" s="96"/>
      <c r="R9" s="39" t="str">
        <f>IF(Odds!G9="","",Odds!G9)</f>
        <v>Middlesbro</v>
      </c>
      <c r="S9" s="40" t="str">
        <f>INDEX(Odds!H:H,MATCH(R9,Odds!G:G,0))</f>
        <v>11/10</v>
      </c>
      <c r="T9" s="44">
        <f t="shared" si="0"/>
        <v>1</v>
      </c>
      <c r="U9" s="22" t="str">
        <f>INDEX(Match!Q:Q,MATCH(P9,Match!V:V,0))</f>
        <v>Middlesbro</v>
      </c>
      <c r="V9" s="22">
        <f>INDEX(Match!G:G,MATCH(P9,Match!V:V,0))</f>
        <v>2</v>
      </c>
      <c r="W9" s="22" t="str">
        <f>INDEX(Match!R:R,MATCH(P9,Match!V:V,0))</f>
        <v>Forest</v>
      </c>
      <c r="X9" s="22">
        <f>INDEX(Match!H:H,MATCH(P9,Match!V:V,0))</f>
        <v>0</v>
      </c>
      <c r="AB9" s="663" t="str">
        <f>IF(O9="","",INDEX(Odds!H:H,MATCH(O9,Odds!G:G,0)))</f>
        <v/>
      </c>
      <c r="AC9" s="694">
        <f>IF(J9="","",INDEX(Odds!K:K,MATCH(J9,Odds!G:G,0)))</f>
        <v>1</v>
      </c>
      <c r="AD9" s="74" t="s">
        <v>323</v>
      </c>
      <c r="AE9" s="77">
        <f>INDEX(Picks!F:F,MATCH(AD9,Picks!A:A,0))</f>
        <v>7.75</v>
      </c>
      <c r="AF9" s="481">
        <f>INDEX(Weekly!I:I,MATCH(AD9,Weekly!E:E,0))</f>
        <v>2</v>
      </c>
      <c r="AG9" s="74">
        <f t="shared" si="1"/>
        <v>8</v>
      </c>
      <c r="AI9" s="76" t="s">
        <v>384</v>
      </c>
      <c r="AJ9" s="77">
        <f>INDEX(Picks!G:G,MATCH(AI9,Picks!A:A,0))</f>
        <v>190.9</v>
      </c>
      <c r="AK9" s="481">
        <f>INDEX(Weekly!I:I,MATCH(AI9,Weekly!E:E,0))</f>
        <v>0</v>
      </c>
      <c r="AL9" s="74">
        <f t="shared" si="2"/>
        <v>3</v>
      </c>
    </row>
    <row r="10" spans="1:40" ht="13.5" thickBot="1">
      <c r="A10" s="496" t="str">
        <f>A8</f>
        <v>Alan White</v>
      </c>
      <c r="B10" s="497" t="str">
        <f t="shared" si="3"/>
        <v>Aldershot</v>
      </c>
      <c r="C10" s="587">
        <f>IF(J10="","",INDEX(Odds!C:C,MATCH(J10,Odds!G:G,0)))</f>
        <v>1</v>
      </c>
      <c r="D10" s="498">
        <f t="shared" si="4"/>
        <v>2.4545454545454546</v>
      </c>
      <c r="E10" s="507" t="str">
        <f t="shared" si="5"/>
        <v>x</v>
      </c>
      <c r="F10" s="493"/>
      <c r="G10" s="504"/>
      <c r="H10" s="235"/>
      <c r="I10" s="412"/>
      <c r="J10" s="499" t="s">
        <v>639</v>
      </c>
      <c r="K10" s="219" t="str">
        <f>INDEX(Odds!H:H,MATCH(J10,Odds!G:G,0))</f>
        <v>16/11</v>
      </c>
      <c r="L10" s="500">
        <f>INDEX(Odds!I:I,MATCH(J10,Odds!G:G,0))</f>
        <v>2.4545454545454546</v>
      </c>
      <c r="M10" s="488">
        <f>INDEX(Odds!J:J,MATCH(J10,Odds!G:G,0))</f>
        <v>0</v>
      </c>
      <c r="N10" s="501">
        <f t="shared" si="6"/>
        <v>0</v>
      </c>
      <c r="O10" s="659"/>
      <c r="P10" s="655" t="str">
        <f>IF(Match!B10="","",Match!V10)</f>
        <v xml:space="preserve">Accrington 1-0 Rotherham </v>
      </c>
      <c r="Q10" s="96"/>
      <c r="R10" s="39" t="str">
        <f>IF(Odds!G10="","",Odds!G10)</f>
        <v>Accrington</v>
      </c>
      <c r="S10" s="40" t="str">
        <f>INDEX(Odds!H:H,MATCH(R10,Odds!G:G,0))</f>
        <v>3/1</v>
      </c>
      <c r="T10" s="44">
        <f t="shared" si="0"/>
        <v>1</v>
      </c>
      <c r="U10" s="22" t="str">
        <f>INDEX(Match!Q:Q,MATCH(P10,Match!V:V,0))</f>
        <v>Accrington</v>
      </c>
      <c r="V10" s="22">
        <f>INDEX(Match!G:G,MATCH(P10,Match!V:V,0))</f>
        <v>1</v>
      </c>
      <c r="W10" s="22" t="str">
        <f>INDEX(Match!R:R,MATCH(P10,Match!V:V,0))</f>
        <v>Rotherham</v>
      </c>
      <c r="X10" s="22">
        <f>INDEX(Match!H:H,MATCH(P10,Match!V:V,0))</f>
        <v>0</v>
      </c>
      <c r="AB10" s="664" t="str">
        <f>IF(O10="","",INDEX(Odds!H:H,MATCH(O10,Odds!G:G,0)))</f>
        <v/>
      </c>
      <c r="AC10" s="694">
        <f>IF(J10="","",INDEX(Odds!K:K,MATCH(J10,Odds!G:G,0)))</f>
        <v>1</v>
      </c>
      <c r="AD10" s="74" t="s">
        <v>550</v>
      </c>
      <c r="AE10" s="77">
        <f>INDEX(Picks!F:F,MATCH(AD10,Picks!A:A,0))</f>
        <v>5.0555555555555554</v>
      </c>
      <c r="AF10" s="481">
        <f>INDEX(Weekly!I:I,MATCH(AD10,Weekly!E:E,0))</f>
        <v>2</v>
      </c>
      <c r="AG10" s="74">
        <f t="shared" si="1"/>
        <v>9</v>
      </c>
      <c r="AI10" s="76" t="s">
        <v>328</v>
      </c>
      <c r="AJ10" s="77">
        <f>INDEX(Picks!G:G,MATCH(AI10,Picks!A:A,0))</f>
        <v>174.875</v>
      </c>
      <c r="AK10" s="481">
        <f>INDEX(Weekly!I:I,MATCH(AI10,Weekly!E:E,0))</f>
        <v>0</v>
      </c>
      <c r="AL10" s="74">
        <f t="shared" si="2"/>
        <v>4</v>
      </c>
    </row>
    <row r="11" spans="1:40" ht="13.9" thickTop="1" thickBot="1">
      <c r="A11" s="484" t="str">
        <f>Results!B11</f>
        <v>Alfie Davies</v>
      </c>
      <c r="B11" s="502" t="str">
        <f t="shared" si="3"/>
        <v>Arsenal</v>
      </c>
      <c r="C11" s="586">
        <f>IF(J11="","",INDEX(Odds!C:C,MATCH(J11,Odds!G:G,0)))</f>
        <v>1</v>
      </c>
      <c r="D11" s="485">
        <f t="shared" si="4"/>
        <v>1.4444444444444444</v>
      </c>
      <c r="E11" s="508" t="str">
        <f t="shared" si="5"/>
        <v>√</v>
      </c>
      <c r="F11" s="415">
        <f>IF(J11="",-10,INDEX(Results!T:T,MATCH(A11,Results!V:V,0)))</f>
        <v>-1.6068376068376065</v>
      </c>
      <c r="G11" s="216">
        <f>IF(J11="","",INDEX(Results!AI:AI,MATCH(A11,Results!V:V,0)))</f>
        <v>20.76923076923077</v>
      </c>
      <c r="H11" s="235">
        <f>IF(G11="",0,1)</f>
        <v>1</v>
      </c>
      <c r="I11" s="411">
        <f>INDEX(Picks!AG:AG,MATCH(A11,Picks!AD:AD,0))</f>
        <v>36</v>
      </c>
      <c r="J11" s="486" t="s">
        <v>594</v>
      </c>
      <c r="K11" s="217" t="str">
        <f>INDEX(Odds!H:H,MATCH(J11,Odds!G:G,0))</f>
        <v>4/9</v>
      </c>
      <c r="L11" s="487">
        <f>INDEX(Odds!I:I,MATCH(J11,Odds!G:G,0))</f>
        <v>1.4444444444444444</v>
      </c>
      <c r="M11" s="503">
        <f>INDEX(Odds!J:J,MATCH(J11,Odds!G:G,0))</f>
        <v>1</v>
      </c>
      <c r="N11" s="489">
        <f t="shared" si="6"/>
        <v>1.4444444444444444</v>
      </c>
      <c r="O11" s="658"/>
      <c r="P11" s="655" t="str">
        <f>IF(Match!B11="","",Match!V11)</f>
        <v xml:space="preserve">Cheltenham 0-2 Plymouth </v>
      </c>
      <c r="Q11" s="96"/>
      <c r="R11" s="39" t="str">
        <f>IF(Odds!G11="","",Odds!G11)</f>
        <v>Cheltenham</v>
      </c>
      <c r="S11" s="40" t="str">
        <f>INDEX(Odds!H:H,MATCH(R11,Odds!G:G,0))</f>
        <v>2/1</v>
      </c>
      <c r="T11" s="44">
        <f t="shared" si="0"/>
        <v>0</v>
      </c>
      <c r="U11" s="22" t="str">
        <f>INDEX(Match!Q:Q,MATCH(P11,Match!V:V,0))</f>
        <v>Cheltenham</v>
      </c>
      <c r="V11" s="22">
        <f>INDEX(Match!G:G,MATCH(P11,Match!V:V,0))</f>
        <v>0</v>
      </c>
      <c r="W11" s="22" t="str">
        <f>INDEX(Match!R:R,MATCH(P11,Match!V:V,0))</f>
        <v>Plymouth</v>
      </c>
      <c r="X11" s="22">
        <f>INDEX(Match!H:H,MATCH(P11,Match!V:V,0))</f>
        <v>2</v>
      </c>
      <c r="AB11" s="663" t="str">
        <f>IF(O11="","",INDEX(Odds!H:H,MATCH(O11,Odds!G:G,0)))</f>
        <v/>
      </c>
      <c r="AC11" s="694">
        <f>IF(J11="","",INDEX(Odds!K:K,MATCH(J11,Odds!G:G,0)))</f>
        <v>1</v>
      </c>
      <c r="AD11" s="74" t="s">
        <v>318</v>
      </c>
      <c r="AE11" s="77">
        <f>INDEX(Picks!F:F,MATCH(AD11,Picks!A:A,0))</f>
        <v>2.7249999999999996</v>
      </c>
      <c r="AF11" s="481">
        <f>INDEX(Weekly!I:I,MATCH(AD11,Weekly!E:E,0))</f>
        <v>2</v>
      </c>
      <c r="AG11" s="74">
        <f t="shared" si="1"/>
        <v>10</v>
      </c>
      <c r="AI11" s="74" t="s">
        <v>324</v>
      </c>
      <c r="AJ11" s="77">
        <f>INDEX(Picks!G:G,MATCH(AI11,Picks!A:A,0))</f>
        <v>152.3125</v>
      </c>
      <c r="AK11" s="481">
        <f>INDEX(Weekly!I:I,MATCH(AI11,Weekly!E:E,0))</f>
        <v>0</v>
      </c>
      <c r="AL11" s="74">
        <f t="shared" si="2"/>
        <v>5</v>
      </c>
    </row>
    <row r="12" spans="1:40">
      <c r="A12" s="490" t="str">
        <f>A11</f>
        <v>Alfie Davies</v>
      </c>
      <c r="B12" s="491" t="str">
        <f t="shared" si="3"/>
        <v>Chelsea</v>
      </c>
      <c r="C12" s="586">
        <f>IF(J12="","",INDEX(Odds!C:C,MATCH(J12,Odds!G:G,0)))</f>
        <v>1</v>
      </c>
      <c r="D12" s="492">
        <f t="shared" si="4"/>
        <v>1.6153846153846154</v>
      </c>
      <c r="E12" s="507" t="str">
        <f t="shared" si="5"/>
        <v>√</v>
      </c>
      <c r="F12" s="493"/>
      <c r="G12" s="504"/>
      <c r="H12" s="235"/>
      <c r="I12" s="412"/>
      <c r="J12" s="486" t="s">
        <v>571</v>
      </c>
      <c r="K12" s="218" t="str">
        <f>INDEX(Odds!H:H,MATCH(J12,Odds!G:G,0))</f>
        <v>8/13</v>
      </c>
      <c r="L12" s="495">
        <f>INDEX(Odds!I:I,MATCH(J12,Odds!G:G,0))</f>
        <v>1.6153846153846154</v>
      </c>
      <c r="M12" s="488">
        <f>INDEX(Odds!J:J,MATCH(J12,Odds!G:G,0))</f>
        <v>1</v>
      </c>
      <c r="N12" s="489">
        <f t="shared" si="6"/>
        <v>1.6153846153846154</v>
      </c>
      <c r="O12" s="658"/>
      <c r="P12" s="655" t="str">
        <f>IF(Match!B12="","",Match!V12)</f>
        <v xml:space="preserve">Fleetwood 0-3 Shrewsbury </v>
      </c>
      <c r="Q12" s="96"/>
      <c r="R12" s="39" t="str">
        <f>IF(Odds!G12="","",Odds!G12)</f>
        <v>Fleetwood</v>
      </c>
      <c r="S12" s="40" t="str">
        <f>INDEX(Odds!H:H,MATCH(R12,Odds!G:G,0))</f>
        <v>6/5</v>
      </c>
      <c r="T12" s="44">
        <f t="shared" si="0"/>
        <v>0</v>
      </c>
      <c r="U12" s="22" t="str">
        <f>INDEX(Match!Q:Q,MATCH(P12,Match!V:V,0))</f>
        <v>Fleetwood</v>
      </c>
      <c r="V12" s="22">
        <f>INDEX(Match!G:G,MATCH(P12,Match!V:V,0))</f>
        <v>0</v>
      </c>
      <c r="W12" s="22" t="str">
        <f>INDEX(Match!R:R,MATCH(P12,Match!V:V,0))</f>
        <v>Shrewsbury</v>
      </c>
      <c r="X12" s="22">
        <f>INDEX(Match!H:H,MATCH(P12,Match!V:V,0))</f>
        <v>3</v>
      </c>
      <c r="AB12" s="663" t="str">
        <f>IF(O12="","",INDEX(Odds!H:H,MATCH(O12,Odds!G:G,0)))</f>
        <v/>
      </c>
      <c r="AC12" s="694">
        <f>IF(J12="","",INDEX(Odds!K:K,MATCH(J12,Odds!G:G,0)))</f>
        <v>1</v>
      </c>
      <c r="AD12" s="74" t="s">
        <v>315</v>
      </c>
      <c r="AE12" s="77">
        <f>INDEX(Picks!F:F,MATCH(AD12,Picks!A:A,0))</f>
        <v>2.3949999999999996</v>
      </c>
      <c r="AF12" s="481">
        <f>INDEX(Weekly!I:I,MATCH(AD12,Weekly!E:E,0))</f>
        <v>2</v>
      </c>
      <c r="AG12" s="74">
        <f t="shared" si="1"/>
        <v>11</v>
      </c>
      <c r="AI12" s="74" t="s">
        <v>307</v>
      </c>
      <c r="AJ12" s="77">
        <f>INDEX(Picks!G:G,MATCH(AI12,Picks!A:A,0))</f>
        <v>103.13200000000001</v>
      </c>
      <c r="AK12" s="481">
        <f>INDEX(Weekly!I:I,MATCH(AI12,Weekly!E:E,0))</f>
        <v>2</v>
      </c>
      <c r="AL12" s="74">
        <f t="shared" si="2"/>
        <v>6</v>
      </c>
    </row>
    <row r="13" spans="1:40" ht="13.5" thickBot="1">
      <c r="A13" s="496" t="str">
        <f>A11</f>
        <v>Alfie Davies</v>
      </c>
      <c r="B13" s="497" t="str">
        <f>IF(J13="","",J13)</f>
        <v>Blackpool</v>
      </c>
      <c r="C13" s="587">
        <f>IF(J13="","",INDEX(Odds!C:C,MATCH(J13,Odds!G:G,0)))</f>
        <v>1</v>
      </c>
      <c r="D13" s="498">
        <f t="shared" si="4"/>
        <v>3.5</v>
      </c>
      <c r="E13" s="507" t="str">
        <f t="shared" si="5"/>
        <v>x</v>
      </c>
      <c r="F13" s="493"/>
      <c r="G13" s="504"/>
      <c r="H13" s="235"/>
      <c r="I13" s="412"/>
      <c r="J13" s="499" t="s">
        <v>586</v>
      </c>
      <c r="K13" s="219" t="str">
        <f>INDEX(Odds!H:H,MATCH(J13,Odds!G:G,0))</f>
        <v>5/2</v>
      </c>
      <c r="L13" s="500">
        <f>INDEX(Odds!I:I,MATCH(J13,Odds!G:G,0))</f>
        <v>3.5</v>
      </c>
      <c r="M13" s="488">
        <f>INDEX(Odds!J:J,MATCH(J13,Odds!G:G,0))</f>
        <v>0</v>
      </c>
      <c r="N13" s="501">
        <f t="shared" si="6"/>
        <v>0</v>
      </c>
      <c r="O13" s="659"/>
      <c r="P13" s="655" t="str">
        <f>IF(Match!B13="","",Match!V13)</f>
        <v xml:space="preserve">Lincoln 2-3 MK Dons </v>
      </c>
      <c r="Q13" s="96"/>
      <c r="R13" s="39" t="str">
        <f>IF(Odds!G13="","",Odds!G13)</f>
        <v>Lincoln</v>
      </c>
      <c r="S13" s="40" t="str">
        <f>INDEX(Odds!H:H,MATCH(R13,Odds!G:G,0))</f>
        <v>2/1</v>
      </c>
      <c r="T13" s="44">
        <f t="shared" si="0"/>
        <v>0</v>
      </c>
      <c r="U13" s="22" t="str">
        <f>INDEX(Match!Q:Q,MATCH(P13,Match!V:V,0))</f>
        <v>Lincoln</v>
      </c>
      <c r="V13" s="22">
        <f>INDEX(Match!G:G,MATCH(P13,Match!V:V,0))</f>
        <v>2</v>
      </c>
      <c r="W13" s="22" t="str">
        <f>INDEX(Match!R:R,MATCH(P13,Match!V:V,0))</f>
        <v>MK Dons</v>
      </c>
      <c r="X13" s="22">
        <f>INDEX(Match!H:H,MATCH(P13,Match!V:V,0))</f>
        <v>3</v>
      </c>
      <c r="AB13" s="664" t="str">
        <f>IF(O13="","",INDEX(Odds!H:H,MATCH(O13,Odds!G:G,0)))</f>
        <v/>
      </c>
      <c r="AC13" s="694">
        <f>IF(J13="","",INDEX(Odds!K:K,MATCH(J13,Odds!G:G,0)))</f>
        <v>1</v>
      </c>
      <c r="AD13" s="702" t="s">
        <v>290</v>
      </c>
      <c r="AE13" s="77">
        <f>INDEX(Picks!F:F,MATCH(AD13,Picks!A:A,0))</f>
        <v>1.7650000000000006</v>
      </c>
      <c r="AF13" s="481">
        <f>INDEX(Weekly!I:I,MATCH(AD13,Weekly!E:E,0))</f>
        <v>2</v>
      </c>
      <c r="AG13" s="74">
        <f t="shared" si="1"/>
        <v>12</v>
      </c>
      <c r="AI13" s="76" t="s">
        <v>323</v>
      </c>
      <c r="AJ13" s="77">
        <f>INDEX(Picks!G:G,MATCH(AI13,Picks!A:A,0))</f>
        <v>99.1</v>
      </c>
      <c r="AK13" s="481">
        <f>INDEX(Weekly!I:I,MATCH(AI13,Weekly!E:E,0))</f>
        <v>2</v>
      </c>
      <c r="AL13" s="74">
        <f t="shared" si="2"/>
        <v>7</v>
      </c>
    </row>
    <row r="14" spans="1:40" ht="13.9" thickTop="1" thickBot="1">
      <c r="A14" s="484" t="str">
        <f>Results!B14</f>
        <v>Alick Rocca</v>
      </c>
      <c r="B14" s="502" t="str">
        <f t="shared" si="3"/>
        <v>Cheltenham Draw</v>
      </c>
      <c r="C14" s="586">
        <f>IF(J14="","",INDEX(Odds!C:C,MATCH(J14,Odds!G:G,0)))</f>
        <v>1</v>
      </c>
      <c r="D14" s="485">
        <f t="shared" si="4"/>
        <v>3.3</v>
      </c>
      <c r="E14" s="508" t="str">
        <f t="shared" si="5"/>
        <v>x</v>
      </c>
      <c r="F14" s="415">
        <f>IF(J14="",-10,INDEX(Results!T:T,MATCH(A14,Results!V:V,0)))</f>
        <v>-1</v>
      </c>
      <c r="G14" s="216">
        <f>IF(J14="","",INDEX(Results!AI:AI,MATCH(A14,Results!V:V,0)))</f>
        <v>2.2999999999999998</v>
      </c>
      <c r="H14" s="235">
        <f>IF(G14="",0,1)</f>
        <v>1</v>
      </c>
      <c r="I14" s="411">
        <f>INDEX(Picks!AG:AG,MATCH(A14,Picks!AD:AD,0))</f>
        <v>26</v>
      </c>
      <c r="J14" s="486" t="s">
        <v>651</v>
      </c>
      <c r="K14" s="217" t="str">
        <f>INDEX(Odds!H:H,MATCH(J14,Odds!G:G,0))</f>
        <v>23/10</v>
      </c>
      <c r="L14" s="487">
        <f>INDEX(Odds!I:I,MATCH(J14,Odds!G:G,0))</f>
        <v>3.3</v>
      </c>
      <c r="M14" s="503">
        <f>INDEX(Odds!J:J,MATCH(J14,Odds!G:G,0))</f>
        <v>0</v>
      </c>
      <c r="N14" s="489">
        <f t="shared" si="6"/>
        <v>0</v>
      </c>
      <c r="O14" s="658"/>
      <c r="P14" s="655" t="str">
        <f>IF(Match!B14="","",Match!V14)</f>
        <v xml:space="preserve">Mansfield 3-2 Hartlepool </v>
      </c>
      <c r="Q14" s="96"/>
      <c r="R14" s="39" t="str">
        <f>IF(Odds!G14="","",Odds!G14)</f>
        <v>Mansfield</v>
      </c>
      <c r="S14" s="40" t="str">
        <f>INDEX(Odds!H:H,MATCH(R14,Odds!G:G,0))</f>
        <v>10/11</v>
      </c>
      <c r="T14" s="44">
        <f t="shared" si="0"/>
        <v>1</v>
      </c>
      <c r="U14" s="22" t="str">
        <f>INDEX(Match!Q:Q,MATCH(P14,Match!V:V,0))</f>
        <v>Mansfield</v>
      </c>
      <c r="V14" s="22">
        <f>INDEX(Match!G:G,MATCH(P14,Match!V:V,0))</f>
        <v>3</v>
      </c>
      <c r="W14" s="22" t="str">
        <f>INDEX(Match!R:R,MATCH(P14,Match!V:V,0))</f>
        <v>Hartlepool</v>
      </c>
      <c r="X14" s="22">
        <f>INDEX(Match!H:H,MATCH(P14,Match!V:V,0))</f>
        <v>2</v>
      </c>
      <c r="AB14" s="663" t="str">
        <f>IF(O14="","",INDEX(Odds!H:H,MATCH(O14,Odds!G:G,0)))</f>
        <v/>
      </c>
      <c r="AC14" s="694">
        <f>IF(J14="","",INDEX(Odds!K:K,MATCH(J14,Odds!G:G,0)))</f>
        <v>1</v>
      </c>
      <c r="AD14" s="702" t="s">
        <v>308</v>
      </c>
      <c r="AE14" s="77">
        <f>INDEX(Picks!F:F,MATCH(AD14,Picks!A:A,0))</f>
        <v>1.163636363636364</v>
      </c>
      <c r="AF14" s="481">
        <f>INDEX(Weekly!I:I,MATCH(AD14,Weekly!E:E,0))</f>
        <v>2</v>
      </c>
      <c r="AG14" s="74">
        <f t="shared" si="1"/>
        <v>13</v>
      </c>
      <c r="AI14" s="76" t="s">
        <v>299</v>
      </c>
      <c r="AJ14" s="77">
        <f>INDEX(Picks!G:G,MATCH(AI14,Picks!A:A,0))</f>
        <v>78.503846153846155</v>
      </c>
      <c r="AK14" s="481">
        <f>INDEX(Weekly!I:I,MATCH(AI14,Weekly!E:E,0))</f>
        <v>0</v>
      </c>
      <c r="AL14" s="74">
        <f t="shared" si="2"/>
        <v>8</v>
      </c>
    </row>
    <row r="15" spans="1:40">
      <c r="A15" s="490" t="str">
        <f>A14</f>
        <v>Alick Rocca</v>
      </c>
      <c r="B15" s="491" t="str">
        <f t="shared" si="3"/>
        <v>Carlisle Draw</v>
      </c>
      <c r="C15" s="586">
        <f>IF(J15="","",INDEX(Odds!C:C,MATCH(J15,Odds!G:G,0)))</f>
        <v>1</v>
      </c>
      <c r="D15" s="492">
        <f t="shared" si="4"/>
        <v>3.25</v>
      </c>
      <c r="E15" s="507" t="str">
        <f t="shared" si="5"/>
        <v>√</v>
      </c>
      <c r="F15" s="493"/>
      <c r="G15" s="504"/>
      <c r="H15" s="235"/>
      <c r="I15" s="412"/>
      <c r="J15" s="486" t="s">
        <v>652</v>
      </c>
      <c r="K15" s="218" t="str">
        <f>INDEX(Odds!H:H,MATCH(J15,Odds!G:G,0))</f>
        <v>9/4</v>
      </c>
      <c r="L15" s="495">
        <f>INDEX(Odds!I:I,MATCH(J15,Odds!G:G,0))</f>
        <v>3.25</v>
      </c>
      <c r="M15" s="488">
        <f>INDEX(Odds!J:J,MATCH(J15,Odds!G:G,0))</f>
        <v>1</v>
      </c>
      <c r="N15" s="489">
        <f t="shared" si="6"/>
        <v>3.25</v>
      </c>
      <c r="O15" s="658"/>
      <c r="P15" s="655" t="str">
        <f>IF(Match!B15="","",Match!V15)</f>
        <v xml:space="preserve">Oldham 1-3 Scunthorpe </v>
      </c>
      <c r="Q15" s="96"/>
      <c r="R15" s="39" t="str">
        <f>IF(Odds!G15="","",Odds!G15)</f>
        <v>Oldham</v>
      </c>
      <c r="S15" s="40" t="str">
        <f>INDEX(Odds!H:H,MATCH(R15,Odds!G:G,0))</f>
        <v>6/5</v>
      </c>
      <c r="T15" s="44">
        <f t="shared" si="0"/>
        <v>0</v>
      </c>
      <c r="U15" s="22" t="str">
        <f>INDEX(Match!Q:Q,MATCH(P15,Match!V:V,0))</f>
        <v>Oldham</v>
      </c>
      <c r="V15" s="22">
        <f>INDEX(Match!G:G,MATCH(P15,Match!V:V,0))</f>
        <v>1</v>
      </c>
      <c r="W15" s="22" t="str">
        <f>INDEX(Match!R:R,MATCH(P15,Match!V:V,0))</f>
        <v>Scunthorpe</v>
      </c>
      <c r="X15" s="22">
        <f>INDEX(Match!H:H,MATCH(P15,Match!V:V,0))</f>
        <v>3</v>
      </c>
      <c r="AB15" s="663" t="str">
        <f>IF(O15="","",INDEX(Odds!H:H,MATCH(O15,Odds!G:G,0)))</f>
        <v/>
      </c>
      <c r="AC15" s="694">
        <f>IF(J15="","",INDEX(Odds!K:K,MATCH(J15,Odds!G:G,0)))</f>
        <v>0</v>
      </c>
      <c r="AD15" s="76" t="s">
        <v>461</v>
      </c>
      <c r="AE15" s="77">
        <f>INDEX(Picks!F:F,MATCH(AD15,Picks!A:A,0))</f>
        <v>1.163636363636364</v>
      </c>
      <c r="AF15" s="481">
        <f>INDEX(Weekly!I:I,MATCH(AD15,Weekly!E:E,0))</f>
        <v>2</v>
      </c>
      <c r="AG15" s="74">
        <f t="shared" si="1"/>
        <v>13</v>
      </c>
      <c r="AI15" s="76" t="s">
        <v>296</v>
      </c>
      <c r="AJ15" s="77">
        <f>INDEX(Picks!G:G,MATCH(AI15,Picks!A:A,0))</f>
        <v>73.27000000000001</v>
      </c>
      <c r="AK15" s="481">
        <f>INDEX(Weekly!I:I,MATCH(AI15,Weekly!E:E,0))</f>
        <v>0</v>
      </c>
      <c r="AL15" s="74">
        <f t="shared" si="2"/>
        <v>9</v>
      </c>
    </row>
    <row r="16" spans="1:40" ht="13.5" thickBot="1">
      <c r="A16" s="496" t="str">
        <f>A14</f>
        <v>Alick Rocca</v>
      </c>
      <c r="B16" s="497" t="str">
        <f t="shared" si="3"/>
        <v>Colchester Draw</v>
      </c>
      <c r="C16" s="587">
        <f>IF(J16="","",INDEX(Odds!C:C,MATCH(J16,Odds!G:G,0)))</f>
        <v>1</v>
      </c>
      <c r="D16" s="498">
        <f t="shared" si="4"/>
        <v>3.4</v>
      </c>
      <c r="E16" s="507" t="str">
        <f t="shared" si="5"/>
        <v>√</v>
      </c>
      <c r="F16" s="493"/>
      <c r="G16" s="504"/>
      <c r="H16" s="235"/>
      <c r="I16" s="412"/>
      <c r="J16" s="499" t="s">
        <v>653</v>
      </c>
      <c r="K16" s="219" t="str">
        <f>INDEX(Odds!H:H,MATCH(J16,Odds!G:G,0))</f>
        <v>12/5</v>
      </c>
      <c r="L16" s="500">
        <f>INDEX(Odds!I:I,MATCH(J16,Odds!G:G,0))</f>
        <v>3.4</v>
      </c>
      <c r="M16" s="488">
        <f>INDEX(Odds!J:J,MATCH(J16,Odds!G:G,0))</f>
        <v>1</v>
      </c>
      <c r="N16" s="501">
        <f t="shared" si="6"/>
        <v>3.4</v>
      </c>
      <c r="O16" s="659"/>
      <c r="P16" s="655" t="str">
        <f>IF(Match!B16="","",Match!V16)</f>
        <v xml:space="preserve">Tranmere 2-0 Barrow </v>
      </c>
      <c r="Q16" s="96"/>
      <c r="R16" s="39" t="str">
        <f>IF(Odds!G16="","",Odds!G16)</f>
        <v>Tranmere</v>
      </c>
      <c r="S16" s="40" t="str">
        <f>INDEX(Odds!H:H,MATCH(R16,Odds!G:G,0))</f>
        <v>23/20</v>
      </c>
      <c r="T16" s="44">
        <f t="shared" si="0"/>
        <v>1</v>
      </c>
      <c r="U16" s="22" t="str">
        <f>INDEX(Match!Q:Q,MATCH(P16,Match!V:V,0))</f>
        <v>Tranmere</v>
      </c>
      <c r="V16" s="22">
        <f>INDEX(Match!G:G,MATCH(P16,Match!V:V,0))</f>
        <v>2</v>
      </c>
      <c r="W16" s="22" t="str">
        <f>INDEX(Match!R:R,MATCH(P16,Match!V:V,0))</f>
        <v>Barrow</v>
      </c>
      <c r="X16" s="22">
        <f>INDEX(Match!H:H,MATCH(P16,Match!V:V,0))</f>
        <v>0</v>
      </c>
      <c r="AB16" s="664" t="str">
        <f>IF(O16="","",INDEX(Odds!H:H,MATCH(O16,Odds!G:G,0)))</f>
        <v/>
      </c>
      <c r="AC16" s="694">
        <f>IF(J16="","",INDEX(Odds!K:K,MATCH(J16,Odds!G:G,0)))</f>
        <v>0</v>
      </c>
      <c r="AD16" s="74" t="s">
        <v>317</v>
      </c>
      <c r="AE16" s="77">
        <f>INDEX(Picks!F:F,MATCH(AD16,Picks!A:A,0))</f>
        <v>1.1000000000000001</v>
      </c>
      <c r="AF16" s="481">
        <f>INDEX(Weekly!I:I,MATCH(AD16,Weekly!E:E,0))</f>
        <v>1</v>
      </c>
      <c r="AG16" s="74">
        <f t="shared" si="1"/>
        <v>15</v>
      </c>
      <c r="AI16" s="76" t="s">
        <v>309</v>
      </c>
      <c r="AJ16" s="77">
        <f>INDEX(Picks!G:G,MATCH(AI16,Picks!A:A,0))</f>
        <v>52.37777777777778</v>
      </c>
      <c r="AK16" s="481">
        <f>INDEX(Weekly!I:I,MATCH(AI16,Weekly!E:E,0))</f>
        <v>1</v>
      </c>
      <c r="AL16" s="74">
        <f t="shared" si="2"/>
        <v>10</v>
      </c>
    </row>
    <row r="17" spans="1:38" ht="13.9" thickTop="1" thickBot="1">
      <c r="A17" s="484" t="str">
        <f>Results!B17</f>
        <v>Andy Charleston</v>
      </c>
      <c r="B17" s="502" t="str">
        <f t="shared" si="3"/>
        <v>Hull draw</v>
      </c>
      <c r="C17" s="586">
        <f>IF(J17="","",INDEX(Odds!C:C,MATCH(J17,Odds!G:G,0)))</f>
        <v>1</v>
      </c>
      <c r="D17" s="485">
        <f t="shared" si="4"/>
        <v>3.25</v>
      </c>
      <c r="E17" s="508" t="str">
        <f t="shared" si="5"/>
        <v>√</v>
      </c>
      <c r="F17" s="415">
        <f>IF(J17="",-10,INDEX(Results!T:T,MATCH(A17,Results!V:V,0)))</f>
        <v>-3</v>
      </c>
      <c r="G17" s="216">
        <f>IF(J17="","",INDEX(Results!AI:AI,MATCH(A17,Results!V:V,0)))</f>
        <v>15.8</v>
      </c>
      <c r="H17" s="235">
        <f>IF(G17="",0,1)</f>
        <v>1</v>
      </c>
      <c r="I17" s="411">
        <f>INDEX(Picks!AG:AG,MATCH(A17,Picks!AD:AD,0))</f>
        <v>39</v>
      </c>
      <c r="J17" s="486" t="s">
        <v>659</v>
      </c>
      <c r="K17" s="217" t="str">
        <f>INDEX(Odds!H:H,MATCH(J17,Odds!G:G,0))</f>
        <v>9/4</v>
      </c>
      <c r="L17" s="487">
        <f>INDEX(Odds!I:I,MATCH(J17,Odds!G:G,0))</f>
        <v>3.25</v>
      </c>
      <c r="M17" s="503">
        <f>INDEX(Odds!J:J,MATCH(J17,Odds!G:G,0))</f>
        <v>1</v>
      </c>
      <c r="N17" s="489">
        <f t="shared" si="6"/>
        <v>3.25</v>
      </c>
      <c r="O17" s="658"/>
      <c r="P17" s="655" t="str">
        <f>IF(Match!B17="","",Match!V17)</f>
        <v xml:space="preserve">Aldershot 1-1 Woking </v>
      </c>
      <c r="Q17" s="96"/>
      <c r="R17" s="39" t="str">
        <f>IF(Odds!G17="","",Odds!G17)</f>
        <v>Aldershot</v>
      </c>
      <c r="S17" s="40" t="str">
        <f>INDEX(Odds!H:H,MATCH(R17,Odds!G:G,0))</f>
        <v>16/11</v>
      </c>
      <c r="T17" s="44">
        <f t="shared" si="0"/>
        <v>0</v>
      </c>
      <c r="U17" s="22" t="str">
        <f>INDEX(Match!Q:Q,MATCH(P17,Match!V:V,0))</f>
        <v>Aldershot</v>
      </c>
      <c r="V17" s="22">
        <f>INDEX(Match!G:G,MATCH(P17,Match!V:V,0))</f>
        <v>1</v>
      </c>
      <c r="W17" s="22" t="str">
        <f>INDEX(Match!R:R,MATCH(P17,Match!V:V,0))</f>
        <v>Woking</v>
      </c>
      <c r="X17" s="22">
        <f>INDEX(Match!H:H,MATCH(P17,Match!V:V,0))</f>
        <v>1</v>
      </c>
      <c r="AB17" s="663" t="str">
        <f>IF(O17="","",INDEX(Odds!H:H,MATCH(O17,Odds!G:G,0)))</f>
        <v/>
      </c>
      <c r="AC17" s="694">
        <f>IF(J17="","",INDEX(Odds!K:K,MATCH(J17,Odds!G:G,0)))</f>
        <v>0</v>
      </c>
      <c r="AD17" s="76" t="s">
        <v>295</v>
      </c>
      <c r="AE17" s="77">
        <f>INDEX(Picks!F:F,MATCH(AD17,Picks!A:A,0))</f>
        <v>0.83500000000000085</v>
      </c>
      <c r="AF17" s="481">
        <f>INDEX(Weekly!I:I,MATCH(AD17,Weekly!E:E,0))</f>
        <v>2</v>
      </c>
      <c r="AG17" s="74">
        <f t="shared" si="1"/>
        <v>16</v>
      </c>
      <c r="AI17" s="76" t="s">
        <v>295</v>
      </c>
      <c r="AJ17" s="77">
        <f>INDEX(Picks!G:G,MATCH(AI17,Picks!A:A,0))</f>
        <v>52.078000000000003</v>
      </c>
      <c r="AK17" s="481">
        <f>INDEX(Weekly!I:I,MATCH(AI17,Weekly!E:E,0))</f>
        <v>2</v>
      </c>
      <c r="AL17" s="74">
        <f t="shared" si="2"/>
        <v>11</v>
      </c>
    </row>
    <row r="18" spans="1:38">
      <c r="A18" s="490" t="str">
        <f>A17</f>
        <v>Andy Charleston</v>
      </c>
      <c r="B18" s="491" t="str">
        <f>IF(J18="","",J18)</f>
        <v>Brighton draw</v>
      </c>
      <c r="C18" s="586">
        <f>IF(J18="","",INDEX(Odds!C:C,MATCH(J18,Odds!G:G,0)))</f>
        <v>1</v>
      </c>
      <c r="D18" s="492">
        <f t="shared" si="4"/>
        <v>3.5</v>
      </c>
      <c r="E18" s="507" t="str">
        <f t="shared" si="5"/>
        <v>x</v>
      </c>
      <c r="F18" s="493"/>
      <c r="G18" s="504"/>
      <c r="H18" s="235"/>
      <c r="I18" s="412"/>
      <c r="J18" s="486" t="s">
        <v>646</v>
      </c>
      <c r="K18" s="218" t="str">
        <f>INDEX(Odds!H:H,MATCH(J18,Odds!G:G,0))</f>
        <v>5/2</v>
      </c>
      <c r="L18" s="495">
        <f>INDEX(Odds!I:I,MATCH(J18,Odds!G:G,0))</f>
        <v>3.5</v>
      </c>
      <c r="M18" s="488">
        <f>INDEX(Odds!J:J,MATCH(J18,Odds!G:G,0))</f>
        <v>0</v>
      </c>
      <c r="N18" s="489">
        <f t="shared" si="6"/>
        <v>0</v>
      </c>
      <c r="O18" s="658"/>
      <c r="P18" s="655" t="str">
        <f>IF(Match!B18="","",Match!V18)</f>
        <v xml:space="preserve">Bromley 1-1 Southend </v>
      </c>
      <c r="Q18" s="96"/>
      <c r="R18" s="39" t="str">
        <f>IF(Odds!G18="","",Odds!G18)</f>
        <v>Bromley</v>
      </c>
      <c r="S18" s="40" t="str">
        <f>INDEX(Odds!H:H,MATCH(R18,Odds!G:G,0))</f>
        <v>7/10</v>
      </c>
      <c r="T18" s="44">
        <f t="shared" si="0"/>
        <v>0</v>
      </c>
      <c r="U18" s="22" t="str">
        <f>INDEX(Match!Q:Q,MATCH(P18,Match!V:V,0))</f>
        <v>Bromley</v>
      </c>
      <c r="V18" s="22">
        <f>INDEX(Match!G:G,MATCH(P18,Match!V:V,0))</f>
        <v>1</v>
      </c>
      <c r="W18" s="22" t="str">
        <f>INDEX(Match!R:R,MATCH(P18,Match!V:V,0))</f>
        <v>Southend</v>
      </c>
      <c r="X18" s="22">
        <f>INDEX(Match!H:H,MATCH(P18,Match!V:V,0))</f>
        <v>1</v>
      </c>
      <c r="AB18" s="663" t="str">
        <f>IF(O18="","",INDEX(Odds!H:H,MATCH(O18,Odds!G:G,0)))</f>
        <v/>
      </c>
      <c r="AC18" s="694">
        <f>IF(J18="","",INDEX(Odds!K:K,MATCH(J18,Odds!G:G,0)))</f>
        <v>1</v>
      </c>
      <c r="AD18" s="74" t="s">
        <v>298</v>
      </c>
      <c r="AE18" s="77">
        <f>INDEX(Picks!F:F,MATCH(AD18,Picks!A:A,0))</f>
        <v>0.57500000000000018</v>
      </c>
      <c r="AF18" s="481">
        <f>INDEX(Weekly!I:I,MATCH(AD18,Weekly!E:E,0))</f>
        <v>2</v>
      </c>
      <c r="AG18" s="74">
        <f t="shared" si="1"/>
        <v>17</v>
      </c>
      <c r="AI18" s="76" t="s">
        <v>303</v>
      </c>
      <c r="AJ18" s="77">
        <f>INDEX(Picks!G:G,MATCH(AI18,Picks!A:A,0))</f>
        <v>49.712499999999999</v>
      </c>
      <c r="AK18" s="481">
        <f>INDEX(Weekly!I:I,MATCH(AI18,Weekly!E:E,0))</f>
        <v>0</v>
      </c>
      <c r="AL18" s="74">
        <f t="shared" si="2"/>
        <v>12</v>
      </c>
    </row>
    <row r="19" spans="1:38" ht="13.5" thickBot="1">
      <c r="A19" s="496" t="str">
        <f>A17</f>
        <v>Andy Charleston</v>
      </c>
      <c r="B19" s="497" t="str">
        <f t="shared" si="3"/>
        <v>Lincoln draw</v>
      </c>
      <c r="C19" s="587">
        <f>IF(J19="","",INDEX(Odds!C:C,MATCH(J19,Odds!G:G,0)))</f>
        <v>1</v>
      </c>
      <c r="D19" s="498">
        <f t="shared" si="4"/>
        <v>3.4</v>
      </c>
      <c r="E19" s="507" t="str">
        <f t="shared" si="5"/>
        <v>x</v>
      </c>
      <c r="F19" s="493"/>
      <c r="G19" s="504"/>
      <c r="H19" s="235"/>
      <c r="I19" s="412"/>
      <c r="J19" s="499" t="s">
        <v>660</v>
      </c>
      <c r="K19" s="219" t="str">
        <f>INDEX(Odds!H:H,MATCH(J19,Odds!G:G,0))</f>
        <v>12/5</v>
      </c>
      <c r="L19" s="500">
        <f>INDEX(Odds!I:I,MATCH(J19,Odds!G:G,0))</f>
        <v>3.4</v>
      </c>
      <c r="M19" s="488">
        <f>INDEX(Odds!J:J,MATCH(J19,Odds!G:G,0))</f>
        <v>0</v>
      </c>
      <c r="N19" s="501">
        <f t="shared" si="6"/>
        <v>0</v>
      </c>
      <c r="O19" s="659"/>
      <c r="P19" s="655" t="str">
        <f>IF(Match!B19="","",Match!V19)</f>
        <v xml:space="preserve">Dover 0-2 Dagenham </v>
      </c>
      <c r="Q19" s="96"/>
      <c r="R19" s="39" t="str">
        <f>IF(Odds!G19="","",Odds!G19)</f>
        <v>Dover</v>
      </c>
      <c r="S19" s="40" t="str">
        <f>INDEX(Odds!H:H,MATCH(R19,Odds!G:G,0))</f>
        <v>9/2</v>
      </c>
      <c r="T19" s="44">
        <f t="shared" si="0"/>
        <v>0</v>
      </c>
      <c r="U19" s="22" t="str">
        <f>INDEX(Match!Q:Q,MATCH(P19,Match!V:V,0))</f>
        <v>Dover</v>
      </c>
      <c r="V19" s="22">
        <f>INDEX(Match!G:G,MATCH(P19,Match!V:V,0))</f>
        <v>0</v>
      </c>
      <c r="W19" s="22" t="str">
        <f>INDEX(Match!R:R,MATCH(P19,Match!V:V,0))</f>
        <v>Dagenham</v>
      </c>
      <c r="X19" s="22">
        <f>INDEX(Match!H:H,MATCH(P19,Match!V:V,0))</f>
        <v>2</v>
      </c>
      <c r="AB19" s="664" t="str">
        <f>IF(O19="","",INDEX(Odds!H:H,MATCH(O19,Odds!G:G,0)))</f>
        <v/>
      </c>
      <c r="AC19" s="694">
        <f>IF(J19="","",INDEX(Odds!K:K,MATCH(J19,Odds!G:G,0)))</f>
        <v>1</v>
      </c>
      <c r="AD19" s="74" t="s">
        <v>304</v>
      </c>
      <c r="AE19" s="77">
        <f>INDEX(Picks!F:F,MATCH(AD19,Picks!A:A,0))</f>
        <v>6.666666666666643E-2</v>
      </c>
      <c r="AF19" s="481">
        <f>INDEX(Weekly!I:I,MATCH(AD19,Weekly!E:E,0))</f>
        <v>2</v>
      </c>
      <c r="AG19" s="74">
        <f t="shared" si="1"/>
        <v>18</v>
      </c>
      <c r="AI19" s="76" t="s">
        <v>550</v>
      </c>
      <c r="AJ19" s="77">
        <f>INDEX(Picks!G:G,MATCH(AI19,Picks!A:A,0))</f>
        <v>44.222222222222221</v>
      </c>
      <c r="AK19" s="481">
        <f>INDEX(Weekly!I:I,MATCH(AI19,Weekly!E:E,0))</f>
        <v>2</v>
      </c>
      <c r="AL19" s="74">
        <f t="shared" si="2"/>
        <v>13</v>
      </c>
    </row>
    <row r="20" spans="1:38" ht="13.9" thickTop="1" thickBot="1">
      <c r="A20" s="484" t="str">
        <f>Results!B20</f>
        <v>Andy Hargreaves</v>
      </c>
      <c r="B20" s="502" t="str">
        <f t="shared" si="3"/>
        <v/>
      </c>
      <c r="C20" s="586" t="str">
        <f>IF(J20="","",INDEX(Odds!C:C,MATCH(J20,Odds!G:G,0)))</f>
        <v/>
      </c>
      <c r="D20" s="485" t="str">
        <f t="shared" si="4"/>
        <v/>
      </c>
      <c r="E20" s="508" t="str">
        <f t="shared" si="5"/>
        <v/>
      </c>
      <c r="F20" s="415">
        <f>IF(J20="",-10,INDEX(Results!T:T,MATCH(A20,Results!V:V,0)))</f>
        <v>-10</v>
      </c>
      <c r="G20" s="216" t="str">
        <f>IF(J20="","",INDEX(Results!AI:AI,MATCH(A20,Results!V:V,0)))</f>
        <v/>
      </c>
      <c r="H20" s="235">
        <f>IF(G20="",0,1)</f>
        <v>0</v>
      </c>
      <c r="I20" s="411" t="str">
        <f>INDEX(Picks!AG:AG,MATCH(A20,Picks!AD:AD,0))</f>
        <v/>
      </c>
      <c r="J20" s="486"/>
      <c r="K20" s="217" t="e">
        <f>INDEX(Odds!H:H,MATCH(J20,Odds!G:G,0))</f>
        <v>#N/A</v>
      </c>
      <c r="L20" s="487" t="e">
        <f>INDEX(Odds!I:I,MATCH(J20,Odds!G:G,0))</f>
        <v>#N/A</v>
      </c>
      <c r="M20" s="503" t="e">
        <f>INDEX(Odds!J:J,MATCH(J20,Odds!G:G,0))</f>
        <v>#N/A</v>
      </c>
      <c r="N20" s="489" t="e">
        <f t="shared" si="6"/>
        <v>#N/A</v>
      </c>
      <c r="O20" s="658"/>
      <c r="P20" s="655" t="str">
        <f>IF(Match!B20="","",Match!V20)</f>
        <v xml:space="preserve">Stockport 5-1 Altrincham </v>
      </c>
      <c r="Q20" s="96"/>
      <c r="R20" s="39" t="str">
        <f>IF(Odds!G20="","",Odds!G20)</f>
        <v>Stockport</v>
      </c>
      <c r="S20" s="40" t="str">
        <f>INDEX(Odds!H:H,MATCH(R20,Odds!G:G,0))</f>
        <v>13/18</v>
      </c>
      <c r="T20" s="44">
        <f t="shared" si="0"/>
        <v>1</v>
      </c>
      <c r="U20" s="22" t="str">
        <f>INDEX(Match!Q:Q,MATCH(P20,Match!V:V,0))</f>
        <v>Stockport</v>
      </c>
      <c r="V20" s="22">
        <f>INDEX(Match!G:G,MATCH(P20,Match!V:V,0))</f>
        <v>5</v>
      </c>
      <c r="W20" s="22" t="str">
        <f>INDEX(Match!R:R,MATCH(P20,Match!V:V,0))</f>
        <v>Altrincham</v>
      </c>
      <c r="X20" s="22">
        <f>INDEX(Match!H:H,MATCH(P20,Match!V:V,0))</f>
        <v>1</v>
      </c>
      <c r="AB20" s="663" t="str">
        <f>IF(O20="","",INDEX(Odds!H:H,MATCH(O20,Odds!G:G,0)))</f>
        <v/>
      </c>
      <c r="AC20" s="694" t="str">
        <f>IF(J20="","",INDEX(Odds!K:K,MATCH(J20,Odds!G:G,0)))</f>
        <v/>
      </c>
      <c r="AD20" s="74" t="s">
        <v>383</v>
      </c>
      <c r="AE20" s="77">
        <f>INDEX(Picks!F:F,MATCH(AD20,Picks!A:A,0))</f>
        <v>0</v>
      </c>
      <c r="AF20" s="481">
        <f>INDEX(Weekly!I:I,MATCH(AD20,Weekly!E:E,0))</f>
        <v>0</v>
      </c>
      <c r="AG20" s="74">
        <f t="shared" si="1"/>
        <v>19</v>
      </c>
      <c r="AI20" s="74" t="s">
        <v>387</v>
      </c>
      <c r="AJ20" s="77">
        <f>INDEX(Picks!G:G,MATCH(AI20,Picks!A:A,0))</f>
        <v>43.66</v>
      </c>
      <c r="AK20" s="481">
        <f>INDEX(Weekly!I:I,MATCH(AI20,Weekly!E:E,0))</f>
        <v>1</v>
      </c>
      <c r="AL20" s="74">
        <f t="shared" si="2"/>
        <v>14</v>
      </c>
    </row>
    <row r="21" spans="1:38">
      <c r="A21" s="490" t="str">
        <f>A20</f>
        <v>Andy Hargreaves</v>
      </c>
      <c r="B21" s="491" t="str">
        <f t="shared" si="3"/>
        <v/>
      </c>
      <c r="C21" s="586" t="str">
        <f>IF(J21="","",INDEX(Odds!C:C,MATCH(J21,Odds!G:G,0)))</f>
        <v/>
      </c>
      <c r="D21" s="492" t="str">
        <f t="shared" si="4"/>
        <v/>
      </c>
      <c r="E21" s="507" t="str">
        <f t="shared" si="5"/>
        <v/>
      </c>
      <c r="F21" s="493"/>
      <c r="G21" s="504"/>
      <c r="H21" s="235"/>
      <c r="I21" s="412"/>
      <c r="J21" s="486"/>
      <c r="K21" s="218" t="e">
        <f>INDEX(Odds!H:H,MATCH(J21,Odds!G:G,0))</f>
        <v>#N/A</v>
      </c>
      <c r="L21" s="495" t="e">
        <f>INDEX(Odds!I:I,MATCH(J21,Odds!G:G,0))</f>
        <v>#N/A</v>
      </c>
      <c r="M21" s="488" t="e">
        <f>INDEX(Odds!J:J,MATCH(J21,Odds!G:G,0))</f>
        <v>#N/A</v>
      </c>
      <c r="N21" s="489" t="e">
        <f t="shared" si="6"/>
        <v>#N/A</v>
      </c>
      <c r="O21" s="658"/>
      <c r="P21" s="655" t="str">
        <f>IF(Match!B21="","",Match!V21)</f>
        <v xml:space="preserve">Torquay 3-0 Yeovil </v>
      </c>
      <c r="Q21" s="96"/>
      <c r="R21" s="39" t="str">
        <f>IF(Odds!G21="","",Odds!G21)</f>
        <v>Torquay</v>
      </c>
      <c r="S21" s="40" t="str">
        <f>INDEX(Odds!H:H,MATCH(R21,Odds!G:G,0))</f>
        <v>19/20</v>
      </c>
      <c r="T21" s="44">
        <f t="shared" si="0"/>
        <v>1</v>
      </c>
      <c r="U21" s="22" t="str">
        <f>INDEX(Match!Q:Q,MATCH(P21,Match!V:V,0))</f>
        <v>Torquay</v>
      </c>
      <c r="V21" s="22">
        <f>INDEX(Match!G:G,MATCH(P21,Match!V:V,0))</f>
        <v>3</v>
      </c>
      <c r="W21" s="22" t="str">
        <f>INDEX(Match!R:R,MATCH(P21,Match!V:V,0))</f>
        <v>Yeovil</v>
      </c>
      <c r="X21" s="22">
        <f>INDEX(Match!H:H,MATCH(P21,Match!V:V,0))</f>
        <v>0</v>
      </c>
      <c r="AB21" s="663" t="str">
        <f>IF(O21="","",INDEX(Odds!H:H,MATCH(O21,Odds!G:G,0)))</f>
        <v/>
      </c>
      <c r="AC21" s="694" t="str">
        <f>IF(J21="","",INDEX(Odds!K:K,MATCH(J21,Odds!G:G,0)))</f>
        <v/>
      </c>
      <c r="AD21" s="74" t="s">
        <v>287</v>
      </c>
      <c r="AE21" s="77">
        <f>INDEX(Picks!F:F,MATCH(AD21,Picks!A:A,0))</f>
        <v>-0.30499999999999972</v>
      </c>
      <c r="AF21" s="481">
        <f>INDEX(Weekly!I:I,MATCH(AD21,Weekly!E:E,0))</f>
        <v>2</v>
      </c>
      <c r="AG21" s="74">
        <f t="shared" si="1"/>
        <v>20</v>
      </c>
      <c r="AI21" s="76" t="s">
        <v>289</v>
      </c>
      <c r="AJ21" s="77">
        <f>INDEX(Picks!G:G,MATCH(AI21,Picks!A:A,0))</f>
        <v>40.216000000000001</v>
      </c>
      <c r="AK21" s="481">
        <f>INDEX(Weekly!I:I,MATCH(AI21,Weekly!E:E,0))</f>
        <v>2</v>
      </c>
      <c r="AL21" s="74">
        <f t="shared" si="2"/>
        <v>15</v>
      </c>
    </row>
    <row r="22" spans="1:38" ht="13.5" thickBot="1">
      <c r="A22" s="496" t="str">
        <f>A20</f>
        <v>Andy Hargreaves</v>
      </c>
      <c r="B22" s="497" t="str">
        <f t="shared" si="3"/>
        <v/>
      </c>
      <c r="C22" s="587" t="str">
        <f>IF(J22="","",INDEX(Odds!C:C,MATCH(J22,Odds!G:G,0)))</f>
        <v/>
      </c>
      <c r="D22" s="498" t="str">
        <f t="shared" si="4"/>
        <v/>
      </c>
      <c r="E22" s="507" t="str">
        <f t="shared" si="5"/>
        <v/>
      </c>
      <c r="F22" s="493"/>
      <c r="G22" s="504"/>
      <c r="H22" s="235"/>
      <c r="I22" s="412"/>
      <c r="J22" s="499"/>
      <c r="K22" s="219" t="e">
        <f>INDEX(Odds!H:H,MATCH(J22,Odds!G:G,0))</f>
        <v>#N/A</v>
      </c>
      <c r="L22" s="500" t="e">
        <f>INDEX(Odds!I:I,MATCH(J22,Odds!G:G,0))</f>
        <v>#N/A</v>
      </c>
      <c r="M22" s="488" t="e">
        <f>INDEX(Odds!J:J,MATCH(J22,Odds!G:G,0))</f>
        <v>#N/A</v>
      </c>
      <c r="N22" s="501" t="e">
        <f t="shared" si="6"/>
        <v>#N/A</v>
      </c>
      <c r="O22" s="659"/>
      <c r="P22" s="655" t="str">
        <f>IF(Match!B22="","",Match!V22)</f>
        <v>Burnley - Everton OFF</v>
      </c>
      <c r="Q22" s="96"/>
      <c r="R22" s="39" t="str">
        <f>IF(Odds!G22="","",Odds!G22)</f>
        <v>Burnley</v>
      </c>
      <c r="S22" s="40" t="str">
        <f>INDEX(Odds!H:H,MATCH(R22,Odds!G:G,0))</f>
        <v>29/20</v>
      </c>
      <c r="T22" s="44">
        <f t="shared" si="0"/>
        <v>0</v>
      </c>
      <c r="U22" s="22" t="str">
        <f>INDEX(Match!Q:Q,MATCH(P22,Match!V:V,0))</f>
        <v>Burnley</v>
      </c>
      <c r="V22" s="22">
        <f>INDEX(Match!G:G,MATCH(P22,Match!V:V,0))</f>
        <v>0</v>
      </c>
      <c r="W22" s="22" t="str">
        <f>INDEX(Match!R:R,MATCH(P22,Match!V:V,0))</f>
        <v>Everton</v>
      </c>
      <c r="X22" s="22">
        <f>INDEX(Match!H:H,MATCH(P22,Match!V:V,0))</f>
        <v>0</v>
      </c>
      <c r="AB22" s="664" t="str">
        <f>IF(O22="","",INDEX(Odds!H:H,MATCH(O22,Odds!G:G,0)))</f>
        <v/>
      </c>
      <c r="AC22" s="694" t="str">
        <f>IF(J22="","",INDEX(Odds!K:K,MATCH(J22,Odds!G:G,0)))</f>
        <v/>
      </c>
      <c r="AD22" s="74" t="s">
        <v>319</v>
      </c>
      <c r="AE22" s="77">
        <f>INDEX(Picks!F:F,MATCH(AD22,Picks!A:A,0))</f>
        <v>-0.40404040404040309</v>
      </c>
      <c r="AF22" s="481">
        <f>INDEX(Weekly!I:I,MATCH(AD22,Weekly!E:E,0))</f>
        <v>2</v>
      </c>
      <c r="AG22" s="74">
        <f t="shared" si="1"/>
        <v>21</v>
      </c>
      <c r="AI22" s="702" t="s">
        <v>290</v>
      </c>
      <c r="AJ22" s="77">
        <f>INDEX(Picks!G:G,MATCH(AI22,Picks!A:A,0))</f>
        <v>35.942499999999995</v>
      </c>
      <c r="AK22" s="481">
        <f>INDEX(Weekly!I:I,MATCH(AI22,Weekly!E:E,0))</f>
        <v>2</v>
      </c>
      <c r="AL22" s="74">
        <f t="shared" si="2"/>
        <v>16</v>
      </c>
    </row>
    <row r="23" spans="1:38" ht="13.9" thickTop="1" thickBot="1">
      <c r="A23" s="484" t="str">
        <f>Results!B23</f>
        <v>Andy White</v>
      </c>
      <c r="B23" s="502" t="str">
        <f t="shared" si="3"/>
        <v>Villa</v>
      </c>
      <c r="C23" s="586">
        <f>IF(J23="","",INDEX(Odds!C:C,MATCH(J23,Odds!G:G,0)))</f>
        <v>1</v>
      </c>
      <c r="D23" s="485">
        <f t="shared" si="4"/>
        <v>5.8</v>
      </c>
      <c r="E23" s="508" t="str">
        <f t="shared" si="5"/>
        <v>x</v>
      </c>
      <c r="F23" s="415">
        <f>IF(J23="",-10,INDEX(Results!T:T,MATCH(A23,Results!V:V,0)))</f>
        <v>0.83500000000000085</v>
      </c>
      <c r="G23" s="216">
        <f>IF(J23="","",INDEX(Results!AI:AI,MATCH(A23,Results!V:V,0)))</f>
        <v>52.078000000000003</v>
      </c>
      <c r="H23" s="235">
        <f>IF(G23="",0,1)</f>
        <v>1</v>
      </c>
      <c r="I23" s="411">
        <f>INDEX(Picks!AG:AG,MATCH(A23,Picks!AD:AD,0))</f>
        <v>16</v>
      </c>
      <c r="J23" s="486" t="s">
        <v>450</v>
      </c>
      <c r="K23" s="217" t="str">
        <f>INDEX(Odds!H:H,MATCH(J23,Odds!G:G,0))</f>
        <v>24/5</v>
      </c>
      <c r="L23" s="487">
        <f>INDEX(Odds!I:I,MATCH(J23,Odds!G:G,0))</f>
        <v>5.8</v>
      </c>
      <c r="M23" s="503">
        <f>INDEX(Odds!J:J,MATCH(J23,Odds!G:G,0))</f>
        <v>0</v>
      </c>
      <c r="N23" s="489">
        <f t="shared" si="6"/>
        <v>0</v>
      </c>
      <c r="O23" s="658"/>
      <c r="P23" s="655" t="str">
        <f>IF(Match!B23="","",Match!V23)</f>
        <v>Liverpool - Leeds OFF</v>
      </c>
      <c r="Q23" s="96"/>
      <c r="R23" s="39" t="str">
        <f>IF(Odds!G23="","",Odds!G23)</f>
        <v>Liverpool</v>
      </c>
      <c r="S23" s="40" t="str">
        <f>INDEX(Odds!H:H,MATCH(R23,Odds!G:G,0))</f>
        <v>1/7</v>
      </c>
      <c r="T23" s="44">
        <f t="shared" si="0"/>
        <v>0</v>
      </c>
      <c r="U23" s="22" t="str">
        <f>INDEX(Match!Q:Q,MATCH(P23,Match!V:V,0))</f>
        <v>Liverpool</v>
      </c>
      <c r="V23" s="22">
        <f>INDEX(Match!G:G,MATCH(P23,Match!V:V,0))</f>
        <v>0</v>
      </c>
      <c r="W23" s="22" t="str">
        <f>INDEX(Match!R:R,MATCH(P23,Match!V:V,0))</f>
        <v>Leeds</v>
      </c>
      <c r="X23" s="22">
        <f>INDEX(Match!H:H,MATCH(P23,Match!V:V,0))</f>
        <v>0</v>
      </c>
      <c r="AB23" s="663" t="str">
        <f>IF(O23="","",INDEX(Odds!H:H,MATCH(O23,Odds!G:G,0)))</f>
        <v/>
      </c>
      <c r="AC23" s="694">
        <f>IF(J23="","",INDEX(Odds!K:K,MATCH(J23,Odds!G:G,0)))</f>
        <v>1</v>
      </c>
      <c r="AD23" s="76" t="s">
        <v>460</v>
      </c>
      <c r="AE23" s="77">
        <f>INDEX(Picks!F:F,MATCH(AD23,Picks!A:A,0))</f>
        <v>-0.4222222222222225</v>
      </c>
      <c r="AF23" s="481">
        <f>INDEX(Weekly!I:I,MATCH(AD23,Weekly!E:E,0))</f>
        <v>2</v>
      </c>
      <c r="AG23" s="74">
        <f t="shared" si="1"/>
        <v>22</v>
      </c>
      <c r="AI23" s="76" t="s">
        <v>320</v>
      </c>
      <c r="AJ23" s="77">
        <f>INDEX(Picks!G:G,MATCH(AI23,Picks!A:A,0))</f>
        <v>34.859615384615381</v>
      </c>
      <c r="AK23" s="481">
        <f>INDEX(Weekly!I:I,MATCH(AI23,Weekly!E:E,0))</f>
        <v>2</v>
      </c>
      <c r="AL23" s="74">
        <f t="shared" si="2"/>
        <v>17</v>
      </c>
    </row>
    <row r="24" spans="1:38">
      <c r="A24" s="490" t="str">
        <f>A23</f>
        <v>Andy White</v>
      </c>
      <c r="B24" s="491" t="str">
        <f t="shared" si="3"/>
        <v>Brighton</v>
      </c>
      <c r="C24" s="586">
        <f>IF(J24="","",INDEX(Odds!C:C,MATCH(J24,Odds!G:G,0)))</f>
        <v>1</v>
      </c>
      <c r="D24" s="492">
        <f t="shared" si="4"/>
        <v>1.85</v>
      </c>
      <c r="E24" s="507" t="str">
        <f t="shared" si="5"/>
        <v>√</v>
      </c>
      <c r="F24" s="493"/>
      <c r="G24" s="504"/>
      <c r="H24" s="235"/>
      <c r="I24" s="412"/>
      <c r="J24" s="486" t="s">
        <v>607</v>
      </c>
      <c r="K24" s="218" t="str">
        <f>INDEX(Odds!H:H,MATCH(J24,Odds!G:G,0))</f>
        <v>17/20</v>
      </c>
      <c r="L24" s="495">
        <f>INDEX(Odds!I:I,MATCH(J24,Odds!G:G,0))</f>
        <v>1.85</v>
      </c>
      <c r="M24" s="488">
        <f>INDEX(Odds!J:J,MATCH(J24,Odds!G:G,0))</f>
        <v>1</v>
      </c>
      <c r="N24" s="489">
        <f t="shared" si="6"/>
        <v>1.85</v>
      </c>
      <c r="O24" s="658"/>
      <c r="P24" s="655" t="str">
        <f>IF(Match!B24="","",Match!V24)</f>
        <v>Wolves - Watford OFF</v>
      </c>
      <c r="Q24" s="96"/>
      <c r="R24" s="39" t="str">
        <f>IF(Odds!G24="","",Odds!G24)</f>
        <v>Wolves</v>
      </c>
      <c r="S24" s="40" t="str">
        <f>INDEX(Odds!H:H,MATCH(R24,Odds!G:G,0))</f>
        <v>5/6</v>
      </c>
      <c r="T24" s="44">
        <f t="shared" si="0"/>
        <v>0</v>
      </c>
      <c r="U24" s="22" t="str">
        <f>INDEX(Match!Q:Q,MATCH(P24,Match!V:V,0))</f>
        <v>Wolves</v>
      </c>
      <c r="V24" s="22">
        <f>INDEX(Match!G:G,MATCH(P24,Match!V:V,0))</f>
        <v>0</v>
      </c>
      <c r="W24" s="22" t="str">
        <f>INDEX(Match!R:R,MATCH(P24,Match!V:V,0))</f>
        <v>Watford</v>
      </c>
      <c r="X24" s="22">
        <f>INDEX(Match!H:H,MATCH(P24,Match!V:V,0))</f>
        <v>0</v>
      </c>
      <c r="AB24" s="663" t="str">
        <f>IF(O24="","",INDEX(Odds!H:H,MATCH(O24,Odds!G:G,0)))</f>
        <v/>
      </c>
      <c r="AC24" s="694">
        <f>IF(J24="","",INDEX(Odds!K:K,MATCH(J24,Odds!G:G,0)))</f>
        <v>1</v>
      </c>
      <c r="AD24" s="74" t="s">
        <v>320</v>
      </c>
      <c r="AE24" s="77">
        <f>INDEX(Picks!F:F,MATCH(AD24,Picks!A:A,0))</f>
        <v>-0.54615384615384599</v>
      </c>
      <c r="AF24" s="481">
        <f>INDEX(Weekly!I:I,MATCH(AD24,Weekly!E:E,0))</f>
        <v>2</v>
      </c>
      <c r="AG24" s="74">
        <f t="shared" si="1"/>
        <v>23</v>
      </c>
      <c r="AI24" s="76" t="s">
        <v>316</v>
      </c>
      <c r="AJ24" s="77">
        <f>INDEX(Picks!G:G,MATCH(AI24,Picks!A:A,0))</f>
        <v>30.981250000000003</v>
      </c>
      <c r="AK24" s="481">
        <f>INDEX(Weekly!I:I,MATCH(AI24,Weekly!E:E,0))</f>
        <v>1</v>
      </c>
      <c r="AL24" s="74">
        <f t="shared" si="2"/>
        <v>18</v>
      </c>
    </row>
    <row r="25" spans="1:38" ht="13.5" thickBot="1">
      <c r="A25" s="496" t="str">
        <f>A23</f>
        <v>Andy White</v>
      </c>
      <c r="B25" s="497" t="str">
        <f t="shared" si="3"/>
        <v>Huddersfield</v>
      </c>
      <c r="C25" s="587">
        <f>IF(J25="","",INDEX(Odds!C:C,MATCH(J25,Odds!G:G,0)))</f>
        <v>1</v>
      </c>
      <c r="D25" s="498">
        <f t="shared" si="4"/>
        <v>2.1</v>
      </c>
      <c r="E25" s="507" t="str">
        <f t="shared" si="5"/>
        <v>√</v>
      </c>
      <c r="F25" s="493"/>
      <c r="G25" s="504"/>
      <c r="H25" s="235"/>
      <c r="I25" s="412"/>
      <c r="J25" s="499" t="s">
        <v>579</v>
      </c>
      <c r="K25" s="219" t="str">
        <f>INDEX(Odds!H:H,MATCH(J25,Odds!G:G,0))</f>
        <v>11/10</v>
      </c>
      <c r="L25" s="500">
        <f>INDEX(Odds!I:I,MATCH(J25,Odds!G:G,0))</f>
        <v>2.1</v>
      </c>
      <c r="M25" s="488">
        <f>INDEX(Odds!J:J,MATCH(J25,Odds!G:G,0))</f>
        <v>1</v>
      </c>
      <c r="N25" s="501">
        <f t="shared" si="6"/>
        <v>2.1</v>
      </c>
      <c r="O25" s="659"/>
      <c r="P25" s="655" t="str">
        <f>IF(Match!B25="","",Match!V25)</f>
        <v>Barnsley - Stoke OFF</v>
      </c>
      <c r="Q25" s="96"/>
      <c r="R25" s="39" t="str">
        <f>IF(Odds!G25="","",Odds!G25)</f>
        <v>Barnsley</v>
      </c>
      <c r="S25" s="40" t="str">
        <f>INDEX(Odds!H:H,MATCH(R25,Odds!G:G,0))</f>
        <v>23/10</v>
      </c>
      <c r="T25" s="44">
        <f t="shared" si="0"/>
        <v>0</v>
      </c>
      <c r="U25" s="22" t="str">
        <f>INDEX(Match!Q:Q,MATCH(P25,Match!V:V,0))</f>
        <v>Barnsley</v>
      </c>
      <c r="V25" s="22">
        <f>INDEX(Match!G:G,MATCH(P25,Match!V:V,0))</f>
        <v>0</v>
      </c>
      <c r="W25" s="22" t="str">
        <f>INDEX(Match!R:R,MATCH(P25,Match!V:V,0))</f>
        <v>Stoke</v>
      </c>
      <c r="X25" s="22">
        <f>INDEX(Match!H:H,MATCH(P25,Match!V:V,0))</f>
        <v>0</v>
      </c>
      <c r="AB25" s="664" t="str">
        <f>IF(O25="","",INDEX(Odds!H:H,MATCH(O25,Odds!G:G,0)))</f>
        <v/>
      </c>
      <c r="AC25" s="694">
        <f>IF(J25="","",INDEX(Odds!K:K,MATCH(J25,Odds!G:G,0)))</f>
        <v>1</v>
      </c>
      <c r="AD25" s="702" t="s">
        <v>335</v>
      </c>
      <c r="AE25" s="77">
        <f>INDEX(Picks!F:F,MATCH(AD25,Picks!A:A,0))</f>
        <v>-0.64999999999999947</v>
      </c>
      <c r="AF25" s="481">
        <f>INDEX(Weekly!I:I,MATCH(AD25,Weekly!E:E,0))</f>
        <v>2</v>
      </c>
      <c r="AG25" s="74">
        <f t="shared" si="1"/>
        <v>24</v>
      </c>
      <c r="AI25" s="74" t="s">
        <v>380</v>
      </c>
      <c r="AJ25" s="77">
        <f>INDEX(Picks!G:G,MATCH(AI25,Picks!A:A,0))</f>
        <v>28.3</v>
      </c>
      <c r="AK25" s="481">
        <f>INDEX(Weekly!I:I,MATCH(AI25,Weekly!E:E,0))</f>
        <v>1</v>
      </c>
      <c r="AL25" s="74">
        <f t="shared" si="2"/>
        <v>19</v>
      </c>
    </row>
    <row r="26" spans="1:38" ht="13.9" thickTop="1" thickBot="1">
      <c r="A26" s="484" t="str">
        <f>Results!B26</f>
        <v>Ashley Houghton</v>
      </c>
      <c r="B26" s="502" t="str">
        <f t="shared" si="3"/>
        <v>Wigan</v>
      </c>
      <c r="C26" s="586">
        <f>IF(J26="","",INDEX(Odds!C:C,MATCH(J26,Odds!G:G,0)))</f>
        <v>1</v>
      </c>
      <c r="D26" s="485">
        <f t="shared" si="4"/>
        <v>1.6153846153846154</v>
      </c>
      <c r="E26" s="508" t="str">
        <f t="shared" si="5"/>
        <v>x</v>
      </c>
      <c r="F26" s="415">
        <f>IF(J26="",-10,INDEX(Results!T:T,MATCH(A26,Results!V:V,0)))</f>
        <v>0</v>
      </c>
      <c r="G26" s="216">
        <f>IF(J26="","",INDEX(Results!AI:AI,MATCH(A26,Results!V:V,0)))</f>
        <v>-1</v>
      </c>
      <c r="H26" s="235">
        <f>IF(G26="",0,1)</f>
        <v>1</v>
      </c>
      <c r="I26" s="411">
        <f>INDEX(Picks!AG:AG,MATCH(A26,Picks!AD:AD,0))</f>
        <v>19</v>
      </c>
      <c r="J26" s="486" t="s">
        <v>369</v>
      </c>
      <c r="K26" s="217" t="str">
        <f>INDEX(Odds!H:H,MATCH(J26,Odds!G:G,0))</f>
        <v>8/13</v>
      </c>
      <c r="L26" s="487">
        <f>INDEX(Odds!I:I,MATCH(J26,Odds!G:G,0))</f>
        <v>1.6153846153846154</v>
      </c>
      <c r="M26" s="503">
        <f>INDEX(Odds!J:J,MATCH(J26,Odds!G:G,0))</f>
        <v>0</v>
      </c>
      <c r="N26" s="489">
        <f t="shared" si="6"/>
        <v>0</v>
      </c>
      <c r="O26" s="658"/>
      <c r="P26" s="655" t="str">
        <f>IF(Match!B26="","",Match!V26)</f>
        <v>Cardiff - Coventry OFF</v>
      </c>
      <c r="Q26" s="96"/>
      <c r="R26" s="39" t="str">
        <f>IF(Odds!G26="","",Odds!G26)</f>
        <v>Cardiff</v>
      </c>
      <c r="S26" s="40" t="str">
        <f>INDEX(Odds!H:H,MATCH(R26,Odds!G:G,0))</f>
        <v>7/5</v>
      </c>
      <c r="T26" s="44">
        <f t="shared" si="0"/>
        <v>0</v>
      </c>
      <c r="U26" s="22" t="str">
        <f>INDEX(Match!Q:Q,MATCH(P26,Match!V:V,0))</f>
        <v>Cardiff</v>
      </c>
      <c r="V26" s="22">
        <f>INDEX(Match!G:G,MATCH(P26,Match!V:V,0))</f>
        <v>0</v>
      </c>
      <c r="W26" s="22" t="str">
        <f>INDEX(Match!R:R,MATCH(P26,Match!V:V,0))</f>
        <v>Coventry</v>
      </c>
      <c r="X26" s="22">
        <f>INDEX(Match!H:H,MATCH(P26,Match!V:V,0))</f>
        <v>0</v>
      </c>
      <c r="AB26" s="663" t="str">
        <f>IF(O26="","",INDEX(Odds!H:H,MATCH(O26,Odds!G:G,0)))</f>
        <v/>
      </c>
      <c r="AC26" s="694">
        <f>IF(J26="","",INDEX(Odds!K:K,MATCH(J26,Odds!G:G,0)))</f>
        <v>0</v>
      </c>
      <c r="AD26" s="74" t="s">
        <v>325</v>
      </c>
      <c r="AE26" s="77">
        <f>INDEX(Picks!F:F,MATCH(AD26,Picks!A:A,0))</f>
        <v>-0.93846153846153868</v>
      </c>
      <c r="AF26" s="481">
        <f>INDEX(Weekly!I:I,MATCH(AD26,Weekly!E:E,0))</f>
        <v>2</v>
      </c>
      <c r="AG26" s="74">
        <f t="shared" si="1"/>
        <v>25</v>
      </c>
      <c r="AI26" s="76" t="s">
        <v>385</v>
      </c>
      <c r="AJ26" s="77">
        <f>INDEX(Picks!G:G,MATCH(AI26,Picks!A:A,0))</f>
        <v>25.6875</v>
      </c>
      <c r="AK26" s="481">
        <f>INDEX(Weekly!I:I,MATCH(AI26,Weekly!E:E,0))</f>
        <v>1</v>
      </c>
      <c r="AL26" s="74">
        <f t="shared" si="2"/>
        <v>20</v>
      </c>
    </row>
    <row r="27" spans="1:38">
      <c r="A27" s="490" t="str">
        <f>A26</f>
        <v>Ashley Houghton</v>
      </c>
      <c r="B27" s="491" t="str">
        <f t="shared" si="3"/>
        <v>Blackburn</v>
      </c>
      <c r="C27" s="586">
        <f>IF(J27="","",INDEX(Odds!C:C,MATCH(J27,Odds!G:G,0)))</f>
        <v>1</v>
      </c>
      <c r="D27" s="492">
        <f t="shared" si="4"/>
        <v>2.4</v>
      </c>
      <c r="E27" s="507" t="str">
        <f t="shared" si="5"/>
        <v>x</v>
      </c>
      <c r="F27" s="493"/>
      <c r="G27" s="504"/>
      <c r="H27" s="235"/>
      <c r="I27" s="412"/>
      <c r="J27" s="486" t="s">
        <v>577</v>
      </c>
      <c r="K27" s="218" t="str">
        <f>INDEX(Odds!H:H,MATCH(J27,Odds!G:G,0))</f>
        <v>7/5</v>
      </c>
      <c r="L27" s="495">
        <f>INDEX(Odds!I:I,MATCH(J27,Odds!G:G,0))</f>
        <v>2.4</v>
      </c>
      <c r="M27" s="488">
        <f>INDEX(Odds!J:J,MATCH(J27,Odds!G:G,0))</f>
        <v>0</v>
      </c>
      <c r="N27" s="489">
        <f t="shared" si="6"/>
        <v>0</v>
      </c>
      <c r="O27" s="658"/>
      <c r="P27" s="655" t="str">
        <f>IF(Match!B27="","",Match!V27)</f>
        <v>Fulham - Birmingham OFF</v>
      </c>
      <c r="Q27" s="96"/>
      <c r="R27" s="39" t="str">
        <f>IF(Odds!G27="","",Odds!G27)</f>
        <v>Fulham</v>
      </c>
      <c r="S27" s="40" t="str">
        <f>INDEX(Odds!H:H,MATCH(R27,Odds!G:G,0))</f>
        <v>2/5</v>
      </c>
      <c r="T27" s="44">
        <f t="shared" si="0"/>
        <v>0</v>
      </c>
      <c r="U27" s="22" t="str">
        <f>INDEX(Match!Q:Q,MATCH(P27,Match!V:V,0))</f>
        <v>Fulham</v>
      </c>
      <c r="V27" s="22">
        <f>INDEX(Match!G:G,MATCH(P27,Match!V:V,0))</f>
        <v>0</v>
      </c>
      <c r="W27" s="22" t="str">
        <f>INDEX(Match!R:R,MATCH(P27,Match!V:V,0))</f>
        <v>Birmingham</v>
      </c>
      <c r="X27" s="22">
        <f>INDEX(Match!H:H,MATCH(P27,Match!V:V,0))</f>
        <v>0</v>
      </c>
      <c r="AB27" s="663" t="str">
        <f>IF(O27="","",INDEX(Odds!H:H,MATCH(O27,Odds!G:G,0)))</f>
        <v/>
      </c>
      <c r="AC27" s="694">
        <f>IF(J27="","",INDEX(Odds!K:K,MATCH(J27,Odds!G:G,0)))</f>
        <v>0</v>
      </c>
      <c r="AD27" s="74" t="s">
        <v>327</v>
      </c>
      <c r="AE27" s="77">
        <f>INDEX(Picks!F:F,MATCH(AD27,Picks!A:A,0))</f>
        <v>-1</v>
      </c>
      <c r="AF27" s="481">
        <f>INDEX(Weekly!I:I,MATCH(AD27,Weekly!E:E,0))</f>
        <v>2</v>
      </c>
      <c r="AG27" s="74">
        <f t="shared" si="1"/>
        <v>26</v>
      </c>
      <c r="AI27" s="76" t="s">
        <v>315</v>
      </c>
      <c r="AJ27" s="77">
        <f>INDEX(Picks!G:G,MATCH(AI27,Picks!A:A,0))</f>
        <v>25.264000000000003</v>
      </c>
      <c r="AK27" s="481">
        <f>INDEX(Weekly!I:I,MATCH(AI27,Weekly!E:E,0))</f>
        <v>2</v>
      </c>
      <c r="AL27" s="74">
        <f t="shared" si="2"/>
        <v>21</v>
      </c>
    </row>
    <row r="28" spans="1:38" ht="13.5" thickBot="1">
      <c r="A28" s="496" t="str">
        <f>A26</f>
        <v>Ashley Houghton</v>
      </c>
      <c r="B28" s="497" t="str">
        <f t="shared" si="3"/>
        <v>Bristol R</v>
      </c>
      <c r="C28" s="587">
        <f>IF(J28="","",INDEX(Odds!C:C,MATCH(J28,Odds!G:G,0)))</f>
        <v>1</v>
      </c>
      <c r="D28" s="498">
        <f t="shared" si="4"/>
        <v>2.6</v>
      </c>
      <c r="E28" s="507" t="str">
        <f t="shared" si="5"/>
        <v>x</v>
      </c>
      <c r="F28" s="493"/>
      <c r="G28" s="504"/>
      <c r="H28" s="235"/>
      <c r="I28" s="412"/>
      <c r="J28" s="499" t="s">
        <v>627</v>
      </c>
      <c r="K28" s="219" t="str">
        <f>INDEX(Odds!H:H,MATCH(J28,Odds!G:G,0))</f>
        <v>8/5</v>
      </c>
      <c r="L28" s="500">
        <f>INDEX(Odds!I:I,MATCH(J28,Odds!G:G,0))</f>
        <v>2.6</v>
      </c>
      <c r="M28" s="488">
        <f>INDEX(Odds!J:J,MATCH(J28,Odds!G:G,0))</f>
        <v>0</v>
      </c>
      <c r="N28" s="501">
        <f t="shared" si="6"/>
        <v>0</v>
      </c>
      <c r="O28" s="659"/>
      <c r="P28" s="655" t="str">
        <f>IF(Match!B28="","",Match!V28)</f>
        <v>Hull - Blackburn OFF</v>
      </c>
      <c r="Q28" s="96"/>
      <c r="R28" s="39" t="str">
        <f>IF(Odds!G28="","",Odds!G28)</f>
        <v>Hull</v>
      </c>
      <c r="S28" s="40" t="str">
        <f>INDEX(Odds!H:H,MATCH(R28,Odds!G:G,0))</f>
        <v>15/8</v>
      </c>
      <c r="T28" s="44">
        <f t="shared" si="0"/>
        <v>0</v>
      </c>
      <c r="U28" s="22" t="str">
        <f>INDEX(Match!Q:Q,MATCH(P28,Match!V:V,0))</f>
        <v>Hull</v>
      </c>
      <c r="V28" s="22">
        <f>INDEX(Match!G:G,MATCH(P28,Match!V:V,0))</f>
        <v>0</v>
      </c>
      <c r="W28" s="22" t="str">
        <f>INDEX(Match!R:R,MATCH(P28,Match!V:V,0))</f>
        <v>Blackburn</v>
      </c>
      <c r="X28" s="22">
        <f>INDEX(Match!H:H,MATCH(P28,Match!V:V,0))</f>
        <v>0</v>
      </c>
      <c r="AB28" s="664" t="str">
        <f>IF(O28="","",INDEX(Odds!H:H,MATCH(O28,Odds!G:G,0)))</f>
        <v/>
      </c>
      <c r="AC28" s="694">
        <f>IF(J28="","",INDEX(Odds!K:K,MATCH(J28,Odds!G:G,0)))</f>
        <v>0</v>
      </c>
      <c r="AD28" s="74" t="s">
        <v>314</v>
      </c>
      <c r="AE28" s="77">
        <f>INDEX(Picks!F:F,MATCH(AD28,Picks!A:A,0))</f>
        <v>-1</v>
      </c>
      <c r="AF28" s="481">
        <f>INDEX(Weekly!I:I,MATCH(AD28,Weekly!E:E,0))</f>
        <v>0</v>
      </c>
      <c r="AG28" s="74">
        <f t="shared" si="1"/>
        <v>26</v>
      </c>
      <c r="AI28" s="76" t="s">
        <v>461</v>
      </c>
      <c r="AJ28" s="77">
        <f>INDEX(Picks!G:G,MATCH(AI28,Picks!A:A,0))</f>
        <v>23.656198347107441</v>
      </c>
      <c r="AK28" s="481">
        <f>INDEX(Weekly!I:I,MATCH(AI28,Weekly!E:E,0))</f>
        <v>2</v>
      </c>
      <c r="AL28" s="74">
        <f t="shared" si="2"/>
        <v>22</v>
      </c>
    </row>
    <row r="29" spans="1:38" ht="13.9" thickTop="1" thickBot="1">
      <c r="A29" s="484" t="str">
        <f>Results!B29</f>
        <v>Barry Birchall</v>
      </c>
      <c r="B29" s="502" t="str">
        <f t="shared" si="3"/>
        <v>Rotherham</v>
      </c>
      <c r="C29" s="586">
        <f>IF(J29="","",INDEX(Odds!C:C,MATCH(J29,Odds!G:G,0)))</f>
        <v>1</v>
      </c>
      <c r="D29" s="485">
        <f t="shared" si="4"/>
        <v>1.8</v>
      </c>
      <c r="E29" s="508" t="str">
        <f t="shared" si="5"/>
        <v>x</v>
      </c>
      <c r="F29" s="415">
        <f>IF(J29="",-10,INDEX(Results!T:T,MATCH(A29,Results!V:V,0)))</f>
        <v>9.2200000000000024</v>
      </c>
      <c r="G29" s="216">
        <f>IF(J29="","",INDEX(Results!AI:AI,MATCH(A29,Results!V:V,0)))</f>
        <v>40.216000000000001</v>
      </c>
      <c r="H29" s="235">
        <f>IF(G29="",0,1)</f>
        <v>1</v>
      </c>
      <c r="I29" s="411">
        <f>INDEX(Picks!AG:AG,MATCH(A29,Picks!AD:AD,0))</f>
        <v>7</v>
      </c>
      <c r="J29" s="486" t="s">
        <v>592</v>
      </c>
      <c r="K29" s="217" t="str">
        <f>INDEX(Odds!H:H,MATCH(J29,Odds!G:G,0))</f>
        <v>4/5</v>
      </c>
      <c r="L29" s="487">
        <f>INDEX(Odds!I:I,MATCH(J29,Odds!G:G,0))</f>
        <v>1.8</v>
      </c>
      <c r="M29" s="503">
        <f>INDEX(Odds!J:J,MATCH(J29,Odds!G:G,0))</f>
        <v>0</v>
      </c>
      <c r="N29" s="489">
        <f t="shared" si="6"/>
        <v>0</v>
      </c>
      <c r="O29" s="658"/>
      <c r="P29" s="655" t="str">
        <f>IF(Match!B29="","",Match!V29)</f>
        <v>Luton - Bristol C OFF</v>
      </c>
      <c r="Q29" s="96"/>
      <c r="R29" s="39" t="str">
        <f>IF(Odds!G29="","",Odds!G29)</f>
        <v>Luton</v>
      </c>
      <c r="S29" s="40" t="str">
        <f>INDEX(Odds!H:H,MATCH(R29,Odds!G:G,0))</f>
        <v>4/6</v>
      </c>
      <c r="T29" s="44">
        <f t="shared" si="0"/>
        <v>0</v>
      </c>
      <c r="U29" s="22" t="str">
        <f>INDEX(Match!Q:Q,MATCH(P29,Match!V:V,0))</f>
        <v>Luton</v>
      </c>
      <c r="V29" s="22">
        <f>INDEX(Match!G:G,MATCH(P29,Match!V:V,0))</f>
        <v>0</v>
      </c>
      <c r="W29" s="22" t="str">
        <f>INDEX(Match!R:R,MATCH(P29,Match!V:V,0))</f>
        <v>Bristol C</v>
      </c>
      <c r="X29" s="22">
        <f>INDEX(Match!H:H,MATCH(P29,Match!V:V,0))</f>
        <v>0</v>
      </c>
      <c r="AB29" s="663" t="str">
        <f>IF(O29="","",INDEX(Odds!H:H,MATCH(O29,Odds!G:G,0)))</f>
        <v/>
      </c>
      <c r="AC29" s="694">
        <f>IF(J29="","",INDEX(Odds!K:K,MATCH(J29,Odds!G:G,0)))</f>
        <v>1</v>
      </c>
      <c r="AD29" s="74" t="s">
        <v>551</v>
      </c>
      <c r="AE29" s="77">
        <f>INDEX(Picks!F:F,MATCH(AD29,Picks!A:A,0))</f>
        <v>-1</v>
      </c>
      <c r="AF29" s="481">
        <f>INDEX(Weekly!I:I,MATCH(AD29,Weekly!E:E,0))</f>
        <v>0</v>
      </c>
      <c r="AG29" s="74">
        <f t="shared" si="1"/>
        <v>26</v>
      </c>
      <c r="AI29" s="76" t="s">
        <v>318</v>
      </c>
      <c r="AJ29" s="77">
        <f>INDEX(Picks!G:G,MATCH(AI29,Picks!A:A,0))</f>
        <v>22.03</v>
      </c>
      <c r="AK29" s="481">
        <f>INDEX(Weekly!I:I,MATCH(AI29,Weekly!E:E,0))</f>
        <v>2</v>
      </c>
      <c r="AL29" s="74">
        <f t="shared" si="2"/>
        <v>23</v>
      </c>
    </row>
    <row r="30" spans="1:38">
      <c r="A30" s="490" t="str">
        <f>A29</f>
        <v>Barry Birchall</v>
      </c>
      <c r="B30" s="491" t="str">
        <f t="shared" si="3"/>
        <v>Shrewsbury</v>
      </c>
      <c r="C30" s="586">
        <f>IF(J30="","",INDEX(Odds!C:C,MATCH(J30,Odds!G:G,0)))</f>
        <v>1</v>
      </c>
      <c r="D30" s="492">
        <f t="shared" si="4"/>
        <v>3.2</v>
      </c>
      <c r="E30" s="507" t="str">
        <f t="shared" si="5"/>
        <v>√</v>
      </c>
      <c r="F30" s="493"/>
      <c r="G30" s="504"/>
      <c r="H30" s="235"/>
      <c r="I30" s="412"/>
      <c r="J30" s="486" t="s">
        <v>588</v>
      </c>
      <c r="K30" s="218" t="str">
        <f>INDEX(Odds!H:H,MATCH(J30,Odds!G:G,0))</f>
        <v>11/5</v>
      </c>
      <c r="L30" s="495">
        <f>INDEX(Odds!I:I,MATCH(J30,Odds!G:G,0))</f>
        <v>3.2</v>
      </c>
      <c r="M30" s="488">
        <f>INDEX(Odds!J:J,MATCH(J30,Odds!G:G,0))</f>
        <v>1</v>
      </c>
      <c r="N30" s="489">
        <f t="shared" si="6"/>
        <v>3.2</v>
      </c>
      <c r="O30" s="658"/>
      <c r="P30" s="655" t="str">
        <f>IF(Match!B30="","",Match!V30)</f>
        <v>Millwall - Swansea OFF</v>
      </c>
      <c r="Q30" s="96"/>
      <c r="R30" s="39" t="str">
        <f>IF(Odds!G30="","",Odds!G30)</f>
        <v>Millwall</v>
      </c>
      <c r="S30" s="40" t="str">
        <f>INDEX(Odds!H:H,MATCH(R30,Odds!G:G,0))</f>
        <v>11/8</v>
      </c>
      <c r="T30" s="44">
        <f t="shared" si="0"/>
        <v>0</v>
      </c>
      <c r="U30" s="22" t="str">
        <f>INDEX(Match!Q:Q,MATCH(P30,Match!V:V,0))</f>
        <v>Millwall</v>
      </c>
      <c r="V30" s="22">
        <f>INDEX(Match!G:G,MATCH(P30,Match!V:V,0))</f>
        <v>0</v>
      </c>
      <c r="W30" s="22" t="str">
        <f>INDEX(Match!R:R,MATCH(P30,Match!V:V,0))</f>
        <v>Swansea</v>
      </c>
      <c r="X30" s="22">
        <f>INDEX(Match!H:H,MATCH(P30,Match!V:V,0))</f>
        <v>0</v>
      </c>
      <c r="AB30" s="663" t="str">
        <f>IF(O30="","",INDEX(Odds!H:H,MATCH(O30,Odds!G:G,0)))</f>
        <v/>
      </c>
      <c r="AC30" s="694">
        <f>IF(J30="","",INDEX(Odds!K:K,MATCH(J30,Odds!G:G,0)))</f>
        <v>1</v>
      </c>
      <c r="AD30" s="74" t="s">
        <v>381</v>
      </c>
      <c r="AE30" s="77">
        <f>INDEX(Picks!F:F,MATCH(AD30,Picks!A:A,0))</f>
        <v>-1.1709401709401703</v>
      </c>
      <c r="AF30" s="481">
        <f>INDEX(Weekly!I:I,MATCH(AD30,Weekly!E:E,0))</f>
        <v>2</v>
      </c>
      <c r="AG30" s="74">
        <f t="shared" si="1"/>
        <v>29</v>
      </c>
      <c r="AI30" s="76" t="s">
        <v>553</v>
      </c>
      <c r="AJ30" s="77">
        <f>INDEX(Picks!G:G,MATCH(AI30,Picks!A:A,0))</f>
        <v>21.781818181818181</v>
      </c>
      <c r="AK30" s="481">
        <f>INDEX(Weekly!I:I,MATCH(AI30,Weekly!E:E,0))</f>
        <v>3</v>
      </c>
      <c r="AL30" s="74">
        <f t="shared" si="2"/>
        <v>24</v>
      </c>
    </row>
    <row r="31" spans="1:38" ht="13.5" thickBot="1">
      <c r="A31" s="496" t="str">
        <f>A29</f>
        <v>Barry Birchall</v>
      </c>
      <c r="B31" s="497" t="str">
        <f t="shared" si="3"/>
        <v>Scunthorpe</v>
      </c>
      <c r="C31" s="587">
        <f>IF(J31="","",INDEX(Odds!C:C,MATCH(J31,Odds!G:G,0)))</f>
        <v>1</v>
      </c>
      <c r="D31" s="498">
        <f t="shared" si="4"/>
        <v>3.1</v>
      </c>
      <c r="E31" s="507" t="str">
        <f t="shared" si="5"/>
        <v>√</v>
      </c>
      <c r="F31" s="493"/>
      <c r="G31" s="504"/>
      <c r="H31" s="235"/>
      <c r="I31" s="412"/>
      <c r="J31" s="499" t="s">
        <v>635</v>
      </c>
      <c r="K31" s="219" t="str">
        <f>INDEX(Odds!H:H,MATCH(J31,Odds!G:G,0))</f>
        <v>21/10</v>
      </c>
      <c r="L31" s="500">
        <f>INDEX(Odds!I:I,MATCH(J31,Odds!G:G,0))</f>
        <v>3.1</v>
      </c>
      <c r="M31" s="488">
        <f>INDEX(Odds!J:J,MATCH(J31,Odds!G:G,0))</f>
        <v>1</v>
      </c>
      <c r="N31" s="501">
        <f t="shared" si="6"/>
        <v>3.1</v>
      </c>
      <c r="O31" s="659"/>
      <c r="P31" s="655" t="str">
        <f>IF(Match!B31="","",Match!V31)</f>
        <v>Peterborough - Reading OFF</v>
      </c>
      <c r="Q31" s="96"/>
      <c r="R31" s="39" t="str">
        <f>IF(Odds!G31="","",Odds!G31)</f>
        <v>Peterborough</v>
      </c>
      <c r="S31" s="40" t="str">
        <f>INDEX(Odds!H:H,MATCH(R31,Odds!G:G,0))</f>
        <v>29/20</v>
      </c>
      <c r="T31" s="44">
        <f t="shared" si="0"/>
        <v>0</v>
      </c>
      <c r="U31" s="22" t="str">
        <f>INDEX(Match!Q:Q,MATCH(P31,Match!V:V,0))</f>
        <v>Peterborough</v>
      </c>
      <c r="V31" s="22">
        <f>INDEX(Match!G:G,MATCH(P31,Match!V:V,0))</f>
        <v>0</v>
      </c>
      <c r="W31" s="22" t="str">
        <f>INDEX(Match!R:R,MATCH(P31,Match!V:V,0))</f>
        <v>Reading</v>
      </c>
      <c r="X31" s="22">
        <f>INDEX(Match!H:H,MATCH(P31,Match!V:V,0))</f>
        <v>0</v>
      </c>
      <c r="AB31" s="664" t="str">
        <f>IF(O31="","",INDEX(Odds!H:H,MATCH(O31,Odds!G:G,0)))</f>
        <v/>
      </c>
      <c r="AC31" s="694">
        <f>IF(J31="","",INDEX(Odds!K:K,MATCH(J31,Odds!G:G,0)))</f>
        <v>1</v>
      </c>
      <c r="AD31" s="74" t="s">
        <v>321</v>
      </c>
      <c r="AE31" s="77">
        <f>INDEX(Picks!F:F,MATCH(AD31,Picks!A:A,0))</f>
        <v>-1.3</v>
      </c>
      <c r="AF31" s="481">
        <f>INDEX(Weekly!I:I,MATCH(AD31,Weekly!E:E,0))</f>
        <v>2</v>
      </c>
      <c r="AG31" s="74">
        <f t="shared" si="1"/>
        <v>30</v>
      </c>
      <c r="AI31" s="702" t="s">
        <v>308</v>
      </c>
      <c r="AJ31" s="77">
        <f>INDEX(Picks!G:G,MATCH(AI31,Picks!A:A,0))</f>
        <v>21.323636363636368</v>
      </c>
      <c r="AK31" s="481">
        <f>INDEX(Weekly!I:I,MATCH(AI31,Weekly!E:E,0))</f>
        <v>2</v>
      </c>
      <c r="AL31" s="74">
        <f t="shared" si="2"/>
        <v>25</v>
      </c>
    </row>
    <row r="32" spans="1:38" ht="13.9" thickTop="1" thickBot="1">
      <c r="A32" s="484" t="str">
        <f>Results!B32</f>
        <v>Ben Rosser</v>
      </c>
      <c r="B32" s="502" t="str">
        <f t="shared" si="3"/>
        <v>Villa</v>
      </c>
      <c r="C32" s="586">
        <f>IF(J32="","",INDEX(Odds!C:C,MATCH(J32,Odds!G:G,0)))</f>
        <v>1</v>
      </c>
      <c r="D32" s="485">
        <f t="shared" si="4"/>
        <v>5.8</v>
      </c>
      <c r="E32" s="508" t="str">
        <f t="shared" si="5"/>
        <v>x</v>
      </c>
      <c r="F32" s="415">
        <f>IF(J32="",-10,INDEX(Results!T:T,MATCH(A32,Results!V:V,0)))</f>
        <v>-3</v>
      </c>
      <c r="G32" s="216">
        <f>IF(J32="","",INDEX(Results!AI:AI,MATCH(A32,Results!V:V,0)))</f>
        <v>28.3</v>
      </c>
      <c r="H32" s="235">
        <f>IF(G32="",0,1)</f>
        <v>1</v>
      </c>
      <c r="I32" s="411">
        <f>INDEX(Picks!AG:AG,MATCH(A32,Picks!AD:AD,0))</f>
        <v>39</v>
      </c>
      <c r="J32" s="486" t="s">
        <v>450</v>
      </c>
      <c r="K32" s="217" t="str">
        <f>INDEX(Odds!H:H,MATCH(J32,Odds!G:G,0))</f>
        <v>24/5</v>
      </c>
      <c r="L32" s="487">
        <f>INDEX(Odds!I:I,MATCH(J32,Odds!G:G,0))</f>
        <v>5.8</v>
      </c>
      <c r="M32" s="503">
        <f>INDEX(Odds!J:J,MATCH(J32,Odds!G:G,0))</f>
        <v>0</v>
      </c>
      <c r="N32" s="489">
        <f t="shared" si="6"/>
        <v>0</v>
      </c>
      <c r="O32" s="658"/>
      <c r="P32" s="655" t="str">
        <f>IF(Match!B32="","",Match!V32)</f>
        <v>Preston - Sheff U OFF</v>
      </c>
      <c r="Q32" s="96"/>
      <c r="R32" s="39" t="str">
        <f>IF(Odds!G32="","",Odds!G32)</f>
        <v>Preston</v>
      </c>
      <c r="S32" s="40" t="str">
        <f>INDEX(Odds!H:H,MATCH(R32,Odds!G:G,0))</f>
        <v>2/1</v>
      </c>
      <c r="T32" s="44">
        <f t="shared" si="0"/>
        <v>0</v>
      </c>
      <c r="U32" s="22" t="str">
        <f>INDEX(Match!Q:Q,MATCH(P32,Match!V:V,0))</f>
        <v>Preston</v>
      </c>
      <c r="V32" s="22">
        <f>INDEX(Match!G:G,MATCH(P32,Match!V:V,0))</f>
        <v>0</v>
      </c>
      <c r="W32" s="22" t="str">
        <f>INDEX(Match!R:R,MATCH(P32,Match!V:V,0))</f>
        <v>Sheff U</v>
      </c>
      <c r="X32" s="22">
        <f>INDEX(Match!H:H,MATCH(P32,Match!V:V,0))</f>
        <v>0</v>
      </c>
      <c r="AB32" s="663" t="str">
        <f>IF(O32="","",INDEX(Odds!H:H,MATCH(O32,Odds!G:G,0)))</f>
        <v/>
      </c>
      <c r="AC32" s="694">
        <f>IF(J32="","",INDEX(Odds!K:K,MATCH(J32,Odds!G:G,0)))</f>
        <v>1</v>
      </c>
      <c r="AD32" s="74" t="s">
        <v>552</v>
      </c>
      <c r="AE32" s="77">
        <f>INDEX(Picks!F:F,MATCH(AD32,Picks!A:A,0))</f>
        <v>-1.3</v>
      </c>
      <c r="AF32" s="481">
        <f>INDEX(Weekly!I:I,MATCH(AD32,Weekly!E:E,0))</f>
        <v>1</v>
      </c>
      <c r="AG32" s="74">
        <f t="shared" si="1"/>
        <v>30</v>
      </c>
      <c r="AI32" s="76" t="s">
        <v>388</v>
      </c>
      <c r="AJ32" s="77">
        <f>INDEX(Picks!G:G,MATCH(AI32,Picks!A:A,0))</f>
        <v>20.76923076923077</v>
      </c>
      <c r="AK32" s="481">
        <f>INDEX(Weekly!I:I,MATCH(AI32,Weekly!E:E,0))</f>
        <v>2</v>
      </c>
      <c r="AL32" s="74">
        <f t="shared" si="2"/>
        <v>26</v>
      </c>
    </row>
    <row r="33" spans="1:38">
      <c r="A33" s="490" t="str">
        <f>A32</f>
        <v>Ben Rosser</v>
      </c>
      <c r="B33" s="491" t="str">
        <f t="shared" si="3"/>
        <v>Wolves draw</v>
      </c>
      <c r="C33" s="586">
        <f>IF(J33="","",INDEX(Odds!C:C,MATCH(J33,Odds!G:G,0)))</f>
        <v>1</v>
      </c>
      <c r="D33" s="492">
        <f t="shared" si="4"/>
        <v>3.5</v>
      </c>
      <c r="E33" s="507" t="str">
        <f t="shared" si="5"/>
        <v>√</v>
      </c>
      <c r="F33" s="493"/>
      <c r="G33" s="504"/>
      <c r="H33" s="235"/>
      <c r="I33" s="412"/>
      <c r="J33" s="486" t="s">
        <v>605</v>
      </c>
      <c r="K33" s="218" t="str">
        <f>INDEX(Odds!H:H,MATCH(J33,Odds!G:G,0))</f>
        <v>5/2</v>
      </c>
      <c r="L33" s="495">
        <f>INDEX(Odds!I:I,MATCH(J33,Odds!G:G,0))</f>
        <v>3.5</v>
      </c>
      <c r="M33" s="488">
        <f>INDEX(Odds!J:J,MATCH(J33,Odds!G:G,0))</f>
        <v>1</v>
      </c>
      <c r="N33" s="489">
        <f t="shared" si="6"/>
        <v>3.5</v>
      </c>
      <c r="O33" s="658"/>
      <c r="P33" s="655" t="str">
        <f>IF(Match!B33="","",Match!V33)</f>
        <v>Bolton - Morecambe OFF</v>
      </c>
      <c r="Q33" s="96"/>
      <c r="R33" s="39" t="str">
        <f>IF(Odds!G33="","",Odds!G33)</f>
        <v>Bolton</v>
      </c>
      <c r="S33" s="40" t="str">
        <f>INDEX(Odds!H:H,MATCH(R33,Odds!G:G,0))</f>
        <v>4/7</v>
      </c>
      <c r="T33" s="44">
        <f t="shared" si="0"/>
        <v>0</v>
      </c>
      <c r="U33" s="22" t="str">
        <f>INDEX(Match!Q:Q,MATCH(P33,Match!V:V,0))</f>
        <v>Bolton</v>
      </c>
      <c r="V33" s="22">
        <f>INDEX(Match!G:G,MATCH(P33,Match!V:V,0))</f>
        <v>0</v>
      </c>
      <c r="W33" s="22" t="str">
        <f>INDEX(Match!R:R,MATCH(P33,Match!V:V,0))</f>
        <v>Morecambe</v>
      </c>
      <c r="X33" s="22">
        <f>INDEX(Match!H:H,MATCH(P33,Match!V:V,0))</f>
        <v>0</v>
      </c>
      <c r="AB33" s="663" t="str">
        <f>IF(O33="","",INDEX(Odds!H:H,MATCH(O33,Odds!G:G,0)))</f>
        <v/>
      </c>
      <c r="AC33" s="694">
        <f>IF(J33="","",INDEX(Odds!K:K,MATCH(J33,Odds!G:G,0)))</f>
        <v>0</v>
      </c>
      <c r="AD33" s="74" t="s">
        <v>297</v>
      </c>
      <c r="AE33" s="77">
        <f>INDEX(Picks!F:F,MATCH(AD33,Picks!A:A,0))</f>
        <v>-1.4000000000000004</v>
      </c>
      <c r="AF33" s="481">
        <f>INDEX(Weekly!I:I,MATCH(AD33,Weekly!E:E,0))</f>
        <v>2</v>
      </c>
      <c r="AG33" s="74">
        <f t="shared" si="1"/>
        <v>32</v>
      </c>
      <c r="AI33" s="74" t="s">
        <v>311</v>
      </c>
      <c r="AJ33" s="77">
        <f>INDEX(Picks!G:G,MATCH(AI33,Picks!A:A,0))</f>
        <v>20.233333333333334</v>
      </c>
      <c r="AK33" s="481">
        <f>INDEX(Weekly!I:I,MATCH(AI33,Weekly!E:E,0))</f>
        <v>1</v>
      </c>
      <c r="AL33" s="74">
        <f t="shared" si="2"/>
        <v>27</v>
      </c>
    </row>
    <row r="34" spans="1:38" ht="13.5" thickBot="1">
      <c r="A34" s="496" t="str">
        <f>A32</f>
        <v>Ben Rosser</v>
      </c>
      <c r="B34" s="497" t="str">
        <f t="shared" si="3"/>
        <v>Spurs draw</v>
      </c>
      <c r="C34" s="587">
        <f>IF(J34="","",INDEX(Odds!C:C,MATCH(J34,Odds!G:G,0)))</f>
        <v>1</v>
      </c>
      <c r="D34" s="498">
        <f t="shared" si="4"/>
        <v>3.75</v>
      </c>
      <c r="E34" s="507" t="str">
        <f t="shared" si="5"/>
        <v>x</v>
      </c>
      <c r="F34" s="493"/>
      <c r="G34" s="504"/>
      <c r="H34" s="235"/>
      <c r="I34" s="412"/>
      <c r="J34" s="499" t="s">
        <v>604</v>
      </c>
      <c r="K34" s="219" t="str">
        <f>INDEX(Odds!H:H,MATCH(J34,Odds!G:G,0))</f>
        <v>11/4</v>
      </c>
      <c r="L34" s="500">
        <f>INDEX(Odds!I:I,MATCH(J34,Odds!G:G,0))</f>
        <v>3.75</v>
      </c>
      <c r="M34" s="488">
        <f>INDEX(Odds!J:J,MATCH(J34,Odds!G:G,0))</f>
        <v>0</v>
      </c>
      <c r="N34" s="501">
        <f t="shared" si="6"/>
        <v>0</v>
      </c>
      <c r="O34" s="659"/>
      <c r="P34" s="655" t="str">
        <f>IF(Match!B34="","",Match!V34)</f>
        <v>Crewe - Wigan OFF</v>
      </c>
      <c r="Q34" s="96"/>
      <c r="R34" s="39" t="str">
        <f>IF(Odds!G34="","",Odds!G34)</f>
        <v>Crewe</v>
      </c>
      <c r="S34" s="40" t="str">
        <f>INDEX(Odds!H:H,MATCH(R34,Odds!G:G,0))</f>
        <v>4/1</v>
      </c>
      <c r="T34" s="44">
        <f t="shared" si="0"/>
        <v>0</v>
      </c>
      <c r="U34" s="22" t="str">
        <f>INDEX(Match!Q:Q,MATCH(P34,Match!V:V,0))</f>
        <v>Crewe</v>
      </c>
      <c r="V34" s="22">
        <f>INDEX(Match!G:G,MATCH(P34,Match!V:V,0))</f>
        <v>0</v>
      </c>
      <c r="W34" s="22" t="str">
        <f>INDEX(Match!R:R,MATCH(P34,Match!V:V,0))</f>
        <v>Wigan</v>
      </c>
      <c r="X34" s="22">
        <f>INDEX(Match!H:H,MATCH(P34,Match!V:V,0))</f>
        <v>0</v>
      </c>
      <c r="AB34" s="664" t="str">
        <f>IF(O34="","",INDEX(Odds!H:H,MATCH(O34,Odds!G:G,0)))</f>
        <v/>
      </c>
      <c r="AC34" s="694">
        <f>IF(J34="","",INDEX(Odds!K:K,MATCH(J34,Odds!G:G,0)))</f>
        <v>1</v>
      </c>
      <c r="AD34" s="74" t="s">
        <v>293</v>
      </c>
      <c r="AE34" s="77">
        <f>INDEX(Picks!F:F,MATCH(AD34,Picks!A:A,0))</f>
        <v>-1.4000000000000004</v>
      </c>
      <c r="AF34" s="481">
        <f>INDEX(Weekly!I:I,MATCH(AD34,Weekly!E:E,0))</f>
        <v>2</v>
      </c>
      <c r="AG34" s="74">
        <f t="shared" ref="AG34:AG63" si="7">IF(AE34=-10,"",_xlfn.RANK.EQ(AE34,TopScores,0))</f>
        <v>32</v>
      </c>
      <c r="AI34" s="76" t="s">
        <v>306</v>
      </c>
      <c r="AJ34" s="77">
        <f>INDEX(Picks!G:G,MATCH(AI34,Picks!A:A,0))</f>
        <v>18.36</v>
      </c>
      <c r="AK34" s="481">
        <f>INDEX(Weekly!I:I,MATCH(AI34,Weekly!E:E,0))</f>
        <v>0</v>
      </c>
      <c r="AL34" s="74">
        <f t="shared" ref="AL34:AL63" si="8">IF(AJ34="","",_xlfn.RANK.EQ(AJ34,TopMaxScores,0))</f>
        <v>28</v>
      </c>
    </row>
    <row r="35" spans="1:38" ht="13.9" thickTop="1" thickBot="1">
      <c r="A35" s="484" t="str">
        <f>Results!B35</f>
        <v>Bob Bailey</v>
      </c>
      <c r="B35" s="502" t="str">
        <f t="shared" si="3"/>
        <v>Wolves</v>
      </c>
      <c r="C35" s="586">
        <f>IF(J35="","",INDEX(Odds!C:C,MATCH(J35,Odds!G:G,0)))</f>
        <v>1</v>
      </c>
      <c r="D35" s="485">
        <f t="shared" si="4"/>
        <v>1.8333333333333335</v>
      </c>
      <c r="E35" s="508" t="str">
        <f t="shared" si="5"/>
        <v>x</v>
      </c>
      <c r="F35" s="415">
        <f>IF(J35="",-10,INDEX(Results!T:T,MATCH(A35,Results!V:V,0)))</f>
        <v>-1</v>
      </c>
      <c r="G35" s="216">
        <f>IF(J35="","",INDEX(Results!AI:AI,MATCH(A35,Results!V:V,0)))</f>
        <v>4.8</v>
      </c>
      <c r="H35" s="235">
        <f>IF(G35="",0,1)</f>
        <v>1</v>
      </c>
      <c r="I35" s="411">
        <f>INDEX(Picks!AG:AG,MATCH(A35,Picks!AD:AD,0))</f>
        <v>26</v>
      </c>
      <c r="J35" s="486" t="s">
        <v>575</v>
      </c>
      <c r="K35" s="217" t="str">
        <f>INDEX(Odds!H:H,MATCH(J35,Odds!G:G,0))</f>
        <v>5/6</v>
      </c>
      <c r="L35" s="487">
        <f>INDEX(Odds!I:I,MATCH(J35,Odds!G:G,0))</f>
        <v>1.8333333333333335</v>
      </c>
      <c r="M35" s="503">
        <f>INDEX(Odds!J:J,MATCH(J35,Odds!G:G,0))</f>
        <v>0</v>
      </c>
      <c r="N35" s="489">
        <f t="shared" si="6"/>
        <v>0</v>
      </c>
      <c r="O35" s="658"/>
      <c r="P35" s="655" t="str">
        <f>IF(Match!B35="","",Match!V35)</f>
        <v>Gillingham - Ipswich OFF</v>
      </c>
      <c r="Q35" s="96"/>
      <c r="R35" s="39" t="str">
        <f>IF(Odds!G35="","",Odds!G35)</f>
        <v>Gillingham</v>
      </c>
      <c r="S35" s="40" t="str">
        <f>INDEX(Odds!H:H,MATCH(R35,Odds!G:G,0))</f>
        <v>11/4</v>
      </c>
      <c r="T35" s="44">
        <f t="shared" si="0"/>
        <v>0</v>
      </c>
      <c r="U35" s="22" t="str">
        <f>INDEX(Match!Q:Q,MATCH(P35,Match!V:V,0))</f>
        <v>Gillingham</v>
      </c>
      <c r="V35" s="22">
        <f>INDEX(Match!G:G,MATCH(P35,Match!V:V,0))</f>
        <v>0</v>
      </c>
      <c r="W35" s="22" t="str">
        <f>INDEX(Match!R:R,MATCH(P35,Match!V:V,0))</f>
        <v>Ipswich</v>
      </c>
      <c r="X35" s="22">
        <f>INDEX(Match!H:H,MATCH(P35,Match!V:V,0))</f>
        <v>0</v>
      </c>
      <c r="AB35" s="663" t="str">
        <f>IF(O35="","",INDEX(Odds!H:H,MATCH(O35,Odds!G:G,0)))</f>
        <v/>
      </c>
      <c r="AC35" s="694">
        <f>IF(J35="","",INDEX(Odds!K:K,MATCH(J35,Odds!G:G,0)))</f>
        <v>0</v>
      </c>
      <c r="AD35" s="74" t="s">
        <v>291</v>
      </c>
      <c r="AE35" s="77">
        <f>INDEX(Picks!F:F,MATCH(AD35,Picks!A:A,0))</f>
        <v>-1.4000000000000004</v>
      </c>
      <c r="AF35" s="481">
        <f>INDEX(Weekly!I:I,MATCH(AD35,Weekly!E:E,0))</f>
        <v>2</v>
      </c>
      <c r="AG35" s="74">
        <f t="shared" si="7"/>
        <v>32</v>
      </c>
      <c r="AI35" s="74" t="s">
        <v>386</v>
      </c>
      <c r="AJ35" s="77">
        <f>INDEX(Picks!G:G,MATCH(AI35,Picks!A:A,0))</f>
        <v>17.544444444444444</v>
      </c>
      <c r="AK35" s="481">
        <f>INDEX(Weekly!I:I,MATCH(AI35,Weekly!E:E,0))</f>
        <v>2</v>
      </c>
      <c r="AL35" s="74">
        <f t="shared" si="8"/>
        <v>29</v>
      </c>
    </row>
    <row r="36" spans="1:38">
      <c r="A36" s="490" t="str">
        <f>A35</f>
        <v>Bob Bailey</v>
      </c>
      <c r="B36" s="491" t="str">
        <f t="shared" si="3"/>
        <v>Villa</v>
      </c>
      <c r="C36" s="586">
        <f>IF(J36="","",INDEX(Odds!C:C,MATCH(J36,Odds!G:G,0)))</f>
        <v>1</v>
      </c>
      <c r="D36" s="492">
        <f t="shared" si="4"/>
        <v>5.8</v>
      </c>
      <c r="E36" s="507" t="str">
        <f t="shared" si="5"/>
        <v>x</v>
      </c>
      <c r="F36" s="493"/>
      <c r="G36" s="504"/>
      <c r="H36" s="235"/>
      <c r="I36" s="412"/>
      <c r="J36" s="486" t="s">
        <v>450</v>
      </c>
      <c r="K36" s="218" t="str">
        <f>INDEX(Odds!H:H,MATCH(J36,Odds!G:G,0))</f>
        <v>24/5</v>
      </c>
      <c r="L36" s="495">
        <f>INDEX(Odds!I:I,MATCH(J36,Odds!G:G,0))</f>
        <v>5.8</v>
      </c>
      <c r="M36" s="488">
        <f>INDEX(Odds!J:J,MATCH(J36,Odds!G:G,0))</f>
        <v>0</v>
      </c>
      <c r="N36" s="489">
        <f t="shared" si="6"/>
        <v>0</v>
      </c>
      <c r="O36" s="658"/>
      <c r="P36" s="655" t="str">
        <f>IF(Match!B36="","",Match!V36)</f>
        <v>Portsmouth - Oxford OFF</v>
      </c>
      <c r="Q36" s="96"/>
      <c r="R36" s="39" t="str">
        <f>IF(Odds!G36="","",Odds!G36)</f>
        <v>Portsmouth</v>
      </c>
      <c r="S36" s="40" t="str">
        <f>INDEX(Odds!H:H,MATCH(R36,Odds!G:G,0))</f>
        <v>6/4</v>
      </c>
      <c r="T36" s="44">
        <f t="shared" si="0"/>
        <v>0</v>
      </c>
      <c r="U36" s="22" t="str">
        <f>INDEX(Match!Q:Q,MATCH(P36,Match!V:V,0))</f>
        <v>Portsmouth</v>
      </c>
      <c r="V36" s="22">
        <f>INDEX(Match!G:G,MATCH(P36,Match!V:V,0))</f>
        <v>0</v>
      </c>
      <c r="W36" s="22" t="str">
        <f>INDEX(Match!R:R,MATCH(P36,Match!V:V,0))</f>
        <v>Oxford</v>
      </c>
      <c r="X36" s="22">
        <f>INDEX(Match!H:H,MATCH(P36,Match!V:V,0))</f>
        <v>0</v>
      </c>
      <c r="AB36" s="663" t="str">
        <f>IF(O36="","",INDEX(Odds!H:H,MATCH(O36,Odds!G:G,0)))</f>
        <v/>
      </c>
      <c r="AC36" s="694">
        <f>IF(J36="","",INDEX(Odds!K:K,MATCH(J36,Odds!G:G,0)))</f>
        <v>1</v>
      </c>
      <c r="AD36" s="74" t="s">
        <v>288</v>
      </c>
      <c r="AE36" s="77">
        <f>INDEX(Picks!F:F,MATCH(AD36,Picks!A:A,0))</f>
        <v>-1.4000000000000004</v>
      </c>
      <c r="AF36" s="481">
        <f>INDEX(Weekly!I:I,MATCH(AD36,Weekly!E:E,0))</f>
        <v>2</v>
      </c>
      <c r="AG36" s="74">
        <f t="shared" si="7"/>
        <v>32</v>
      </c>
      <c r="AI36" s="74" t="s">
        <v>549</v>
      </c>
      <c r="AJ36" s="77">
        <f>INDEX(Picks!G:G,MATCH(AI36,Picks!A:A,0))</f>
        <v>17.080000000000005</v>
      </c>
      <c r="AK36" s="481">
        <f>INDEX(Weekly!I:I,MATCH(AI36,Weekly!E:E,0))</f>
        <v>1</v>
      </c>
      <c r="AL36" s="74">
        <f t="shared" si="8"/>
        <v>30</v>
      </c>
    </row>
    <row r="37" spans="1:38" ht="13.5" thickBot="1">
      <c r="A37" s="496" t="str">
        <f>A35</f>
        <v>Bob Bailey</v>
      </c>
      <c r="B37" s="497" t="str">
        <f t="shared" si="3"/>
        <v>Millwall</v>
      </c>
      <c r="C37" s="587">
        <f>IF(J37="","",INDEX(Odds!C:C,MATCH(J37,Odds!G:G,0)))</f>
        <v>1</v>
      </c>
      <c r="D37" s="498">
        <f t="shared" si="4"/>
        <v>2.375</v>
      </c>
      <c r="E37" s="507" t="str">
        <f t="shared" si="5"/>
        <v>x</v>
      </c>
      <c r="F37" s="493"/>
      <c r="G37" s="504"/>
      <c r="H37" s="235"/>
      <c r="I37" s="412"/>
      <c r="J37" s="499" t="s">
        <v>616</v>
      </c>
      <c r="K37" s="219" t="str">
        <f>INDEX(Odds!H:H,MATCH(J37,Odds!G:G,0))</f>
        <v>11/8</v>
      </c>
      <c r="L37" s="500">
        <f>INDEX(Odds!I:I,MATCH(J37,Odds!G:G,0))</f>
        <v>2.375</v>
      </c>
      <c r="M37" s="488">
        <f>INDEX(Odds!J:J,MATCH(J37,Odds!G:G,0))</f>
        <v>0</v>
      </c>
      <c r="N37" s="501">
        <f t="shared" si="6"/>
        <v>0</v>
      </c>
      <c r="O37" s="659"/>
      <c r="P37" s="655" t="str">
        <f>IF(Match!B37="","",Match!V37)</f>
        <v>Sheff W - Burton OFF</v>
      </c>
      <c r="Q37" s="96"/>
      <c r="R37" s="39" t="str">
        <f>IF(Odds!G37="","",Odds!G37)</f>
        <v>Sheff W</v>
      </c>
      <c r="S37" s="40" t="str">
        <f>INDEX(Odds!H:H,MATCH(R37,Odds!G:G,0))</f>
        <v>8/11</v>
      </c>
      <c r="T37" s="44">
        <f t="shared" si="0"/>
        <v>0</v>
      </c>
      <c r="U37" s="22" t="str">
        <f>INDEX(Match!Q:Q,MATCH(P37,Match!V:V,0))</f>
        <v>Sheff W</v>
      </c>
      <c r="V37" s="22">
        <f>INDEX(Match!G:G,MATCH(P37,Match!V:V,0))</f>
        <v>0</v>
      </c>
      <c r="W37" s="22" t="str">
        <f>INDEX(Match!R:R,MATCH(P37,Match!V:V,0))</f>
        <v>Burton</v>
      </c>
      <c r="X37" s="22">
        <f>INDEX(Match!H:H,MATCH(P37,Match!V:V,0))</f>
        <v>0</v>
      </c>
      <c r="AB37" s="664" t="str">
        <f>IF(O37="","",INDEX(Odds!H:H,MATCH(O37,Odds!G:G,0)))</f>
        <v/>
      </c>
      <c r="AC37" s="694">
        <f>IF(J37="","",INDEX(Odds!K:K,MATCH(J37,Odds!G:G,0)))</f>
        <v>0</v>
      </c>
      <c r="AD37" s="74" t="s">
        <v>388</v>
      </c>
      <c r="AE37" s="77">
        <f>INDEX(Picks!F:F,MATCH(AD37,Picks!A:A,0))</f>
        <v>-1.6068376068376065</v>
      </c>
      <c r="AF37" s="481">
        <f>INDEX(Weekly!I:I,MATCH(AD37,Weekly!E:E,0))</f>
        <v>2</v>
      </c>
      <c r="AG37" s="74">
        <f t="shared" si="7"/>
        <v>36</v>
      </c>
      <c r="AI37" s="74" t="s">
        <v>292</v>
      </c>
      <c r="AJ37" s="77">
        <f>INDEX(Picks!G:G,MATCH(AI37,Picks!A:A,0))</f>
        <v>16.239249999999998</v>
      </c>
      <c r="AK37" s="481">
        <f>INDEX(Weekly!I:I,MATCH(AI37,Weekly!E:E,0))</f>
        <v>3</v>
      </c>
      <c r="AL37" s="74">
        <f t="shared" si="8"/>
        <v>31</v>
      </c>
    </row>
    <row r="38" spans="1:38" ht="13.9" thickTop="1" thickBot="1">
      <c r="A38" s="484" t="str">
        <f>Results!B38</f>
        <v>Charlie Griffiths</v>
      </c>
      <c r="B38" s="502" t="str">
        <f t="shared" si="3"/>
        <v>Blackburn</v>
      </c>
      <c r="C38" s="586">
        <f>IF(J38="","",INDEX(Odds!C:C,MATCH(J38,Odds!G:G,0)))</f>
        <v>1</v>
      </c>
      <c r="D38" s="485">
        <f t="shared" si="4"/>
        <v>2.4</v>
      </c>
      <c r="E38" s="508" t="str">
        <f t="shared" si="5"/>
        <v>x</v>
      </c>
      <c r="F38" s="415">
        <f>IF(J38="",-10,INDEX(Results!T:T,MATCH(A38,Results!V:V,0)))</f>
        <v>1.1000000000000001</v>
      </c>
      <c r="G38" s="216">
        <f>IF(J38="","",INDEX(Results!AI:AI,MATCH(A38,Results!V:V,0)))</f>
        <v>1.1000000000000001</v>
      </c>
      <c r="H38" s="235">
        <f>IF(G38="",0,1)</f>
        <v>1</v>
      </c>
      <c r="I38" s="411">
        <f>INDEX(Picks!AG:AG,MATCH(A38,Picks!AD:AD,0))</f>
        <v>15</v>
      </c>
      <c r="J38" s="486" t="s">
        <v>577</v>
      </c>
      <c r="K38" s="217" t="str">
        <f>INDEX(Odds!H:H,MATCH(J38,Odds!G:G,0))</f>
        <v>7/5</v>
      </c>
      <c r="L38" s="487">
        <f>INDEX(Odds!I:I,MATCH(J38,Odds!G:G,0))</f>
        <v>2.4</v>
      </c>
      <c r="M38" s="503">
        <f>INDEX(Odds!J:J,MATCH(J38,Odds!G:G,0))</f>
        <v>0</v>
      </c>
      <c r="N38" s="489">
        <f t="shared" si="6"/>
        <v>0</v>
      </c>
      <c r="O38" s="658"/>
      <c r="P38" s="655" t="str">
        <f>IF(Match!B38="","",Match!V38)</f>
        <v>Wimbledon - Charlton OFF</v>
      </c>
      <c r="Q38" s="96"/>
      <c r="R38" s="39" t="str">
        <f>IF(Odds!G38="","",Odds!G38)</f>
        <v>Wimbledon</v>
      </c>
      <c r="S38" s="40" t="str">
        <f>INDEX(Odds!H:H,MATCH(R38,Odds!G:G,0))</f>
        <v>17/10</v>
      </c>
      <c r="T38" s="44">
        <f t="shared" si="0"/>
        <v>0</v>
      </c>
      <c r="U38" s="22" t="str">
        <f>INDEX(Match!Q:Q,MATCH(P38,Match!V:V,0))</f>
        <v>Wimbledon</v>
      </c>
      <c r="V38" s="22">
        <f>INDEX(Match!G:G,MATCH(P38,Match!V:V,0))</f>
        <v>0</v>
      </c>
      <c r="W38" s="22" t="str">
        <f>INDEX(Match!R:R,MATCH(P38,Match!V:V,0))</f>
        <v>Charlton</v>
      </c>
      <c r="X38" s="22">
        <f>INDEX(Match!H:H,MATCH(P38,Match!V:V,0))</f>
        <v>0</v>
      </c>
      <c r="AB38" s="663" t="str">
        <f>IF(O38="","",INDEX(Odds!H:H,MATCH(O38,Odds!G:G,0)))</f>
        <v/>
      </c>
      <c r="AC38" s="694">
        <f>IF(J38="","",INDEX(Odds!K:K,MATCH(J38,Odds!G:G,0)))</f>
        <v>0</v>
      </c>
      <c r="AD38" s="74" t="s">
        <v>294</v>
      </c>
      <c r="AE38" s="77">
        <f>INDEX(Picks!F:F,MATCH(AD38,Picks!A:A,0))</f>
        <v>-2.0600000000000005</v>
      </c>
      <c r="AF38" s="481">
        <f>INDEX(Weekly!I:I,MATCH(AD38,Weekly!E:E,0))</f>
        <v>2</v>
      </c>
      <c r="AG38" s="74">
        <f t="shared" si="7"/>
        <v>37</v>
      </c>
      <c r="AI38" s="76" t="s">
        <v>300</v>
      </c>
      <c r="AJ38" s="77">
        <f>INDEX(Picks!G:G,MATCH(AI38,Picks!A:A,0))</f>
        <v>15.8</v>
      </c>
      <c r="AK38" s="481">
        <f>INDEX(Weekly!I:I,MATCH(AI38,Weekly!E:E,0))</f>
        <v>1</v>
      </c>
      <c r="AL38" s="74">
        <f t="shared" si="8"/>
        <v>32</v>
      </c>
    </row>
    <row r="39" spans="1:38">
      <c r="A39" s="490" t="str">
        <f>A38</f>
        <v>Charlie Griffiths</v>
      </c>
      <c r="B39" s="491" t="str">
        <f t="shared" si="3"/>
        <v>Sheff U</v>
      </c>
      <c r="C39" s="586">
        <f>IF(J39="","",INDEX(Odds!C:C,MATCH(J39,Odds!G:G,0)))</f>
        <v>1</v>
      </c>
      <c r="D39" s="492">
        <f t="shared" si="4"/>
        <v>2.375</v>
      </c>
      <c r="E39" s="507" t="str">
        <f t="shared" si="5"/>
        <v>x</v>
      </c>
      <c r="F39" s="493"/>
      <c r="G39" s="504"/>
      <c r="H39" s="235"/>
      <c r="I39" s="412"/>
      <c r="J39" s="486" t="s">
        <v>449</v>
      </c>
      <c r="K39" s="218" t="str">
        <f>INDEX(Odds!H:H,MATCH(J39,Odds!G:G,0))</f>
        <v>11/8</v>
      </c>
      <c r="L39" s="495">
        <f>INDEX(Odds!I:I,MATCH(J39,Odds!G:G,0))</f>
        <v>2.375</v>
      </c>
      <c r="M39" s="488">
        <f>INDEX(Odds!J:J,MATCH(J39,Odds!G:G,0))</f>
        <v>0</v>
      </c>
      <c r="N39" s="489">
        <f t="shared" si="6"/>
        <v>0</v>
      </c>
      <c r="O39" s="658"/>
      <c r="P39" s="655" t="str">
        <f>IF(Match!B39="","",Match!V39)</f>
        <v>Wycombe - Cambridge OFF</v>
      </c>
      <c r="Q39" s="96"/>
      <c r="R39" s="39" t="str">
        <f>IF(Odds!G39="","",Odds!G39)</f>
        <v>Wycombe</v>
      </c>
      <c r="S39" s="40" t="str">
        <f>INDEX(Odds!H:H,MATCH(R39,Odds!G:G,0))</f>
        <v>13/20</v>
      </c>
      <c r="T39" s="44">
        <f t="shared" si="0"/>
        <v>0</v>
      </c>
      <c r="U39" s="22" t="str">
        <f>INDEX(Match!Q:Q,MATCH(P39,Match!V:V,0))</f>
        <v>Wycombe</v>
      </c>
      <c r="V39" s="22">
        <f>INDEX(Match!G:G,MATCH(P39,Match!V:V,0))</f>
        <v>0</v>
      </c>
      <c r="W39" s="22" t="str">
        <f>INDEX(Match!R:R,MATCH(P39,Match!V:V,0))</f>
        <v>Cambridge</v>
      </c>
      <c r="X39" s="22">
        <f>INDEX(Match!H:H,MATCH(P39,Match!V:V,0))</f>
        <v>0</v>
      </c>
      <c r="AB39" s="663" t="str">
        <f>IF(O39="","",INDEX(Odds!H:H,MATCH(O39,Odds!G:G,0)))</f>
        <v/>
      </c>
      <c r="AC39" s="694">
        <f>IF(J39="","",INDEX(Odds!K:K,MATCH(J39,Odds!G:G,0)))</f>
        <v>0</v>
      </c>
      <c r="AD39" s="74" t="s">
        <v>386</v>
      </c>
      <c r="AE39" s="77">
        <f>INDEX(Picks!F:F,MATCH(AD39,Picks!A:A,0))</f>
        <v>-2.6222222222222218</v>
      </c>
      <c r="AF39" s="481">
        <f>INDEX(Weekly!I:I,MATCH(AD39,Weekly!E:E,0))</f>
        <v>2</v>
      </c>
      <c r="AG39" s="74">
        <f t="shared" si="7"/>
        <v>38</v>
      </c>
      <c r="AI39" s="702" t="s">
        <v>335</v>
      </c>
      <c r="AJ39" s="77">
        <f>INDEX(Picks!G:G,MATCH(AI39,Picks!A:A,0))</f>
        <v>15.520000000000003</v>
      </c>
      <c r="AK39" s="481">
        <f>INDEX(Weekly!I:I,MATCH(AI39,Weekly!E:E,0))</f>
        <v>2</v>
      </c>
      <c r="AL39" s="74">
        <f t="shared" si="8"/>
        <v>33</v>
      </c>
    </row>
    <row r="40" spans="1:38" ht="13.5" thickBot="1">
      <c r="A40" s="496" t="str">
        <f>A38</f>
        <v>Charlie Griffiths</v>
      </c>
      <c r="B40" s="497" t="str">
        <f t="shared" si="3"/>
        <v>Middlesbro</v>
      </c>
      <c r="C40" s="587">
        <f>IF(J40="","",INDEX(Odds!C:C,MATCH(J40,Odds!G:G,0)))</f>
        <v>1</v>
      </c>
      <c r="D40" s="498">
        <f t="shared" si="4"/>
        <v>2.1</v>
      </c>
      <c r="E40" s="507" t="str">
        <f t="shared" si="5"/>
        <v>√</v>
      </c>
      <c r="F40" s="493"/>
      <c r="G40" s="504"/>
      <c r="H40" s="235"/>
      <c r="I40" s="412"/>
      <c r="J40" s="499" t="s">
        <v>582</v>
      </c>
      <c r="K40" s="219" t="str">
        <f>INDEX(Odds!H:H,MATCH(J40,Odds!G:G,0))</f>
        <v>11/10</v>
      </c>
      <c r="L40" s="500">
        <f>INDEX(Odds!I:I,MATCH(J40,Odds!G:G,0))</f>
        <v>2.1</v>
      </c>
      <c r="M40" s="488">
        <f>INDEX(Odds!J:J,MATCH(J40,Odds!G:G,0))</f>
        <v>1</v>
      </c>
      <c r="N40" s="501">
        <f t="shared" si="6"/>
        <v>2.1</v>
      </c>
      <c r="O40" s="659"/>
      <c r="P40" s="655" t="str">
        <f>IF(Match!B40="","",Match!V40)</f>
        <v>Bradford - Harrogate OFF</v>
      </c>
      <c r="Q40" s="96"/>
      <c r="R40" s="39" t="str">
        <f>IF(Odds!G40="","",Odds!G40)</f>
        <v>Bradford</v>
      </c>
      <c r="S40" s="40" t="str">
        <f>INDEX(Odds!H:H,MATCH(R40,Odds!G:G,0))</f>
        <v>13/10</v>
      </c>
      <c r="T40" s="44">
        <f t="shared" si="0"/>
        <v>0</v>
      </c>
      <c r="U40" s="22" t="str">
        <f>INDEX(Match!Q:Q,MATCH(P40,Match!V:V,0))</f>
        <v>Bradford</v>
      </c>
      <c r="V40" s="22">
        <f>INDEX(Match!G:G,MATCH(P40,Match!V:V,0))</f>
        <v>0</v>
      </c>
      <c r="W40" s="22" t="str">
        <f>INDEX(Match!R:R,MATCH(P40,Match!V:V,0))</f>
        <v>Harrogate</v>
      </c>
      <c r="X40" s="22">
        <f>INDEX(Match!H:H,MATCH(P40,Match!V:V,0))</f>
        <v>0</v>
      </c>
      <c r="AB40" s="664" t="str">
        <f>IF(O40="","",INDEX(Odds!H:H,MATCH(O40,Odds!G:G,0)))</f>
        <v/>
      </c>
      <c r="AC40" s="694">
        <f>IF(J40="","",INDEX(Odds!K:K,MATCH(J40,Odds!G:G,0)))</f>
        <v>1</v>
      </c>
      <c r="AD40" s="74" t="s">
        <v>300</v>
      </c>
      <c r="AE40" s="77">
        <f>INDEX(Picks!F:F,MATCH(AD40,Picks!A:A,0))</f>
        <v>-3</v>
      </c>
      <c r="AF40" s="481">
        <f>INDEX(Weekly!I:I,MATCH(AD40,Weekly!E:E,0))</f>
        <v>1</v>
      </c>
      <c r="AG40" s="74">
        <f t="shared" si="7"/>
        <v>39</v>
      </c>
      <c r="AI40" s="76" t="s">
        <v>313</v>
      </c>
      <c r="AJ40" s="77">
        <f>INDEX(Picks!G:G,MATCH(AI40,Picks!A:A,0))</f>
        <v>15.466666666666669</v>
      </c>
      <c r="AK40" s="481">
        <f>INDEX(Weekly!I:I,MATCH(AI40,Weekly!E:E,0))</f>
        <v>3</v>
      </c>
      <c r="AL40" s="74">
        <f t="shared" si="8"/>
        <v>34</v>
      </c>
    </row>
    <row r="41" spans="1:38" ht="13.9" thickTop="1" thickBot="1">
      <c r="A41" s="484" t="str">
        <f>Results!B41</f>
        <v>Chris Bow</v>
      </c>
      <c r="B41" s="502" t="str">
        <f t="shared" si="3"/>
        <v>Villa</v>
      </c>
      <c r="C41" s="586">
        <f>IF(J41="","",INDEX(Odds!C:C,MATCH(J41,Odds!G:G,0)))</f>
        <v>1</v>
      </c>
      <c r="D41" s="485">
        <f t="shared" si="4"/>
        <v>5.8</v>
      </c>
      <c r="E41" s="508" t="str">
        <f t="shared" si="5"/>
        <v>x</v>
      </c>
      <c r="F41" s="415">
        <f>IF(J41="",-10,INDEX(Results!T:T,MATCH(A41,Results!V:V,0)))</f>
        <v>7.75</v>
      </c>
      <c r="G41" s="216">
        <f>IF(J41="","",INDEX(Results!AI:AI,MATCH(A41,Results!V:V,0)))</f>
        <v>99.1</v>
      </c>
      <c r="H41" s="235">
        <f>IF(G41="",0,1)</f>
        <v>1</v>
      </c>
      <c r="I41" s="411">
        <f>INDEX(Picks!AG:AG,MATCH(A41,Picks!AD:AD,0))</f>
        <v>8</v>
      </c>
      <c r="J41" s="486" t="s">
        <v>450</v>
      </c>
      <c r="K41" s="217" t="str">
        <f>INDEX(Odds!H:H,MATCH(J41,Odds!G:G,0))</f>
        <v>24/5</v>
      </c>
      <c r="L41" s="487">
        <f>INDEX(Odds!I:I,MATCH(J41,Odds!G:G,0))</f>
        <v>5.8</v>
      </c>
      <c r="M41" s="503">
        <f>INDEX(Odds!J:J,MATCH(J41,Odds!G:G,0))</f>
        <v>0</v>
      </c>
      <c r="N41" s="489">
        <f t="shared" si="6"/>
        <v>0</v>
      </c>
      <c r="O41" s="658"/>
      <c r="P41" s="655" t="str">
        <f>IF(Match!B41="","",Match!V41)</f>
        <v>Bristol R - Sutton OFF</v>
      </c>
      <c r="Q41" s="96"/>
      <c r="R41" s="39" t="str">
        <f>IF(Odds!G41="","",Odds!G41)</f>
        <v>Bristol R</v>
      </c>
      <c r="S41" s="40" t="str">
        <f>INDEX(Odds!H:H,MATCH(R41,Odds!G:G,0))</f>
        <v>8/5</v>
      </c>
      <c r="T41" s="44">
        <f t="shared" si="0"/>
        <v>0</v>
      </c>
      <c r="U41" s="22" t="str">
        <f>INDEX(Match!Q:Q,MATCH(P41,Match!V:V,0))</f>
        <v>Bristol R</v>
      </c>
      <c r="V41" s="22">
        <f>INDEX(Match!G:G,MATCH(P41,Match!V:V,0))</f>
        <v>0</v>
      </c>
      <c r="W41" s="22" t="str">
        <f>INDEX(Match!R:R,MATCH(P41,Match!V:V,0))</f>
        <v>Sutton</v>
      </c>
      <c r="X41" s="22">
        <f>INDEX(Match!H:H,MATCH(P41,Match!V:V,0))</f>
        <v>0</v>
      </c>
      <c r="AB41" s="663" t="str">
        <f>IF(O41="","",INDEX(Odds!H:H,MATCH(O41,Odds!G:G,0)))</f>
        <v/>
      </c>
      <c r="AC41" s="694">
        <f>IF(J41="","",INDEX(Odds!K:K,MATCH(J41,Odds!G:G,0)))</f>
        <v>1</v>
      </c>
      <c r="AD41" s="74" t="s">
        <v>380</v>
      </c>
      <c r="AE41" s="77">
        <f>INDEX(Picks!F:F,MATCH(AD41,Picks!A:A,0))</f>
        <v>-3</v>
      </c>
      <c r="AF41" s="481">
        <f>INDEX(Weekly!I:I,MATCH(AD41,Weekly!E:E,0))</f>
        <v>1</v>
      </c>
      <c r="AG41" s="74">
        <f t="shared" si="7"/>
        <v>39</v>
      </c>
      <c r="AI41" s="74" t="s">
        <v>298</v>
      </c>
      <c r="AJ41" s="77">
        <f>INDEX(Picks!G:G,MATCH(AI41,Picks!A:A,0))</f>
        <v>15.1525</v>
      </c>
      <c r="AK41" s="481">
        <f>INDEX(Weekly!I:I,MATCH(AI41,Weekly!E:E,0))</f>
        <v>2</v>
      </c>
      <c r="AL41" s="74">
        <f t="shared" si="8"/>
        <v>35</v>
      </c>
    </row>
    <row r="42" spans="1:38">
      <c r="A42" s="490" t="str">
        <f>A41</f>
        <v>Chris Bow</v>
      </c>
      <c r="B42" s="491" t="str">
        <f t="shared" si="3"/>
        <v>Accrington</v>
      </c>
      <c r="C42" s="586">
        <f>IF(J42="","",INDEX(Odds!C:C,MATCH(J42,Odds!G:G,0)))</f>
        <v>1</v>
      </c>
      <c r="D42" s="492">
        <f t="shared" si="4"/>
        <v>4</v>
      </c>
      <c r="E42" s="507" t="str">
        <f t="shared" si="5"/>
        <v>√</v>
      </c>
      <c r="F42" s="493"/>
      <c r="G42" s="504"/>
      <c r="H42" s="235"/>
      <c r="I42" s="412"/>
      <c r="J42" s="486" t="s">
        <v>619</v>
      </c>
      <c r="K42" s="218" t="str">
        <f>INDEX(Odds!H:H,MATCH(J42,Odds!G:G,0))</f>
        <v>3/1</v>
      </c>
      <c r="L42" s="495">
        <f>INDEX(Odds!I:I,MATCH(J42,Odds!G:G,0))</f>
        <v>4</v>
      </c>
      <c r="M42" s="488">
        <f>INDEX(Odds!J:J,MATCH(J42,Odds!G:G,0))</f>
        <v>1</v>
      </c>
      <c r="N42" s="489">
        <f t="shared" si="6"/>
        <v>4</v>
      </c>
      <c r="O42" s="658"/>
      <c r="P42" s="655" t="str">
        <f>IF(Match!B42="","",Match!V42)</f>
        <v>Carlisle - Rochdale OFF</v>
      </c>
      <c r="Q42" s="96"/>
      <c r="R42" s="39" t="str">
        <f>IF(Odds!G42="","",Odds!G42)</f>
        <v>Carlisle</v>
      </c>
      <c r="S42" s="40" t="str">
        <f>INDEX(Odds!H:H,MATCH(R42,Odds!G:G,0))</f>
        <v>7/4</v>
      </c>
      <c r="T42" s="44">
        <f t="shared" si="0"/>
        <v>0</v>
      </c>
      <c r="U42" s="22" t="str">
        <f>INDEX(Match!Q:Q,MATCH(P42,Match!V:V,0))</f>
        <v>Carlisle</v>
      </c>
      <c r="V42" s="22">
        <f>INDEX(Match!G:G,MATCH(P42,Match!V:V,0))</f>
        <v>0</v>
      </c>
      <c r="W42" s="22" t="str">
        <f>INDEX(Match!R:R,MATCH(P42,Match!V:V,0))</f>
        <v>Rochdale</v>
      </c>
      <c r="X42" s="22">
        <f>INDEX(Match!H:H,MATCH(P42,Match!V:V,0))</f>
        <v>0</v>
      </c>
      <c r="AB42" s="663" t="str">
        <f>IF(O42="","",INDEX(Odds!H:H,MATCH(O42,Odds!G:G,0)))</f>
        <v/>
      </c>
      <c r="AC42" s="694">
        <f>IF(J42="","",INDEX(Odds!K:K,MATCH(J42,Odds!G:G,0)))</f>
        <v>1</v>
      </c>
      <c r="AD42" s="74" t="s">
        <v>382</v>
      </c>
      <c r="AE42" s="77">
        <f>INDEX(Picks!F:F,MATCH(AD42,Picks!A:A,0))</f>
        <v>-3</v>
      </c>
      <c r="AF42" s="481">
        <f>INDEX(Weekly!I:I,MATCH(AD42,Weekly!E:E,0))</f>
        <v>1</v>
      </c>
      <c r="AG42" s="74">
        <f t="shared" si="7"/>
        <v>39</v>
      </c>
      <c r="AI42" s="76" t="s">
        <v>304</v>
      </c>
      <c r="AJ42" s="77">
        <f>INDEX(Picks!G:G,MATCH(AI42,Picks!A:A,0))</f>
        <v>14.586666666666666</v>
      </c>
      <c r="AK42" s="481">
        <f>INDEX(Weekly!I:I,MATCH(AI42,Weekly!E:E,0))</f>
        <v>2</v>
      </c>
      <c r="AL42" s="74">
        <f t="shared" si="8"/>
        <v>36</v>
      </c>
    </row>
    <row r="43" spans="1:38" ht="13.5" thickBot="1">
      <c r="A43" s="496" t="str">
        <f>A41</f>
        <v>Chris Bow</v>
      </c>
      <c r="B43" s="497" t="str">
        <f t="shared" si="3"/>
        <v>Tranmere</v>
      </c>
      <c r="C43" s="587">
        <f>IF(J43="","",INDEX(Odds!C:C,MATCH(J43,Odds!G:G,0)))</f>
        <v>1</v>
      </c>
      <c r="D43" s="498">
        <f t="shared" si="4"/>
        <v>2.15</v>
      </c>
      <c r="E43" s="507" t="str">
        <f t="shared" si="5"/>
        <v>√</v>
      </c>
      <c r="F43" s="493"/>
      <c r="G43" s="504"/>
      <c r="H43" s="235"/>
      <c r="I43" s="412"/>
      <c r="J43" s="499" t="s">
        <v>559</v>
      </c>
      <c r="K43" s="219" t="str">
        <f>INDEX(Odds!H:H,MATCH(J43,Odds!G:G,0))</f>
        <v>23/20</v>
      </c>
      <c r="L43" s="500">
        <f>INDEX(Odds!I:I,MATCH(J43,Odds!G:G,0))</f>
        <v>2.15</v>
      </c>
      <c r="M43" s="488">
        <f>INDEX(Odds!J:J,MATCH(J43,Odds!G:G,0))</f>
        <v>1</v>
      </c>
      <c r="N43" s="501">
        <f t="shared" si="6"/>
        <v>2.15</v>
      </c>
      <c r="O43" s="659"/>
      <c r="P43" s="655" t="str">
        <f>IF(Match!B43="","",Match!V43)</f>
        <v>Colchester - Orient OFF</v>
      </c>
      <c r="Q43" s="96"/>
      <c r="R43" s="39" t="str">
        <f>IF(Odds!G43="","",Odds!G43)</f>
        <v>Colchester</v>
      </c>
      <c r="S43" s="40" t="str">
        <f>INDEX(Odds!H:H,MATCH(R43,Odds!G:G,0))</f>
        <v>5/2</v>
      </c>
      <c r="T43" s="44">
        <f t="shared" si="0"/>
        <v>0</v>
      </c>
      <c r="U43" s="22" t="str">
        <f>INDEX(Match!Q:Q,MATCH(P43,Match!V:V,0))</f>
        <v>Colchester</v>
      </c>
      <c r="V43" s="22">
        <f>INDEX(Match!G:G,MATCH(P43,Match!V:V,0))</f>
        <v>0</v>
      </c>
      <c r="W43" s="22" t="str">
        <f>INDEX(Match!R:R,MATCH(P43,Match!V:V,0))</f>
        <v>Orient</v>
      </c>
      <c r="X43" s="22">
        <f>INDEX(Match!H:H,MATCH(P43,Match!V:V,0))</f>
        <v>0</v>
      </c>
      <c r="AB43" s="664" t="str">
        <f>IF(O43="","",INDEX(Odds!H:H,MATCH(O43,Odds!G:G,0)))</f>
        <v/>
      </c>
      <c r="AC43" s="694">
        <f>IF(J43="","",INDEX(Odds!K:K,MATCH(J43,Odds!G:G,0)))</f>
        <v>1</v>
      </c>
      <c r="AD43" s="74" t="s">
        <v>389</v>
      </c>
      <c r="AE43" s="77">
        <f>INDEX(Picks!F:F,MATCH(AD43,Picks!A:A,0))</f>
        <v>-3</v>
      </c>
      <c r="AF43" s="481">
        <f>INDEX(Weekly!I:I,MATCH(AD43,Weekly!E:E,0))</f>
        <v>0</v>
      </c>
      <c r="AG43" s="74">
        <f t="shared" si="7"/>
        <v>39</v>
      </c>
      <c r="AI43" s="76" t="s">
        <v>312</v>
      </c>
      <c r="AJ43" s="77">
        <f>INDEX(Picks!G:G,MATCH(AI43,Picks!A:A,0))</f>
        <v>14.207499999999996</v>
      </c>
      <c r="AK43" s="481">
        <f>INDEX(Weekly!I:I,MATCH(AI43,Weekly!E:E,0))</f>
        <v>3</v>
      </c>
      <c r="AL43" s="74">
        <f t="shared" si="8"/>
        <v>37</v>
      </c>
    </row>
    <row r="44" spans="1:38" ht="13.9" thickTop="1" thickBot="1">
      <c r="A44" s="484" t="str">
        <f>Results!B44</f>
        <v>Chris Griffin</v>
      </c>
      <c r="B44" s="502" t="str">
        <f t="shared" si="3"/>
        <v>Tranmere</v>
      </c>
      <c r="C44" s="586">
        <f>IF(J44="","",INDEX(Odds!C:C,MATCH(J44,Odds!G:G,0)))</f>
        <v>1</v>
      </c>
      <c r="D44" s="485">
        <f t="shared" si="4"/>
        <v>2.15</v>
      </c>
      <c r="E44" s="508" t="str">
        <f t="shared" si="5"/>
        <v>√</v>
      </c>
      <c r="F44" s="415">
        <f>IF(J44="",-10,INDEX(Results!T:T,MATCH(A44,Results!V:V,0)))</f>
        <v>-4.8499999999999996</v>
      </c>
      <c r="G44" s="216">
        <f>IF(J44="","",INDEX(Results!AI:AI,MATCH(A44,Results!V:V,0)))</f>
        <v>30.981250000000003</v>
      </c>
      <c r="H44" s="235">
        <f>IF(G44="",0,1)</f>
        <v>1</v>
      </c>
      <c r="I44" s="411">
        <f>INDEX(Picks!AG:AG,MATCH(A44,Picks!AD:AD,0))</f>
        <v>45</v>
      </c>
      <c r="J44" s="486" t="s">
        <v>559</v>
      </c>
      <c r="K44" s="217" t="str">
        <f>INDEX(Odds!H:H,MATCH(J44,Odds!G:G,0))</f>
        <v>23/20</v>
      </c>
      <c r="L44" s="487">
        <f>INDEX(Odds!I:I,MATCH(J44,Odds!G:G,0))</f>
        <v>2.15</v>
      </c>
      <c r="M44" s="503">
        <f>INDEX(Odds!J:J,MATCH(J44,Odds!G:G,0))</f>
        <v>1</v>
      </c>
      <c r="N44" s="489">
        <f t="shared" si="6"/>
        <v>2.15</v>
      </c>
      <c r="O44" s="658"/>
      <c r="P44" s="655" t="str">
        <f>IF(Match!B44="","",Match!V44)</f>
        <v>Exeter - Swindon OFF</v>
      </c>
      <c r="Q44" s="96"/>
      <c r="R44" s="39" t="str">
        <f>IF(Odds!G44="","",Odds!G44)</f>
        <v>Exeter</v>
      </c>
      <c r="S44" s="40" t="str">
        <f>INDEX(Odds!H:H,MATCH(R44,Odds!G:G,0))</f>
        <v>23/20</v>
      </c>
      <c r="T44" s="44">
        <f t="shared" si="0"/>
        <v>0</v>
      </c>
      <c r="U44" s="22" t="str">
        <f>INDEX(Match!Q:Q,MATCH(P44,Match!V:V,0))</f>
        <v>Exeter</v>
      </c>
      <c r="V44" s="22">
        <f>INDEX(Match!G:G,MATCH(P44,Match!V:V,0))</f>
        <v>0</v>
      </c>
      <c r="W44" s="22" t="str">
        <f>INDEX(Match!R:R,MATCH(P44,Match!V:V,0))</f>
        <v>Swindon</v>
      </c>
      <c r="X44" s="22">
        <f>INDEX(Match!H:H,MATCH(P44,Match!V:V,0))</f>
        <v>0</v>
      </c>
      <c r="AB44" s="663" t="str">
        <f>IF(O44="","",INDEX(Odds!H:H,MATCH(O44,Odds!G:G,0)))</f>
        <v/>
      </c>
      <c r="AC44" s="694">
        <f>IF(J44="","",INDEX(Odds!K:K,MATCH(J44,Odds!G:G,0)))</f>
        <v>1</v>
      </c>
      <c r="AD44" s="74" t="s">
        <v>306</v>
      </c>
      <c r="AE44" s="77">
        <f>INDEX(Picks!F:F,MATCH(AD44,Picks!A:A,0))</f>
        <v>-3</v>
      </c>
      <c r="AF44" s="481">
        <f>INDEX(Weekly!I:I,MATCH(AD44,Weekly!E:E,0))</f>
        <v>0</v>
      </c>
      <c r="AG44" s="74">
        <f t="shared" si="7"/>
        <v>39</v>
      </c>
      <c r="AI44" s="76" t="s">
        <v>389</v>
      </c>
      <c r="AJ44" s="77">
        <f>INDEX(Picks!G:G,MATCH(AI44,Picks!A:A,0))</f>
        <v>14.059999999999999</v>
      </c>
      <c r="AK44" s="481">
        <f>INDEX(Weekly!I:I,MATCH(AI44,Weekly!E:E,0))</f>
        <v>0</v>
      </c>
      <c r="AL44" s="74">
        <f t="shared" si="8"/>
        <v>38</v>
      </c>
    </row>
    <row r="45" spans="1:38">
      <c r="A45" s="490" t="str">
        <f>A44</f>
        <v>Chris Griffin</v>
      </c>
      <c r="B45" s="491" t="str">
        <f t="shared" si="3"/>
        <v>West Ham</v>
      </c>
      <c r="C45" s="586">
        <f>IF(J45="","",INDEX(Odds!C:C,MATCH(J45,Odds!G:G,0)))</f>
        <v>1</v>
      </c>
      <c r="D45" s="492">
        <f t="shared" si="4"/>
        <v>1.75</v>
      </c>
      <c r="E45" s="507" t="str">
        <f t="shared" si="5"/>
        <v>x</v>
      </c>
      <c r="F45" s="493"/>
      <c r="G45" s="504"/>
      <c r="H45" s="235"/>
      <c r="I45" s="412"/>
      <c r="J45" s="486" t="s">
        <v>452</v>
      </c>
      <c r="K45" s="218" t="str">
        <f>INDEX(Odds!H:H,MATCH(J45,Odds!G:G,0))</f>
        <v>3/4</v>
      </c>
      <c r="L45" s="495">
        <f>INDEX(Odds!I:I,MATCH(J45,Odds!G:G,0))</f>
        <v>1.75</v>
      </c>
      <c r="M45" s="488">
        <f>INDEX(Odds!J:J,MATCH(J45,Odds!G:G,0))</f>
        <v>0</v>
      </c>
      <c r="N45" s="489">
        <f t="shared" si="6"/>
        <v>0</v>
      </c>
      <c r="O45" s="658"/>
      <c r="P45" s="655" t="str">
        <f>IF(Match!B45="","",Match!V45)</f>
        <v>Newport - Forest Green OFF</v>
      </c>
      <c r="Q45" s="96"/>
      <c r="R45" s="39" t="str">
        <f>IF(Odds!G45="","",Odds!G45)</f>
        <v>Newport</v>
      </c>
      <c r="S45" s="40" t="str">
        <f>INDEX(Odds!H:H,MATCH(R45,Odds!G:G,0))</f>
        <v>13/8</v>
      </c>
      <c r="T45" s="44">
        <f t="shared" si="0"/>
        <v>0</v>
      </c>
      <c r="U45" s="22" t="str">
        <f>INDEX(Match!Q:Q,MATCH(P45,Match!V:V,0))</f>
        <v>Newport</v>
      </c>
      <c r="V45" s="22">
        <f>INDEX(Match!G:G,MATCH(P45,Match!V:V,0))</f>
        <v>0</v>
      </c>
      <c r="W45" s="22" t="str">
        <f>INDEX(Match!R:R,MATCH(P45,Match!V:V,0))</f>
        <v>Forest Green</v>
      </c>
      <c r="X45" s="22">
        <f>INDEX(Match!H:H,MATCH(P45,Match!V:V,0))</f>
        <v>0</v>
      </c>
      <c r="AB45" s="663" t="str">
        <f>IF(O45="","",INDEX(Odds!H:H,MATCH(O45,Odds!G:G,0)))</f>
        <v/>
      </c>
      <c r="AC45" s="694">
        <f>IF(J45="","",INDEX(Odds!K:K,MATCH(J45,Odds!G:G,0)))</f>
        <v>1</v>
      </c>
      <c r="AD45" s="74" t="s">
        <v>387</v>
      </c>
      <c r="AE45" s="77">
        <f>INDEX(Picks!F:F,MATCH(AD45,Picks!A:A,0))</f>
        <v>-3.9</v>
      </c>
      <c r="AF45" s="481">
        <f>INDEX(Weekly!I:I,MATCH(AD45,Weekly!E:E,0))</f>
        <v>1</v>
      </c>
      <c r="AG45" s="74">
        <f t="shared" si="7"/>
        <v>44</v>
      </c>
      <c r="AI45" s="76" t="s">
        <v>381</v>
      </c>
      <c r="AJ45" s="77">
        <f>INDEX(Picks!G:G,MATCH(AI45,Picks!A:A,0))</f>
        <v>13.852991452991454</v>
      </c>
      <c r="AK45" s="481">
        <f>INDEX(Weekly!I:I,MATCH(AI45,Weekly!E:E,0))</f>
        <v>2</v>
      </c>
      <c r="AL45" s="74">
        <f t="shared" si="8"/>
        <v>39</v>
      </c>
    </row>
    <row r="46" spans="1:38" ht="13.5" thickBot="1">
      <c r="A46" s="496" t="str">
        <f>A44</f>
        <v>Chris Griffin</v>
      </c>
      <c r="B46" s="497" t="str">
        <f t="shared" si="3"/>
        <v>Brighton draw</v>
      </c>
      <c r="C46" s="587">
        <f>IF(J46="","",INDEX(Odds!C:C,MATCH(J46,Odds!G:G,0)))</f>
        <v>1</v>
      </c>
      <c r="D46" s="498">
        <f t="shared" si="4"/>
        <v>3.5</v>
      </c>
      <c r="E46" s="507" t="str">
        <f t="shared" si="5"/>
        <v>x</v>
      </c>
      <c r="F46" s="493"/>
      <c r="G46" s="504"/>
      <c r="H46" s="235"/>
      <c r="I46" s="412"/>
      <c r="J46" s="499" t="s">
        <v>646</v>
      </c>
      <c r="K46" s="219" t="str">
        <f>INDEX(Odds!H:H,MATCH(J46,Odds!G:G,0))</f>
        <v>5/2</v>
      </c>
      <c r="L46" s="500">
        <f>INDEX(Odds!I:I,MATCH(J46,Odds!G:G,0))</f>
        <v>3.5</v>
      </c>
      <c r="M46" s="488">
        <f>INDEX(Odds!J:J,MATCH(J46,Odds!G:G,0))</f>
        <v>0</v>
      </c>
      <c r="N46" s="501">
        <f t="shared" si="6"/>
        <v>0</v>
      </c>
      <c r="O46" s="659"/>
      <c r="P46" s="655" t="str">
        <f>IF(Match!B46="","",Match!V46)</f>
        <v>Northampton - Walsall OFF</v>
      </c>
      <c r="Q46" s="96"/>
      <c r="R46" s="39" t="str">
        <f>IF(Odds!G46="","",Odds!G46)</f>
        <v>Northampton</v>
      </c>
      <c r="S46" s="40" t="str">
        <f>INDEX(Odds!H:H,MATCH(R46,Odds!G:G,0))</f>
        <v>21/20</v>
      </c>
      <c r="T46" s="44">
        <f t="shared" si="0"/>
        <v>0</v>
      </c>
      <c r="U46" s="22" t="str">
        <f>INDEX(Match!Q:Q,MATCH(P46,Match!V:V,0))</f>
        <v>Northampton</v>
      </c>
      <c r="V46" s="22">
        <f>INDEX(Match!G:G,MATCH(P46,Match!V:V,0))</f>
        <v>0</v>
      </c>
      <c r="W46" s="22" t="str">
        <f>INDEX(Match!R:R,MATCH(P46,Match!V:V,0))</f>
        <v>Walsall</v>
      </c>
      <c r="X46" s="22">
        <f>INDEX(Match!H:H,MATCH(P46,Match!V:V,0))</f>
        <v>0</v>
      </c>
      <c r="AB46" s="664" t="str">
        <f>IF(O46="","",INDEX(Odds!H:H,MATCH(O46,Odds!G:G,0)))</f>
        <v/>
      </c>
      <c r="AC46" s="694">
        <f>IF(J46="","",INDEX(Odds!K:K,MATCH(J46,Odds!G:G,0)))</f>
        <v>1</v>
      </c>
      <c r="AD46" s="74" t="s">
        <v>316</v>
      </c>
      <c r="AE46" s="77">
        <f>INDEX(Picks!F:F,MATCH(AD46,Picks!A:A,0))</f>
        <v>-4.8499999999999996</v>
      </c>
      <c r="AF46" s="481">
        <f>INDEX(Weekly!I:I,MATCH(AD46,Weekly!E:E,0))</f>
        <v>1</v>
      </c>
      <c r="AG46" s="74">
        <f t="shared" si="7"/>
        <v>45</v>
      </c>
      <c r="AI46" s="76" t="s">
        <v>460</v>
      </c>
      <c r="AJ46" s="77">
        <f>INDEX(Picks!G:G,MATCH(AI46,Picks!A:A,0))</f>
        <v>13.217777777777776</v>
      </c>
      <c r="AK46" s="481">
        <f>INDEX(Weekly!I:I,MATCH(AI46,Weekly!E:E,0))</f>
        <v>2</v>
      </c>
      <c r="AL46" s="74">
        <f t="shared" si="8"/>
        <v>40</v>
      </c>
    </row>
    <row r="47" spans="1:38" ht="13.9" thickTop="1" thickBot="1">
      <c r="A47" s="484" t="str">
        <f>Results!B47</f>
        <v>Chris Luck</v>
      </c>
      <c r="B47" s="502" t="str">
        <f t="shared" si="3"/>
        <v>Brighton draw</v>
      </c>
      <c r="C47" s="586">
        <f>IF(J47="","",INDEX(Odds!C:C,MATCH(J47,Odds!G:G,0)))</f>
        <v>1</v>
      </c>
      <c r="D47" s="485">
        <f t="shared" si="4"/>
        <v>3.5</v>
      </c>
      <c r="E47" s="508" t="str">
        <f t="shared" si="5"/>
        <v>x</v>
      </c>
      <c r="F47" s="415">
        <f>IF(J47="",-10,INDEX(Results!T:T,MATCH(A47,Results!V:V,0)))</f>
        <v>-7</v>
      </c>
      <c r="G47" s="216">
        <f>IF(J47="","",INDEX(Results!AI:AI,MATCH(A47,Results!V:V,0)))</f>
        <v>152.3125</v>
      </c>
      <c r="H47" s="235">
        <f>IF(G47="",0,1)</f>
        <v>1</v>
      </c>
      <c r="I47" s="411">
        <f>INDEX(Picks!AG:AG,MATCH(A47,Picks!AD:AD,0))</f>
        <v>50</v>
      </c>
      <c r="J47" s="486" t="s">
        <v>646</v>
      </c>
      <c r="K47" s="217" t="str">
        <f>INDEX(Odds!H:H,MATCH(J47,Odds!G:G,0))</f>
        <v>5/2</v>
      </c>
      <c r="L47" s="487">
        <f>INDEX(Odds!I:I,MATCH(J47,Odds!G:G,0))</f>
        <v>3.5</v>
      </c>
      <c r="M47" s="503">
        <f>INDEX(Odds!J:J,MATCH(J47,Odds!G:G,0))</f>
        <v>0</v>
      </c>
      <c r="N47" s="489">
        <f t="shared" si="6"/>
        <v>0</v>
      </c>
      <c r="O47" s="658"/>
      <c r="P47" s="656" t="str">
        <f>IF(Match!B47="","",Match!V47)</f>
        <v>Port Vale - Salford OFF</v>
      </c>
      <c r="Q47" s="96"/>
      <c r="R47" s="45" t="str">
        <f>IF(Odds!G47="","",Odds!G47)</f>
        <v>Port Vale</v>
      </c>
      <c r="S47" s="46" t="str">
        <f>INDEX(Odds!H:H,MATCH(R47,Odds!G:G,0))</f>
        <v>11/10</v>
      </c>
      <c r="T47" s="47">
        <f>IF(V47&gt;X47,1,0)</f>
        <v>0</v>
      </c>
      <c r="U47" s="22" t="str">
        <f>INDEX(Match!Q:Q,MATCH(P47,Match!V:V,0))</f>
        <v>Port Vale</v>
      </c>
      <c r="V47" s="22">
        <f>INDEX(Match!G:G,MATCH(P47,Match!V:V,0))</f>
        <v>0</v>
      </c>
      <c r="W47" s="22" t="str">
        <f>INDEX(Match!R:R,MATCH(P47,Match!V:V,0))</f>
        <v>Salford</v>
      </c>
      <c r="X47" s="22">
        <f>INDEX(Match!H:H,MATCH(P47,Match!V:V,0))</f>
        <v>0</v>
      </c>
      <c r="AB47" s="663" t="str">
        <f>IF(O47="","",INDEX(Odds!H:H,MATCH(O47,Odds!G:G,0)))</f>
        <v/>
      </c>
      <c r="AC47" s="694">
        <f>IF(J47="","",INDEX(Odds!K:K,MATCH(J47,Odds!G:G,0)))</f>
        <v>1</v>
      </c>
      <c r="AD47" s="74" t="s">
        <v>549</v>
      </c>
      <c r="AE47" s="77">
        <f>INDEX(Picks!F:F,MATCH(AD47,Picks!A:A,0))</f>
        <v>-5.15</v>
      </c>
      <c r="AF47" s="481">
        <f>INDEX(Weekly!I:I,MATCH(AD47,Weekly!E:E,0))</f>
        <v>1</v>
      </c>
      <c r="AG47" s="74">
        <f t="shared" si="7"/>
        <v>46</v>
      </c>
      <c r="AI47" s="74" t="s">
        <v>287</v>
      </c>
      <c r="AJ47" s="77">
        <f>INDEX(Picks!G:G,MATCH(AI47,Picks!A:A,0))</f>
        <v>13.161250000000003</v>
      </c>
      <c r="AK47" s="481">
        <f>INDEX(Weekly!I:I,MATCH(AI47,Weekly!E:E,0))</f>
        <v>2</v>
      </c>
      <c r="AL47" s="74">
        <f t="shared" si="8"/>
        <v>41</v>
      </c>
    </row>
    <row r="48" spans="1:38">
      <c r="A48" s="490" t="str">
        <f>A47</f>
        <v>Chris Luck</v>
      </c>
      <c r="B48" s="491" t="str">
        <f t="shared" si="3"/>
        <v>Man C draw</v>
      </c>
      <c r="C48" s="586">
        <f>IF(J48="","",INDEX(Odds!C:C,MATCH(J48,Odds!G:G,0)))</f>
        <v>1</v>
      </c>
      <c r="D48" s="492">
        <f t="shared" si="4"/>
        <v>6.5</v>
      </c>
      <c r="E48" s="507" t="str">
        <f t="shared" si="5"/>
        <v>x</v>
      </c>
      <c r="F48" s="493"/>
      <c r="G48" s="504"/>
      <c r="H48" s="235"/>
      <c r="I48" s="412"/>
      <c r="J48" s="486" t="s">
        <v>649</v>
      </c>
      <c r="K48" s="218" t="str">
        <f>INDEX(Odds!H:H,MATCH(J48,Odds!G:G,0))</f>
        <v>11/2</v>
      </c>
      <c r="L48" s="495">
        <f>INDEX(Odds!I:I,MATCH(J48,Odds!G:G,0))</f>
        <v>6.5</v>
      </c>
      <c r="M48" s="488">
        <f>INDEX(Odds!J:J,MATCH(J48,Odds!G:G,0))</f>
        <v>0</v>
      </c>
      <c r="N48" s="489">
        <f t="shared" si="6"/>
        <v>0</v>
      </c>
      <c r="O48" s="658"/>
      <c r="P48" s="62"/>
      <c r="R48" s="39" t="str">
        <f>IF(Odds!G48="","",Odds!G48)</f>
        <v>Brighton draw</v>
      </c>
      <c r="S48" s="40" t="str">
        <f>INDEX(Odds!H:H,MATCH(R48,Odds!G:G,0))</f>
        <v>5/2</v>
      </c>
      <c r="T48" s="44">
        <f t="shared" ref="T48:T93" si="9">IF(V2=X2,1,0)</f>
        <v>0</v>
      </c>
      <c r="AB48" s="663" t="str">
        <f>IF(O48="","",INDEX(Odds!H:H,MATCH(O48,Odds!G:G,0)))</f>
        <v/>
      </c>
      <c r="AC48" s="694">
        <f>IF(J48="","",INDEX(Odds!K:K,MATCH(J48,Odds!G:G,0)))</f>
        <v>1</v>
      </c>
      <c r="AD48" s="74" t="s">
        <v>385</v>
      </c>
      <c r="AE48" s="77">
        <f>INDEX(Picks!F:F,MATCH(AD48,Picks!A:A,0))</f>
        <v>-5.2777777777777777</v>
      </c>
      <c r="AF48" s="481">
        <f>INDEX(Weekly!I:I,MATCH(AD48,Weekly!E:E,0))</f>
        <v>1</v>
      </c>
      <c r="AG48" s="74">
        <f t="shared" si="7"/>
        <v>47</v>
      </c>
      <c r="AI48" s="74" t="s">
        <v>319</v>
      </c>
      <c r="AJ48" s="77">
        <f>INDEX(Picks!G:G,MATCH(AI48,Picks!A:A,0))</f>
        <v>12.509090909090908</v>
      </c>
      <c r="AK48" s="481">
        <f>INDEX(Weekly!I:I,MATCH(AI48,Weekly!E:E,0))</f>
        <v>2</v>
      </c>
      <c r="AL48" s="74">
        <f t="shared" si="8"/>
        <v>42</v>
      </c>
    </row>
    <row r="49" spans="1:38" ht="13.5" thickBot="1">
      <c r="A49" s="496" t="str">
        <f>A47</f>
        <v>Chris Luck</v>
      </c>
      <c r="B49" s="497" t="str">
        <f t="shared" si="3"/>
        <v>Spurs draw</v>
      </c>
      <c r="C49" s="587">
        <f>IF(J49="","",INDEX(Odds!C:C,MATCH(J49,Odds!G:G,0)))</f>
        <v>1</v>
      </c>
      <c r="D49" s="498">
        <f t="shared" si="4"/>
        <v>3.75</v>
      </c>
      <c r="E49" s="507" t="str">
        <f t="shared" si="5"/>
        <v>x</v>
      </c>
      <c r="F49" s="493"/>
      <c r="G49" s="504"/>
      <c r="H49" s="235"/>
      <c r="I49" s="412"/>
      <c r="J49" s="499" t="s">
        <v>604</v>
      </c>
      <c r="K49" s="219" t="str">
        <f>INDEX(Odds!H:H,MATCH(J49,Odds!G:G,0))</f>
        <v>11/4</v>
      </c>
      <c r="L49" s="500">
        <f>INDEX(Odds!I:I,MATCH(J49,Odds!G:G,0))</f>
        <v>3.75</v>
      </c>
      <c r="M49" s="488">
        <f>INDEX(Odds!J:J,MATCH(J49,Odds!G:G,0))</f>
        <v>0</v>
      </c>
      <c r="N49" s="501">
        <f t="shared" si="6"/>
        <v>0</v>
      </c>
      <c r="O49" s="659"/>
      <c r="P49" s="62"/>
      <c r="R49" s="39" t="str">
        <f>IF(Odds!G49="","",Odds!G49)</f>
        <v>Man C draw</v>
      </c>
      <c r="S49" s="40" t="str">
        <f>INDEX(Odds!H:H,MATCH(R49,Odds!G:G,0))</f>
        <v>11/2</v>
      </c>
      <c r="T49" s="44">
        <f t="shared" si="9"/>
        <v>0</v>
      </c>
      <c r="AB49" s="664" t="str">
        <f>IF(O49="","",INDEX(Odds!H:H,MATCH(O49,Odds!G:G,0)))</f>
        <v/>
      </c>
      <c r="AC49" s="694">
        <f>IF(J49="","",INDEX(Odds!K:K,MATCH(J49,Odds!G:G,0)))</f>
        <v>1</v>
      </c>
      <c r="AD49" s="74" t="s">
        <v>311</v>
      </c>
      <c r="AE49" s="77">
        <f>INDEX(Picks!F:F,MATCH(AD49,Picks!A:A,0))</f>
        <v>-5.5555555555555554</v>
      </c>
      <c r="AF49" s="481">
        <f>INDEX(Weekly!I:I,MATCH(AD49,Weekly!E:E,0))</f>
        <v>1</v>
      </c>
      <c r="AG49" s="74">
        <f t="shared" si="7"/>
        <v>48</v>
      </c>
      <c r="AI49" s="702" t="s">
        <v>310</v>
      </c>
      <c r="AJ49" s="77">
        <f>INDEX(Picks!G:G,MATCH(AI49,Picks!A:A,0))</f>
        <v>11.818803418803419</v>
      </c>
      <c r="AK49" s="481">
        <f>INDEX(Weekly!I:I,MATCH(AI49,Weekly!E:E,0))</f>
        <v>3</v>
      </c>
      <c r="AL49" s="74">
        <f t="shared" si="8"/>
        <v>43</v>
      </c>
    </row>
    <row r="50" spans="1:38" ht="13.9" thickTop="1" thickBot="1">
      <c r="A50" s="484" t="str">
        <f>Results!B50</f>
        <v>Chris Townsend</v>
      </c>
      <c r="B50" s="502" t="str">
        <f t="shared" si="3"/>
        <v>Chelsea</v>
      </c>
      <c r="C50" s="586">
        <f>IF(J50="","",INDEX(Odds!C:C,MATCH(J50,Odds!G:G,0)))</f>
        <v>1</v>
      </c>
      <c r="D50" s="485">
        <f t="shared" si="4"/>
        <v>1.6153846153846154</v>
      </c>
      <c r="E50" s="508" t="str">
        <f t="shared" si="5"/>
        <v>√</v>
      </c>
      <c r="F50" s="415">
        <f>IF(J50="",-10,INDEX(Results!T:T,MATCH(A50,Results!V:V,0)))</f>
        <v>-0.54615384615384599</v>
      </c>
      <c r="G50" s="216">
        <f>IF(J50="","",INDEX(Results!AI:AI,MATCH(A50,Results!V:V,0)))</f>
        <v>34.859615384615381</v>
      </c>
      <c r="H50" s="235">
        <f>IF(G50="",0,1)</f>
        <v>1</v>
      </c>
      <c r="I50" s="411">
        <f>INDEX(Picks!AG:AG,MATCH(A50,Picks!AD:AD,0))</f>
        <v>23</v>
      </c>
      <c r="J50" s="486" t="s">
        <v>571</v>
      </c>
      <c r="K50" s="217" t="str">
        <f>INDEX(Odds!H:H,MATCH(J50,Odds!G:G,0))</f>
        <v>8/13</v>
      </c>
      <c r="L50" s="487">
        <f>INDEX(Odds!I:I,MATCH(J50,Odds!G:G,0))</f>
        <v>1.6153846153846154</v>
      </c>
      <c r="M50" s="503">
        <f>INDEX(Odds!J:J,MATCH(J50,Odds!G:G,0))</f>
        <v>1</v>
      </c>
      <c r="N50" s="489">
        <f t="shared" si="6"/>
        <v>1.6153846153846154</v>
      </c>
      <c r="O50" s="658"/>
      <c r="P50" s="62"/>
      <c r="Q50" s="62" t="s">
        <v>193</v>
      </c>
      <c r="R50" s="39" t="str">
        <f>IF(Odds!G50="","",Odds!G50)</f>
        <v>Norwich draw</v>
      </c>
      <c r="S50" s="40" t="str">
        <f>INDEX(Odds!H:H,MATCH(R50,Odds!G:G,0))</f>
        <v>10/3</v>
      </c>
      <c r="T50" s="44">
        <f t="shared" si="9"/>
        <v>0</v>
      </c>
      <c r="AB50" s="663" t="str">
        <f>IF(O50="","",INDEX(Odds!H:H,MATCH(O50,Odds!G:G,0)))</f>
        <v/>
      </c>
      <c r="AC50" s="694">
        <f>IF(J50="","",INDEX(Odds!K:K,MATCH(J50,Odds!G:G,0)))</f>
        <v>1</v>
      </c>
      <c r="AD50" s="74" t="s">
        <v>309</v>
      </c>
      <c r="AE50" s="77">
        <f>INDEX(Picks!F:F,MATCH(AD50,Picks!A:A,0))</f>
        <v>-5.5555555555555554</v>
      </c>
      <c r="AF50" s="481">
        <f>INDEX(Weekly!I:I,MATCH(AD50,Weekly!E:E,0))</f>
        <v>1</v>
      </c>
      <c r="AG50" s="74">
        <f t="shared" si="7"/>
        <v>48</v>
      </c>
      <c r="AI50" s="74" t="s">
        <v>325</v>
      </c>
      <c r="AJ50" s="77">
        <f>INDEX(Picks!G:G,MATCH(AI50,Picks!A:A,0))</f>
        <v>11.419230769230769</v>
      </c>
      <c r="AK50" s="481">
        <f>INDEX(Weekly!I:I,MATCH(AI50,Weekly!E:E,0))</f>
        <v>2</v>
      </c>
      <c r="AL50" s="74">
        <f t="shared" si="8"/>
        <v>44</v>
      </c>
    </row>
    <row r="51" spans="1:38">
      <c r="A51" s="490" t="str">
        <f>A50</f>
        <v>Chris Townsend</v>
      </c>
      <c r="B51" s="491" t="str">
        <f t="shared" si="3"/>
        <v>Brighton</v>
      </c>
      <c r="C51" s="586">
        <f>IF(J51="","",INDEX(Odds!C:C,MATCH(J51,Odds!G:G,0)))</f>
        <v>1</v>
      </c>
      <c r="D51" s="492">
        <f t="shared" si="4"/>
        <v>1.85</v>
      </c>
      <c r="E51" s="507" t="str">
        <f t="shared" si="5"/>
        <v>√</v>
      </c>
      <c r="F51" s="493"/>
      <c r="G51" s="504"/>
      <c r="H51" s="235"/>
      <c r="I51" s="412"/>
      <c r="J51" s="486" t="s">
        <v>607</v>
      </c>
      <c r="K51" s="218" t="str">
        <f>INDEX(Odds!H:H,MATCH(J51,Odds!G:G,0))</f>
        <v>17/20</v>
      </c>
      <c r="L51" s="495">
        <f>INDEX(Odds!I:I,MATCH(J51,Odds!G:G,0))</f>
        <v>1.85</v>
      </c>
      <c r="M51" s="488">
        <f>INDEX(Odds!J:J,MATCH(J51,Odds!G:G,0))</f>
        <v>1</v>
      </c>
      <c r="N51" s="489">
        <f t="shared" si="6"/>
        <v>1.85</v>
      </c>
      <c r="O51" s="658"/>
      <c r="P51" s="62"/>
      <c r="R51" s="39" t="str">
        <f>IF(Odds!G51="","",Odds!G51)</f>
        <v>Spurs draw</v>
      </c>
      <c r="S51" s="40" t="str">
        <f>INDEX(Odds!H:H,MATCH(R51,Odds!G:G,0))</f>
        <v>11/4</v>
      </c>
      <c r="T51" s="44">
        <f t="shared" si="9"/>
        <v>0</v>
      </c>
      <c r="AB51" s="663" t="str">
        <f>IF(O51="","",INDEX(Odds!H:H,MATCH(O51,Odds!G:G,0)))</f>
        <v/>
      </c>
      <c r="AC51" s="694">
        <f>IF(J51="","",INDEX(Odds!K:K,MATCH(J51,Odds!G:G,0)))</f>
        <v>1</v>
      </c>
      <c r="AD51" s="74" t="s">
        <v>296</v>
      </c>
      <c r="AE51" s="77">
        <f>INDEX(Picks!F:F,MATCH(AD51,Picks!A:A,0))</f>
        <v>-7</v>
      </c>
      <c r="AF51" s="481">
        <f>INDEX(Weekly!I:I,MATCH(AD51,Weekly!E:E,0))</f>
        <v>0</v>
      </c>
      <c r="AG51" s="74">
        <f t="shared" si="7"/>
        <v>50</v>
      </c>
      <c r="AI51" s="76" t="s">
        <v>293</v>
      </c>
      <c r="AJ51" s="77">
        <f>INDEX(Picks!G:G,MATCH(AI51,Picks!A:A,0))</f>
        <v>10.149999999999999</v>
      </c>
      <c r="AK51" s="481">
        <f>INDEX(Weekly!I:I,MATCH(AI51,Weekly!E:E,0))</f>
        <v>2</v>
      </c>
      <c r="AL51" s="74">
        <f t="shared" si="8"/>
        <v>45</v>
      </c>
    </row>
    <row r="52" spans="1:38" ht="13.5" thickBot="1">
      <c r="A52" s="496" t="str">
        <f>A50</f>
        <v>Chris Townsend</v>
      </c>
      <c r="B52" s="497" t="str">
        <f t="shared" si="3"/>
        <v>Southend</v>
      </c>
      <c r="C52" s="587">
        <f>IF(J52="","",INDEX(Odds!C:C,MATCH(J52,Odds!G:G,0)))</f>
        <v>1</v>
      </c>
      <c r="D52" s="498">
        <f t="shared" si="4"/>
        <v>4.75</v>
      </c>
      <c r="E52" s="507" t="str">
        <f t="shared" si="5"/>
        <v>x</v>
      </c>
      <c r="F52" s="493"/>
      <c r="G52" s="504"/>
      <c r="H52" s="235"/>
      <c r="I52" s="412"/>
      <c r="J52" s="499" t="s">
        <v>601</v>
      </c>
      <c r="K52" s="219" t="str">
        <f>INDEX(Odds!H:H,MATCH(J52,Odds!G:G,0))</f>
        <v>15/4</v>
      </c>
      <c r="L52" s="500">
        <f>INDEX(Odds!I:I,MATCH(J52,Odds!G:G,0))</f>
        <v>4.75</v>
      </c>
      <c r="M52" s="488">
        <f>INDEX(Odds!J:J,MATCH(J52,Odds!G:G,0))</f>
        <v>0</v>
      </c>
      <c r="N52" s="501">
        <f t="shared" si="6"/>
        <v>0</v>
      </c>
      <c r="O52" s="659"/>
      <c r="P52" s="62"/>
      <c r="R52" s="39" t="str">
        <f>IF(Odds!G52="","",Odds!G52)</f>
        <v>Villa draw</v>
      </c>
      <c r="S52" s="40" t="str">
        <f>INDEX(Odds!H:H,MATCH(R52,Odds!G:G,0))</f>
        <v>11/4</v>
      </c>
      <c r="T52" s="44">
        <f t="shared" si="9"/>
        <v>0</v>
      </c>
      <c r="AB52" s="664" t="str">
        <f>IF(O52="","",INDEX(Odds!H:H,MATCH(O52,Odds!G:G,0)))</f>
        <v/>
      </c>
      <c r="AC52" s="694">
        <f>IF(J52="","",INDEX(Odds!K:K,MATCH(J52,Odds!G:G,0)))</f>
        <v>1</v>
      </c>
      <c r="AD52" s="74" t="s">
        <v>384</v>
      </c>
      <c r="AE52" s="77">
        <f>INDEX(Picks!F:F,MATCH(AD52,Picks!A:A,0))</f>
        <v>-7</v>
      </c>
      <c r="AF52" s="481">
        <f>INDEX(Weekly!I:I,MATCH(AD52,Weekly!E:E,0))</f>
        <v>0</v>
      </c>
      <c r="AG52" s="74">
        <f t="shared" si="7"/>
        <v>50</v>
      </c>
      <c r="AI52" s="74" t="s">
        <v>291</v>
      </c>
      <c r="AJ52" s="77">
        <f>INDEX(Picks!G:G,MATCH(AI52,Picks!A:A,0))</f>
        <v>10.149999999999999</v>
      </c>
      <c r="AK52" s="481">
        <f>INDEX(Weekly!I:I,MATCH(AI52,Weekly!E:E,0))</f>
        <v>2</v>
      </c>
      <c r="AL52" s="74">
        <f t="shared" si="8"/>
        <v>45</v>
      </c>
    </row>
    <row r="53" spans="1:38" ht="13.9" thickTop="1" thickBot="1">
      <c r="A53" s="484" t="str">
        <f>Results!B53</f>
        <v>Dan Gibbard</v>
      </c>
      <c r="B53" s="502" t="str">
        <f t="shared" si="3"/>
        <v>Blackburn</v>
      </c>
      <c r="C53" s="586">
        <f>IF(J53="","",INDEX(Odds!C:C,MATCH(J53,Odds!G:G,0)))</f>
        <v>1</v>
      </c>
      <c r="D53" s="485">
        <f t="shared" si="4"/>
        <v>2.4</v>
      </c>
      <c r="E53" s="508" t="str">
        <f t="shared" si="5"/>
        <v>x</v>
      </c>
      <c r="F53" s="415">
        <f>IF(J53="",-10,INDEX(Results!T:T,MATCH(A53,Results!V:V,0)))</f>
        <v>-1.3</v>
      </c>
      <c r="G53" s="216">
        <f>IF(J53="","",INDEX(Results!AI:AI,MATCH(A53,Results!V:V,0)))</f>
        <v>8.1499999999999986</v>
      </c>
      <c r="H53" s="235">
        <f>IF(G53="",0,1)</f>
        <v>1</v>
      </c>
      <c r="I53" s="411">
        <f>INDEX(Picks!AG:AG,MATCH(A53,Picks!AD:AD,0))</f>
        <v>30</v>
      </c>
      <c r="J53" s="486" t="s">
        <v>577</v>
      </c>
      <c r="K53" s="217" t="str">
        <f>INDEX(Odds!H:H,MATCH(J53,Odds!G:G,0))</f>
        <v>7/5</v>
      </c>
      <c r="L53" s="487">
        <f>INDEX(Odds!I:I,MATCH(J53,Odds!G:G,0))</f>
        <v>2.4</v>
      </c>
      <c r="M53" s="503">
        <f>INDEX(Odds!J:J,MATCH(J53,Odds!G:G,0))</f>
        <v>0</v>
      </c>
      <c r="N53" s="489">
        <f t="shared" si="6"/>
        <v>0</v>
      </c>
      <c r="O53" s="658"/>
      <c r="P53" s="62"/>
      <c r="R53" s="39" t="str">
        <f>IF(Odds!G53="","",Odds!G53)</f>
        <v>West Ham draw</v>
      </c>
      <c r="S53" s="40" t="str">
        <f>INDEX(Odds!H:H,MATCH(R53,Odds!G:G,0))</f>
        <v>14/5</v>
      </c>
      <c r="T53" s="44">
        <f t="shared" si="9"/>
        <v>0</v>
      </c>
      <c r="AB53" s="663" t="str">
        <f>IF(O53="","",INDEX(Odds!H:H,MATCH(O53,Odds!G:G,0)))</f>
        <v/>
      </c>
      <c r="AC53" s="694">
        <f>IF(J53="","",INDEX(Odds!K:K,MATCH(J53,Odds!G:G,0)))</f>
        <v>0</v>
      </c>
      <c r="AD53" s="74" t="s">
        <v>324</v>
      </c>
      <c r="AE53" s="77">
        <f>INDEX(Picks!F:F,MATCH(AD53,Picks!A:A,0))</f>
        <v>-7</v>
      </c>
      <c r="AF53" s="481">
        <f>INDEX(Weekly!I:I,MATCH(AD53,Weekly!E:E,0))</f>
        <v>0</v>
      </c>
      <c r="AG53" s="74">
        <f t="shared" si="7"/>
        <v>50</v>
      </c>
      <c r="AI53" s="76" t="s">
        <v>297</v>
      </c>
      <c r="AJ53" s="77">
        <f>INDEX(Picks!G:G,MATCH(AI53,Picks!A:A,0))</f>
        <v>10.149999999999999</v>
      </c>
      <c r="AK53" s="481">
        <f>INDEX(Weekly!I:I,MATCH(AI53,Weekly!E:E,0))</f>
        <v>2</v>
      </c>
      <c r="AL53" s="74">
        <f t="shared" si="8"/>
        <v>45</v>
      </c>
    </row>
    <row r="54" spans="1:38">
      <c r="A54" s="490" t="str">
        <f>A53</f>
        <v>Dan Gibbard</v>
      </c>
      <c r="B54" s="491" t="str">
        <f t="shared" si="3"/>
        <v>Brighton Draw</v>
      </c>
      <c r="C54" s="586">
        <f>IF(J54="","",INDEX(Odds!C:C,MATCH(J54,Odds!G:G,0)))</f>
        <v>1</v>
      </c>
      <c r="D54" s="492">
        <f t="shared" si="4"/>
        <v>3.5</v>
      </c>
      <c r="E54" s="507" t="str">
        <f t="shared" si="5"/>
        <v>x</v>
      </c>
      <c r="F54" s="493"/>
      <c r="G54" s="504"/>
      <c r="H54" s="235"/>
      <c r="I54" s="412"/>
      <c r="J54" s="486" t="s">
        <v>650</v>
      </c>
      <c r="K54" s="218" t="str">
        <f>INDEX(Odds!H:H,MATCH(J54,Odds!G:G,0))</f>
        <v>5/2</v>
      </c>
      <c r="L54" s="495">
        <f>INDEX(Odds!I:I,MATCH(J54,Odds!G:G,0))</f>
        <v>3.5</v>
      </c>
      <c r="M54" s="488">
        <f>INDEX(Odds!J:J,MATCH(J54,Odds!G:G,0))</f>
        <v>0</v>
      </c>
      <c r="N54" s="489">
        <f t="shared" si="6"/>
        <v>0</v>
      </c>
      <c r="O54" s="658"/>
      <c r="P54" s="62"/>
      <c r="R54" s="39" t="str">
        <f>IF(Odds!G54="","",Odds!G54)</f>
        <v>Huddersfield draw</v>
      </c>
      <c r="S54" s="40" t="str">
        <f>INDEX(Odds!H:H,MATCH(R54,Odds!G:G,0))</f>
        <v>23/10</v>
      </c>
      <c r="T54" s="44">
        <f t="shared" si="9"/>
        <v>0</v>
      </c>
      <c r="AB54" s="663" t="str">
        <f>IF(O54="","",INDEX(Odds!H:H,MATCH(O54,Odds!G:G,0)))</f>
        <v/>
      </c>
      <c r="AC54" s="694">
        <f>IF(J54="","",INDEX(Odds!K:K,MATCH(J54,Odds!G:G,0)))</f>
        <v>1</v>
      </c>
      <c r="AD54" s="74" t="s">
        <v>322</v>
      </c>
      <c r="AE54" s="77">
        <f>INDEX(Picks!F:F,MATCH(AD54,Picks!A:A,0))</f>
        <v>-7</v>
      </c>
      <c r="AF54" s="481">
        <f>INDEX(Weekly!I:I,MATCH(AD54,Weekly!E:E,0))</f>
        <v>0</v>
      </c>
      <c r="AG54" s="74">
        <f t="shared" si="7"/>
        <v>50</v>
      </c>
      <c r="AI54" s="76" t="s">
        <v>288</v>
      </c>
      <c r="AJ54" s="77">
        <f>INDEX(Picks!G:G,MATCH(AI54,Picks!A:A,0))</f>
        <v>10.149999999999999</v>
      </c>
      <c r="AK54" s="481">
        <f>INDEX(Weekly!I:I,MATCH(AI54,Weekly!E:E,0))</f>
        <v>2</v>
      </c>
      <c r="AL54" s="74">
        <f t="shared" si="8"/>
        <v>45</v>
      </c>
    </row>
    <row r="55" spans="1:38" ht="13.5" thickBot="1">
      <c r="A55" s="496" t="str">
        <f>A53</f>
        <v>Dan Gibbard</v>
      </c>
      <c r="B55" s="497" t="str">
        <f t="shared" si="3"/>
        <v>Spurs</v>
      </c>
      <c r="C55" s="587">
        <f>IF(J55="","",INDEX(Odds!C:C,MATCH(J55,Odds!G:G,0)))</f>
        <v>1</v>
      </c>
      <c r="D55" s="498">
        <f t="shared" si="4"/>
        <v>1.7</v>
      </c>
      <c r="E55" s="507" t="str">
        <f t="shared" si="5"/>
        <v>√</v>
      </c>
      <c r="F55" s="493"/>
      <c r="G55" s="504"/>
      <c r="H55" s="235"/>
      <c r="I55" s="412"/>
      <c r="J55" s="499" t="s">
        <v>453</v>
      </c>
      <c r="K55" s="219" t="str">
        <f>INDEX(Odds!H:H,MATCH(J55,Odds!G:G,0))</f>
        <v>7/10</v>
      </c>
      <c r="L55" s="500">
        <f>INDEX(Odds!I:I,MATCH(J55,Odds!G:G,0))</f>
        <v>1.7</v>
      </c>
      <c r="M55" s="488">
        <f>INDEX(Odds!J:J,MATCH(J55,Odds!G:G,0))</f>
        <v>1</v>
      </c>
      <c r="N55" s="501">
        <f t="shared" si="6"/>
        <v>1.7</v>
      </c>
      <c r="O55" s="659"/>
      <c r="P55" s="62"/>
      <c r="R55" s="39" t="str">
        <f>IF(Odds!G55="","",Odds!G55)</f>
        <v>Middlesbro draw</v>
      </c>
      <c r="S55" s="40" t="str">
        <f>INDEX(Odds!H:H,MATCH(R55,Odds!G:G,0))</f>
        <v>11/5</v>
      </c>
      <c r="T55" s="44">
        <f t="shared" si="9"/>
        <v>0</v>
      </c>
      <c r="AB55" s="664" t="str">
        <f>IF(O55="","",INDEX(Odds!H:H,MATCH(O55,Odds!G:G,0)))</f>
        <v/>
      </c>
      <c r="AC55" s="694">
        <f>IF(J55="","",INDEX(Odds!K:K,MATCH(J55,Odds!G:G,0)))</f>
        <v>1</v>
      </c>
      <c r="AD55" s="74" t="s">
        <v>303</v>
      </c>
      <c r="AE55" s="77">
        <f>INDEX(Picks!F:F,MATCH(AD55,Picks!A:A,0))</f>
        <v>-7</v>
      </c>
      <c r="AF55" s="481">
        <f>INDEX(Weekly!I:I,MATCH(AD55,Weekly!E:E,0))</f>
        <v>0</v>
      </c>
      <c r="AG55" s="74">
        <f t="shared" si="7"/>
        <v>50</v>
      </c>
      <c r="AI55" s="76" t="s">
        <v>321</v>
      </c>
      <c r="AJ55" s="77">
        <f>INDEX(Picks!G:G,MATCH(AI55,Picks!A:A,0))</f>
        <v>8.8249999999999993</v>
      </c>
      <c r="AK55" s="481">
        <f>INDEX(Weekly!I:I,MATCH(AI55,Weekly!E:E,0))</f>
        <v>2</v>
      </c>
      <c r="AL55" s="74">
        <f t="shared" si="8"/>
        <v>49</v>
      </c>
    </row>
    <row r="56" spans="1:38" ht="13.9" thickTop="1" thickBot="1">
      <c r="A56" s="484" t="str">
        <f>Results!B56</f>
        <v>Dave Bell</v>
      </c>
      <c r="B56" s="502" t="str">
        <f t="shared" si="3"/>
        <v>Leicester</v>
      </c>
      <c r="C56" s="586">
        <f>IF(J56="","",INDEX(Odds!C:C,MATCH(J56,Odds!G:G,0)))</f>
        <v>1</v>
      </c>
      <c r="D56" s="485">
        <f t="shared" si="4"/>
        <v>13</v>
      </c>
      <c r="E56" s="508" t="str">
        <f t="shared" si="5"/>
        <v>x</v>
      </c>
      <c r="F56" s="415">
        <f>IF(J56="",-10,INDEX(Results!T:T,MATCH(A56,Results!V:V,0)))</f>
        <v>-7</v>
      </c>
      <c r="G56" s="216">
        <f>IF(J56="","",INDEX(Results!AI:AI,MATCH(A56,Results!V:V,0)))</f>
        <v>801.2</v>
      </c>
      <c r="H56" s="235">
        <f>IF(G56="",0,1)</f>
        <v>1</v>
      </c>
      <c r="I56" s="411">
        <f>INDEX(Picks!AG:AG,MATCH(A56,Picks!AD:AD,0))</f>
        <v>50</v>
      </c>
      <c r="J56" s="486" t="s">
        <v>570</v>
      </c>
      <c r="K56" s="217" t="str">
        <f>INDEX(Odds!H:H,MATCH(J56,Odds!G:G,0))</f>
        <v>12/1</v>
      </c>
      <c r="L56" s="487">
        <f>INDEX(Odds!I:I,MATCH(J56,Odds!G:G,0))</f>
        <v>13</v>
      </c>
      <c r="M56" s="503">
        <f>INDEX(Odds!J:J,MATCH(J56,Odds!G:G,0))</f>
        <v>0</v>
      </c>
      <c r="N56" s="489">
        <f t="shared" si="6"/>
        <v>0</v>
      </c>
      <c r="O56" s="658"/>
      <c r="P56" s="62"/>
      <c r="R56" s="39" t="str">
        <f>IF(Odds!G56="","",Odds!G56)</f>
        <v>Accrington draw</v>
      </c>
      <c r="S56" s="40" t="str">
        <f>INDEX(Odds!H:H,MATCH(R56,Odds!G:G,0))</f>
        <v>11/4</v>
      </c>
      <c r="T56" s="44">
        <f t="shared" si="9"/>
        <v>0</v>
      </c>
      <c r="AB56" s="663" t="str">
        <f>IF(O56="","",INDEX(Odds!H:H,MATCH(O56,Odds!G:G,0)))</f>
        <v/>
      </c>
      <c r="AC56" s="694">
        <f>IF(J56="","",INDEX(Odds!K:K,MATCH(J56,Odds!G:G,0)))</f>
        <v>1</v>
      </c>
      <c r="AD56" s="74" t="s">
        <v>328</v>
      </c>
      <c r="AE56" s="77">
        <f>INDEX(Picks!F:F,MATCH(AD56,Picks!A:A,0))</f>
        <v>-7</v>
      </c>
      <c r="AF56" s="481">
        <f>INDEX(Weekly!I:I,MATCH(AD56,Weekly!E:E,0))</f>
        <v>0</v>
      </c>
      <c r="AG56" s="74">
        <f t="shared" si="7"/>
        <v>50</v>
      </c>
      <c r="AI56" s="74" t="s">
        <v>382</v>
      </c>
      <c r="AJ56" s="77">
        <f>INDEX(Picks!G:G,MATCH(AI56,Picks!A:A,0))</f>
        <v>8.375</v>
      </c>
      <c r="AK56" s="481">
        <f>INDEX(Weekly!I:I,MATCH(AI56,Weekly!E:E,0))</f>
        <v>1</v>
      </c>
      <c r="AL56" s="74">
        <f t="shared" si="8"/>
        <v>50</v>
      </c>
    </row>
    <row r="57" spans="1:38">
      <c r="A57" s="490" t="str">
        <f>A56</f>
        <v>Dave Bell</v>
      </c>
      <c r="B57" s="491" t="str">
        <f t="shared" si="3"/>
        <v>Norwich</v>
      </c>
      <c r="C57" s="586">
        <f>IF(J57="","",INDEX(Odds!C:C,MATCH(J57,Odds!G:G,0)))</f>
        <v>1</v>
      </c>
      <c r="D57" s="492">
        <f t="shared" si="4"/>
        <v>7.5</v>
      </c>
      <c r="E57" s="507" t="str">
        <f t="shared" si="5"/>
        <v>x</v>
      </c>
      <c r="F57" s="493"/>
      <c r="G57" s="504"/>
      <c r="H57" s="235"/>
      <c r="I57" s="412"/>
      <c r="J57" s="486" t="s">
        <v>608</v>
      </c>
      <c r="K57" s="218" t="str">
        <f>INDEX(Odds!H:H,MATCH(J57,Odds!G:G,0))</f>
        <v>13/2</v>
      </c>
      <c r="L57" s="495">
        <f>INDEX(Odds!I:I,MATCH(J57,Odds!G:G,0))</f>
        <v>7.5</v>
      </c>
      <c r="M57" s="488">
        <f>INDEX(Odds!J:J,MATCH(J57,Odds!G:G,0))</f>
        <v>0</v>
      </c>
      <c r="N57" s="489">
        <f t="shared" si="6"/>
        <v>0</v>
      </c>
      <c r="O57" s="658"/>
      <c r="P57" s="62"/>
      <c r="R57" s="39" t="str">
        <f>IF(Odds!G57="","",Odds!G57)</f>
        <v>Cheltenham draw</v>
      </c>
      <c r="S57" s="40" t="str">
        <f>INDEX(Odds!H:H,MATCH(R57,Odds!G:G,0))</f>
        <v>23/10</v>
      </c>
      <c r="T57" s="44">
        <f t="shared" si="9"/>
        <v>0</v>
      </c>
      <c r="AB57" s="663" t="str">
        <f>IF(O57="","",INDEX(Odds!H:H,MATCH(O57,Odds!G:G,0)))</f>
        <v/>
      </c>
      <c r="AC57" s="694">
        <f>IF(J57="","",INDEX(Odds!K:K,MATCH(J57,Odds!G:G,0)))</f>
        <v>1</v>
      </c>
      <c r="AD57" s="74" t="s">
        <v>390</v>
      </c>
      <c r="AE57" s="77">
        <f>INDEX(Picks!F:F,MATCH(AD57,Picks!A:A,0))</f>
        <v>-7</v>
      </c>
      <c r="AF57" s="481">
        <f>INDEX(Weekly!I:I,MATCH(AD57,Weekly!E:E,0))</f>
        <v>0</v>
      </c>
      <c r="AG57" s="74">
        <f t="shared" si="7"/>
        <v>50</v>
      </c>
      <c r="AI57" s="76" t="s">
        <v>294</v>
      </c>
      <c r="AJ57" s="77">
        <f>INDEX(Picks!G:G,MATCH(AI57,Picks!A:A,0))</f>
        <v>8.3349999999999973</v>
      </c>
      <c r="AK57" s="481">
        <f>INDEX(Weekly!I:I,MATCH(AI57,Weekly!E:E,0))</f>
        <v>2</v>
      </c>
      <c r="AL57" s="74">
        <f t="shared" si="8"/>
        <v>51</v>
      </c>
    </row>
    <row r="58" spans="1:38" ht="13.5" thickBot="1">
      <c r="A58" s="496" t="str">
        <f>A56</f>
        <v>Dave Bell</v>
      </c>
      <c r="B58" s="497" t="str">
        <f t="shared" si="3"/>
        <v>Villa</v>
      </c>
      <c r="C58" s="587">
        <f>IF(J58="","",INDEX(Odds!C:C,MATCH(J58,Odds!G:G,0)))</f>
        <v>1</v>
      </c>
      <c r="D58" s="498">
        <f t="shared" si="4"/>
        <v>5.8</v>
      </c>
      <c r="E58" s="507" t="str">
        <f t="shared" si="5"/>
        <v>x</v>
      </c>
      <c r="F58" s="493"/>
      <c r="G58" s="504"/>
      <c r="H58" s="235"/>
      <c r="I58" s="412"/>
      <c r="J58" s="499" t="s">
        <v>450</v>
      </c>
      <c r="K58" s="219" t="str">
        <f>INDEX(Odds!H:H,MATCH(J58,Odds!G:G,0))</f>
        <v>24/5</v>
      </c>
      <c r="L58" s="500">
        <f>INDEX(Odds!I:I,MATCH(J58,Odds!G:G,0))</f>
        <v>5.8</v>
      </c>
      <c r="M58" s="488">
        <f>INDEX(Odds!J:J,MATCH(J58,Odds!G:G,0))</f>
        <v>0</v>
      </c>
      <c r="N58" s="501">
        <f t="shared" si="6"/>
        <v>0</v>
      </c>
      <c r="O58" s="659"/>
      <c r="P58" s="62"/>
      <c r="R58" s="39" t="str">
        <f>IF(Odds!G58="","",Odds!G58)</f>
        <v>Fleetwood draw</v>
      </c>
      <c r="S58" s="40" t="str">
        <f>INDEX(Odds!H:H,MATCH(R58,Odds!G:G,0))</f>
        <v>9/4</v>
      </c>
      <c r="T58" s="44">
        <f t="shared" si="9"/>
        <v>0</v>
      </c>
      <c r="AB58" s="664" t="str">
        <f>IF(O58="","",INDEX(Odds!H:H,MATCH(O58,Odds!G:G,0)))</f>
        <v/>
      </c>
      <c r="AC58" s="694">
        <f>IF(J58="","",INDEX(Odds!K:K,MATCH(J58,Odds!G:G,0)))</f>
        <v>1</v>
      </c>
      <c r="AD58" s="74" t="s">
        <v>299</v>
      </c>
      <c r="AE58" s="77">
        <f>INDEX(Picks!F:F,MATCH(AD58,Picks!A:A,0))</f>
        <v>-7</v>
      </c>
      <c r="AF58" s="481">
        <f>INDEX(Weekly!I:I,MATCH(AD58,Weekly!E:E,0))</f>
        <v>0</v>
      </c>
      <c r="AG58" s="74">
        <f t="shared" si="7"/>
        <v>50</v>
      </c>
      <c r="AI58" s="76" t="s">
        <v>552</v>
      </c>
      <c r="AJ58" s="77">
        <f>INDEX(Picks!G:G,MATCH(AI58,Picks!A:A,0))</f>
        <v>8.1499999999999986</v>
      </c>
      <c r="AK58" s="481">
        <f>INDEX(Weekly!I:I,MATCH(AI58,Weekly!E:E,0))</f>
        <v>1</v>
      </c>
      <c r="AL58" s="74">
        <f t="shared" si="8"/>
        <v>52</v>
      </c>
    </row>
    <row r="59" spans="1:38" ht="13.9" thickTop="1" thickBot="1">
      <c r="A59" s="484" t="str">
        <f>Results!B59</f>
        <v>Dave Orrell</v>
      </c>
      <c r="B59" s="502" t="str">
        <f t="shared" si="3"/>
        <v>Oldham</v>
      </c>
      <c r="C59" s="586">
        <f>IF(J59="","",INDEX(Odds!C:C,MATCH(J59,Odds!G:G,0)))</f>
        <v>1</v>
      </c>
      <c r="D59" s="485">
        <f t="shared" si="4"/>
        <v>2.2000000000000002</v>
      </c>
      <c r="E59" s="508" t="str">
        <f t="shared" si="5"/>
        <v>x</v>
      </c>
      <c r="F59" s="415">
        <f>IF(J59="",-10,INDEX(Results!T:T,MATCH(A59,Results!V:V,0)))</f>
        <v>-1.1709401709401703</v>
      </c>
      <c r="G59" s="216">
        <f>IF(J59="","",INDEX(Results!AI:AI,MATCH(A59,Results!V:V,0)))</f>
        <v>13.852991452991454</v>
      </c>
      <c r="H59" s="235">
        <f>IF(G59="",0,1)</f>
        <v>1</v>
      </c>
      <c r="I59" s="411">
        <f>INDEX(Picks!AG:AG,MATCH(A59,Picks!AD:AD,0))</f>
        <v>29</v>
      </c>
      <c r="J59" s="486" t="s">
        <v>599</v>
      </c>
      <c r="K59" s="217" t="str">
        <f>INDEX(Odds!H:H,MATCH(J59,Odds!G:G,0))</f>
        <v>6/5</v>
      </c>
      <c r="L59" s="487">
        <f>INDEX(Odds!I:I,MATCH(J59,Odds!G:G,0))</f>
        <v>2.2000000000000002</v>
      </c>
      <c r="M59" s="503">
        <f>INDEX(Odds!J:J,MATCH(J59,Odds!G:G,0))</f>
        <v>0</v>
      </c>
      <c r="N59" s="489">
        <f t="shared" si="6"/>
        <v>0</v>
      </c>
      <c r="O59" s="658"/>
      <c r="P59" s="62"/>
      <c r="R59" s="39" t="str">
        <f>IF(Odds!G59="","",Odds!G59)</f>
        <v>Lincoln draw</v>
      </c>
      <c r="S59" s="40" t="str">
        <f>INDEX(Odds!H:H,MATCH(R59,Odds!G:G,0))</f>
        <v>12/5</v>
      </c>
      <c r="T59" s="44">
        <f t="shared" si="9"/>
        <v>0</v>
      </c>
      <c r="AB59" s="663" t="str">
        <f>IF(O59="","",INDEX(Odds!H:H,MATCH(O59,Odds!G:G,0)))</f>
        <v/>
      </c>
      <c r="AC59" s="694">
        <f>IF(J59="","",INDEX(Odds!K:K,MATCH(J59,Odds!G:G,0)))</f>
        <v>1</v>
      </c>
      <c r="AD59" s="74" t="s">
        <v>305</v>
      </c>
      <c r="AE59" s="77">
        <f>INDEX(Picks!F:F,MATCH(AD59,Picks!A:A,0))</f>
        <v>-10</v>
      </c>
      <c r="AF59" s="481">
        <f>INDEX(Weekly!I:I,MATCH(AD59,Weekly!E:E,0))</f>
        <v>0</v>
      </c>
      <c r="AG59" s="74" t="str">
        <f t="shared" si="7"/>
        <v/>
      </c>
      <c r="AI59" s="76" t="s">
        <v>551</v>
      </c>
      <c r="AJ59" s="77">
        <f>INDEX(Picks!G:G,MATCH(AI59,Picks!A:A,0))</f>
        <v>4.8</v>
      </c>
      <c r="AK59" s="481">
        <f>INDEX(Weekly!I:I,MATCH(AI59,Weekly!E:E,0))</f>
        <v>0</v>
      </c>
      <c r="AL59" s="74">
        <f t="shared" si="8"/>
        <v>53</v>
      </c>
    </row>
    <row r="60" spans="1:38">
      <c r="A60" s="490" t="str">
        <f>A59</f>
        <v>Dave Orrell</v>
      </c>
      <c r="B60" s="491" t="str">
        <f>IF(J60="","",J60)</f>
        <v>Dagenham</v>
      </c>
      <c r="C60" s="586">
        <f>IF(J60="","",INDEX(Odds!C:C,MATCH(J60,Odds!G:G,0)))</f>
        <v>1</v>
      </c>
      <c r="D60" s="492">
        <f t="shared" si="4"/>
        <v>1.6111111111111112</v>
      </c>
      <c r="E60" s="507" t="str">
        <f t="shared" si="5"/>
        <v>√</v>
      </c>
      <c r="F60" s="493"/>
      <c r="G60" s="504"/>
      <c r="H60" s="235"/>
      <c r="I60" s="412"/>
      <c r="J60" s="486" t="s">
        <v>643</v>
      </c>
      <c r="K60" s="218" t="str">
        <f>INDEX(Odds!H:H,MATCH(J60,Odds!G:G,0))</f>
        <v>11/18</v>
      </c>
      <c r="L60" s="495">
        <f>INDEX(Odds!I:I,MATCH(J60,Odds!G:G,0))</f>
        <v>1.6111111111111112</v>
      </c>
      <c r="M60" s="488">
        <f>INDEX(Odds!J:J,MATCH(J60,Odds!G:G,0))</f>
        <v>1</v>
      </c>
      <c r="N60" s="489">
        <f t="shared" si="6"/>
        <v>1.6111111111111112</v>
      </c>
      <c r="O60" s="658"/>
      <c r="P60" s="62"/>
      <c r="R60" s="39" t="str">
        <f>IF(Odds!G60="","",Odds!G60)</f>
        <v>Mansfield draw</v>
      </c>
      <c r="S60" s="40" t="str">
        <f>INDEX(Odds!H:H,MATCH(R60,Odds!G:G,0))</f>
        <v>12/5</v>
      </c>
      <c r="T60" s="44">
        <f t="shared" si="9"/>
        <v>0</v>
      </c>
      <c r="AB60" s="663" t="str">
        <f>IF(O60="","",INDEX(Odds!H:H,MATCH(O60,Odds!G:G,0)))</f>
        <v/>
      </c>
      <c r="AC60" s="694">
        <f>IF(J60="","",INDEX(Odds!K:K,MATCH(J60,Odds!G:G,0)))</f>
        <v>1</v>
      </c>
      <c r="AD60" s="74" t="s">
        <v>379</v>
      </c>
      <c r="AE60" s="77">
        <f>INDEX(Picks!F:F,MATCH(AD60,Picks!A:A,0))</f>
        <v>-10</v>
      </c>
      <c r="AF60" s="481">
        <f>INDEX(Weekly!I:I,MATCH(AD60,Weekly!E:E,0))</f>
        <v>0</v>
      </c>
      <c r="AG60" s="74" t="str">
        <f t="shared" si="7"/>
        <v/>
      </c>
      <c r="AH60" s="98"/>
      <c r="AI60" s="76" t="s">
        <v>327</v>
      </c>
      <c r="AJ60" s="77">
        <f>INDEX(Picks!G:G,MATCH(AI60,Picks!A:A,0))</f>
        <v>2.2999999999999998</v>
      </c>
      <c r="AK60" s="481">
        <f>INDEX(Weekly!I:I,MATCH(AI60,Weekly!E:E,0))</f>
        <v>2</v>
      </c>
      <c r="AL60" s="74">
        <f t="shared" si="8"/>
        <v>54</v>
      </c>
    </row>
    <row r="61" spans="1:38" ht="13.5" thickBot="1">
      <c r="A61" s="496" t="str">
        <f>A59</f>
        <v>Dave Orrell</v>
      </c>
      <c r="B61" s="497" t="str">
        <f t="shared" ref="B61:B109" si="10">IF(J61="","",J61)</f>
        <v>Chelsea</v>
      </c>
      <c r="C61" s="587">
        <f>IF(J61="","",INDEX(Odds!C:C,MATCH(J61,Odds!G:G,0)))</f>
        <v>1</v>
      </c>
      <c r="D61" s="498">
        <f t="shared" ref="D61:D109" si="11">IF(J61="","",L61)</f>
        <v>1.6153846153846154</v>
      </c>
      <c r="E61" s="507" t="str">
        <f t="shared" si="5"/>
        <v>√</v>
      </c>
      <c r="F61" s="493"/>
      <c r="G61" s="504"/>
      <c r="H61" s="235"/>
      <c r="I61" s="412"/>
      <c r="J61" s="499" t="s">
        <v>571</v>
      </c>
      <c r="K61" s="219" t="str">
        <f>INDEX(Odds!H:H,MATCH(J61,Odds!G:G,0))</f>
        <v>8/13</v>
      </c>
      <c r="L61" s="500">
        <f>INDEX(Odds!I:I,MATCH(J61,Odds!G:G,0))</f>
        <v>1.6153846153846154</v>
      </c>
      <c r="M61" s="488">
        <f>INDEX(Odds!J:J,MATCH(J61,Odds!G:G,0))</f>
        <v>1</v>
      </c>
      <c r="N61" s="501">
        <f t="shared" si="6"/>
        <v>1.6153846153846154</v>
      </c>
      <c r="O61" s="659"/>
      <c r="P61" s="62"/>
      <c r="R61" s="39" t="str">
        <f>IF(Odds!G61="","",Odds!G61)</f>
        <v>Oldham draw</v>
      </c>
      <c r="S61" s="40" t="str">
        <f>INDEX(Odds!H:H,MATCH(R61,Odds!G:G,0))</f>
        <v>12/5</v>
      </c>
      <c r="T61" s="44">
        <f t="shared" si="9"/>
        <v>0</v>
      </c>
      <c r="AB61" s="664" t="str">
        <f>IF(O61="","",INDEX(Odds!H:H,MATCH(O61,Odds!G:G,0)))</f>
        <v/>
      </c>
      <c r="AC61" s="694">
        <f>IF(J61="","",INDEX(Odds!K:K,MATCH(J61,Odds!G:G,0)))</f>
        <v>1</v>
      </c>
      <c r="AD61" s="76" t="s">
        <v>336</v>
      </c>
      <c r="AE61" s="77">
        <f>INDEX(Picks!F:F,MATCH(AD61,Picks!A:A,0))</f>
        <v>-10</v>
      </c>
      <c r="AF61" s="481">
        <f>INDEX(Weekly!I:I,MATCH(AD61,Weekly!E:E,0))</f>
        <v>0</v>
      </c>
      <c r="AG61" s="74" t="str">
        <f t="shared" si="7"/>
        <v/>
      </c>
      <c r="AH61" s="98"/>
      <c r="AI61" s="76" t="s">
        <v>314</v>
      </c>
      <c r="AJ61" s="77">
        <f>INDEX(Picks!G:G,MATCH(AI61,Picks!A:A,0))</f>
        <v>2</v>
      </c>
      <c r="AK61" s="481">
        <f>INDEX(Weekly!I:I,MATCH(AI61,Weekly!E:E,0))</f>
        <v>0</v>
      </c>
      <c r="AL61" s="74">
        <f t="shared" si="8"/>
        <v>55</v>
      </c>
    </row>
    <row r="62" spans="1:38" ht="13.9" thickTop="1" thickBot="1">
      <c r="A62" s="484" t="str">
        <f>Results!B62</f>
        <v>David Dunn</v>
      </c>
      <c r="B62" s="502" t="str">
        <f t="shared" si="10"/>
        <v>Brighton Draw</v>
      </c>
      <c r="C62" s="586">
        <f>IF(J62="","",INDEX(Odds!C:C,MATCH(J62,Odds!G:G,0)))</f>
        <v>1</v>
      </c>
      <c r="D62" s="485">
        <f t="shared" si="11"/>
        <v>3.5</v>
      </c>
      <c r="E62" s="508" t="str">
        <f t="shared" si="5"/>
        <v>x</v>
      </c>
      <c r="F62" s="415">
        <f>IF(J62="",-10,INDEX(Results!T:T,MATCH(A62,Results!V:V,0)))</f>
        <v>-3</v>
      </c>
      <c r="G62" s="216">
        <f>IF(J62="","",INDEX(Results!AI:AI,MATCH(A62,Results!V:V,0)))</f>
        <v>8.375</v>
      </c>
      <c r="H62" s="235">
        <f>IF(G62="",0,1)</f>
        <v>1</v>
      </c>
      <c r="I62" s="411">
        <f>INDEX(Picks!AG:AG,MATCH(A62,Picks!AD:AD,0))</f>
        <v>39</v>
      </c>
      <c r="J62" s="486" t="s">
        <v>650</v>
      </c>
      <c r="K62" s="217" t="str">
        <f>INDEX(Odds!H:H,MATCH(J62,Odds!G:G,0))</f>
        <v>5/2</v>
      </c>
      <c r="L62" s="487">
        <f>INDEX(Odds!I:I,MATCH(J62,Odds!G:G,0))</f>
        <v>3.5</v>
      </c>
      <c r="M62" s="503">
        <f>INDEX(Odds!J:J,MATCH(J62,Odds!G:G,0))</f>
        <v>0</v>
      </c>
      <c r="N62" s="489">
        <f t="shared" ref="N62:N97" si="12">L62*M62</f>
        <v>0</v>
      </c>
      <c r="O62" s="658"/>
      <c r="P62" s="62"/>
      <c r="R62" s="39" t="str">
        <f>IF(Odds!G62="","",Odds!G62)</f>
        <v>Tranmere draw</v>
      </c>
      <c r="S62" s="40" t="str">
        <f>INDEX(Odds!H:H,MATCH(R62,Odds!G:G,0))</f>
        <v>23/10</v>
      </c>
      <c r="T62" s="44">
        <f t="shared" si="9"/>
        <v>0</v>
      </c>
      <c r="AB62" s="663" t="str">
        <f>IF(O62="","",INDEX(Odds!H:H,MATCH(O62,Odds!G:G,0)))</f>
        <v/>
      </c>
      <c r="AC62" s="694">
        <f>IF(J62="","",INDEX(Odds!K:K,MATCH(J62,Odds!G:G,0)))</f>
        <v>1</v>
      </c>
      <c r="AD62" s="74" t="s">
        <v>302</v>
      </c>
      <c r="AE62" s="77">
        <f>INDEX(Picks!F:F,MATCH(AD62,Picks!A:A,0))</f>
        <v>-10</v>
      </c>
      <c r="AF62" s="481">
        <f>INDEX(Weekly!I:I,MATCH(AD62,Weekly!E:E,0))</f>
        <v>0</v>
      </c>
      <c r="AG62" s="74" t="str">
        <f t="shared" si="7"/>
        <v/>
      </c>
      <c r="AH62" s="98"/>
      <c r="AI62" s="74" t="s">
        <v>317</v>
      </c>
      <c r="AJ62" s="77">
        <f>INDEX(Picks!G:G,MATCH(AI62,Picks!A:A,0))</f>
        <v>1.1000000000000001</v>
      </c>
      <c r="AK62" s="481">
        <f>INDEX(Weekly!I:I,MATCH(AI62,Weekly!E:E,0))</f>
        <v>1</v>
      </c>
      <c r="AL62" s="74">
        <f t="shared" si="8"/>
        <v>56</v>
      </c>
    </row>
    <row r="63" spans="1:38">
      <c r="A63" s="490" t="str">
        <f>A62</f>
        <v>David Dunn</v>
      </c>
      <c r="B63" s="491" t="str">
        <f>IF(J63="","",J63)</f>
        <v>Cardiff Draw</v>
      </c>
      <c r="C63" s="586">
        <f>IF(J63="","",INDEX(Odds!C:C,MATCH(J63,Odds!G:G,0)))</f>
        <v>1</v>
      </c>
      <c r="D63" s="492">
        <f>IF(J63="","",L63)</f>
        <v>3.25</v>
      </c>
      <c r="E63" s="507" t="str">
        <f>IF(J63="","",IF(M63=1,"√","x"))</f>
        <v>√</v>
      </c>
      <c r="F63" s="493"/>
      <c r="G63" s="504"/>
      <c r="H63" s="235"/>
      <c r="I63" s="412"/>
      <c r="J63" s="486" t="s">
        <v>658</v>
      </c>
      <c r="K63" s="218" t="str">
        <f>INDEX(Odds!H:H,MATCH(J63,Odds!G:G,0))</f>
        <v>9/4</v>
      </c>
      <c r="L63" s="495">
        <f>INDEX(Odds!I:I,MATCH(J63,Odds!G:G,0))</f>
        <v>3.25</v>
      </c>
      <c r="M63" s="488">
        <f>INDEX(Odds!J:J,MATCH(J63,Odds!G:G,0))</f>
        <v>1</v>
      </c>
      <c r="N63" s="489">
        <f t="shared" si="12"/>
        <v>3.25</v>
      </c>
      <c r="O63" s="658"/>
      <c r="P63" s="62"/>
      <c r="R63" s="39" t="str">
        <f>IF(Odds!G63="","",Odds!G63)</f>
        <v>Aldershot draw</v>
      </c>
      <c r="S63" s="40" t="str">
        <f>INDEX(Odds!H:H,MATCH(R63,Odds!G:G,0))</f>
        <v>5/2</v>
      </c>
      <c r="T63" s="44">
        <f t="shared" si="9"/>
        <v>1</v>
      </c>
      <c r="AB63" s="663" t="str">
        <f>IF(O63="","",INDEX(Odds!H:H,MATCH(O63,Odds!G:G,0)))</f>
        <v/>
      </c>
      <c r="AC63" s="694">
        <f>IF(J63="","",INDEX(Odds!K:K,MATCH(J63,Odds!G:G,0)))</f>
        <v>0</v>
      </c>
      <c r="AD63" s="74" t="s">
        <v>547</v>
      </c>
      <c r="AE63" s="77">
        <f>INDEX(Picks!F:F,MATCH(AD63,Picks!A:A,0))</f>
        <v>-10</v>
      </c>
      <c r="AF63" s="481">
        <f>INDEX(Weekly!I:I,MATCH(AD63,Weekly!E:E,0))</f>
        <v>0</v>
      </c>
      <c r="AG63" s="74" t="str">
        <f t="shared" si="7"/>
        <v/>
      </c>
      <c r="AH63" s="98"/>
      <c r="AI63" s="74" t="s">
        <v>383</v>
      </c>
      <c r="AJ63" s="77">
        <f>INDEX(Picks!G:G,MATCH(AI63,Picks!A:A,0))</f>
        <v>-1</v>
      </c>
      <c r="AK63" s="481">
        <f>INDEX(Weekly!I:I,MATCH(AI63,Weekly!E:E,0))</f>
        <v>0</v>
      </c>
      <c r="AL63" s="74">
        <f t="shared" si="8"/>
        <v>57</v>
      </c>
    </row>
    <row r="64" spans="1:38" ht="13.5" thickBot="1">
      <c r="A64" s="496" t="str">
        <f>A62</f>
        <v>David Dunn</v>
      </c>
      <c r="B64" s="497" t="str">
        <f t="shared" si="10"/>
        <v>West Ham</v>
      </c>
      <c r="C64" s="587">
        <f>IF(J64="","",INDEX(Odds!C:C,MATCH(J64,Odds!G:G,0)))</f>
        <v>1</v>
      </c>
      <c r="D64" s="498">
        <f t="shared" si="11"/>
        <v>1.75</v>
      </c>
      <c r="E64" s="507" t="str">
        <f t="shared" si="5"/>
        <v>x</v>
      </c>
      <c r="F64" s="493"/>
      <c r="G64" s="504"/>
      <c r="H64" s="235"/>
      <c r="I64" s="412"/>
      <c r="J64" s="499" t="s">
        <v>452</v>
      </c>
      <c r="K64" s="219" t="str">
        <f>INDEX(Odds!H:H,MATCH(J64,Odds!G:G,0))</f>
        <v>3/4</v>
      </c>
      <c r="L64" s="500">
        <f>INDEX(Odds!I:I,MATCH(J64,Odds!G:G,0))</f>
        <v>1.75</v>
      </c>
      <c r="M64" s="488">
        <f>INDEX(Odds!J:J,MATCH(J64,Odds!G:G,0))</f>
        <v>0</v>
      </c>
      <c r="N64" s="501">
        <f t="shared" si="12"/>
        <v>0</v>
      </c>
      <c r="O64" s="659"/>
      <c r="P64" s="62"/>
      <c r="R64" s="39" t="str">
        <f>IF(Odds!G64="","",Odds!G64)</f>
        <v>Bromley draw</v>
      </c>
      <c r="S64" s="40" t="str">
        <f>INDEX(Odds!H:H,MATCH(R64,Odds!G:G,0))</f>
        <v>3/1</v>
      </c>
      <c r="T64" s="44">
        <f t="shared" si="9"/>
        <v>1</v>
      </c>
      <c r="AB64" s="664" t="str">
        <f>IF(O64="","",INDEX(Odds!H:H,MATCH(O64,Odds!G:G,0)))</f>
        <v/>
      </c>
      <c r="AC64" s="695">
        <f>IF(J64="","",INDEX(Odds!K:K,MATCH(J64,Odds!G:G,0)))</f>
        <v>1</v>
      </c>
      <c r="AD64" s="63"/>
      <c r="AE64" s="63"/>
      <c r="AF64" s="482"/>
      <c r="AG64" s="63"/>
      <c r="AH64" s="98"/>
      <c r="AI64" s="98"/>
      <c r="AJ64" s="98"/>
      <c r="AK64" s="98"/>
      <c r="AL64" s="98"/>
    </row>
    <row r="65" spans="1:38" ht="13.9" thickTop="1" thickBot="1">
      <c r="A65" s="484" t="str">
        <f>Results!B65</f>
        <v>Frank Allen</v>
      </c>
      <c r="B65" s="502" t="str">
        <f t="shared" si="10"/>
        <v>MK Dons</v>
      </c>
      <c r="C65" s="586">
        <f>IF(J65="","",INDEX(Odds!C:C,MATCH(J65,Odds!G:G,0)))</f>
        <v>1</v>
      </c>
      <c r="D65" s="485">
        <f t="shared" si="11"/>
        <v>2.25</v>
      </c>
      <c r="E65" s="508" t="str">
        <f t="shared" si="5"/>
        <v>√</v>
      </c>
      <c r="F65" s="415">
        <f>IF(J65="",-10,INDEX(Results!T:T,MATCH(A65,Results!V:V,0)))</f>
        <v>21.781818181818181</v>
      </c>
      <c r="G65" s="216">
        <f>IF(J65="","",INDEX(Results!AI:AI,MATCH(A65,Results!V:V,0)))</f>
        <v>21.781818181818181</v>
      </c>
      <c r="H65" s="235">
        <f>IF(G65="",0,1)</f>
        <v>1</v>
      </c>
      <c r="I65" s="411">
        <f>INDEX(Picks!AG:AG,MATCH(A65,Picks!AD:AD,0))</f>
        <v>1</v>
      </c>
      <c r="J65" s="486" t="s">
        <v>623</v>
      </c>
      <c r="K65" s="217" t="str">
        <f>INDEX(Odds!H:H,MATCH(J65,Odds!G:G,0))</f>
        <v>5/4</v>
      </c>
      <c r="L65" s="487">
        <f>INDEX(Odds!I:I,MATCH(J65,Odds!G:G,0))</f>
        <v>2.25</v>
      </c>
      <c r="M65" s="503">
        <f>INDEX(Odds!J:J,MATCH(J65,Odds!G:G,0))</f>
        <v>1</v>
      </c>
      <c r="N65" s="489">
        <f t="shared" si="12"/>
        <v>2.25</v>
      </c>
      <c r="O65" s="658"/>
      <c r="P65" s="62"/>
      <c r="R65" s="39" t="str">
        <f>IF(Odds!G65="","",Odds!G65)</f>
        <v>Dover draw</v>
      </c>
      <c r="S65" s="40" t="str">
        <f>INDEX(Odds!H:H,MATCH(R65,Odds!G:G,0))</f>
        <v>16/5</v>
      </c>
      <c r="T65" s="44">
        <f t="shared" si="9"/>
        <v>0</v>
      </c>
      <c r="AB65" s="663" t="str">
        <f>IF(O65="","",INDEX(Odds!H:H,MATCH(O65,Odds!G:G,0)))</f>
        <v/>
      </c>
      <c r="AC65" s="695">
        <f>IF(J65="","",INDEX(Odds!K:K,MATCH(J65,Odds!G:G,0)))</f>
        <v>1</v>
      </c>
      <c r="AD65" s="63"/>
      <c r="AE65" s="63"/>
      <c r="AF65" s="482"/>
      <c r="AG65" s="63"/>
      <c r="AH65" s="98"/>
      <c r="AI65" s="98"/>
      <c r="AJ65" s="98"/>
      <c r="AK65" s="98"/>
      <c r="AL65" s="98"/>
    </row>
    <row r="66" spans="1:38">
      <c r="A66" s="490" t="str">
        <f>A65</f>
        <v>Frank Allen</v>
      </c>
      <c r="B66" s="491" t="str">
        <f t="shared" si="10"/>
        <v>Mansfield</v>
      </c>
      <c r="C66" s="586">
        <f>IF(J66="","",INDEX(Odds!C:C,MATCH(J66,Odds!G:G,0)))</f>
        <v>1</v>
      </c>
      <c r="D66" s="492">
        <f t="shared" si="11"/>
        <v>1.9090909090909092</v>
      </c>
      <c r="E66" s="507" t="str">
        <f t="shared" si="5"/>
        <v>√</v>
      </c>
      <c r="F66" s="493"/>
      <c r="G66" s="504"/>
      <c r="H66" s="235"/>
      <c r="I66" s="412"/>
      <c r="J66" s="486" t="s">
        <v>631</v>
      </c>
      <c r="K66" s="218" t="str">
        <f>INDEX(Odds!H:H,MATCH(J66,Odds!G:G,0))</f>
        <v>10/11</v>
      </c>
      <c r="L66" s="495">
        <f>INDEX(Odds!I:I,MATCH(J66,Odds!G:G,0))</f>
        <v>1.9090909090909092</v>
      </c>
      <c r="M66" s="488">
        <f>INDEX(Odds!J:J,MATCH(J66,Odds!G:G,0))</f>
        <v>1</v>
      </c>
      <c r="N66" s="489">
        <f t="shared" si="12"/>
        <v>1.9090909090909092</v>
      </c>
      <c r="O66" s="658"/>
      <c r="P66" s="62"/>
      <c r="R66" s="39" t="str">
        <f>IF(Odds!G66="","",Odds!G66)</f>
        <v>Stockport draw</v>
      </c>
      <c r="S66" s="40" t="str">
        <f>INDEX(Odds!H:H,MATCH(R66,Odds!G:G,0))</f>
        <v>37/13</v>
      </c>
      <c r="T66" s="44">
        <f t="shared" si="9"/>
        <v>0</v>
      </c>
      <c r="AB66" s="663" t="str">
        <f>IF(O66="","",INDEX(Odds!H:H,MATCH(O66,Odds!G:G,0)))</f>
        <v/>
      </c>
      <c r="AC66" s="695">
        <f>IF(J66="","",INDEX(Odds!K:K,MATCH(J66,Odds!G:G,0)))</f>
        <v>1</v>
      </c>
      <c r="AD66" s="63"/>
      <c r="AE66" s="63"/>
      <c r="AF66" s="482"/>
      <c r="AG66" s="63"/>
    </row>
    <row r="67" spans="1:38" ht="13.5" thickBot="1">
      <c r="A67" s="496" t="str">
        <f>A65</f>
        <v>Frank Allen</v>
      </c>
      <c r="B67" s="497" t="str">
        <f t="shared" si="10"/>
        <v>Tranmere</v>
      </c>
      <c r="C67" s="587">
        <f>IF(J67="","",INDEX(Odds!C:C,MATCH(J67,Odds!G:G,0)))</f>
        <v>1</v>
      </c>
      <c r="D67" s="498">
        <f t="shared" si="11"/>
        <v>2.15</v>
      </c>
      <c r="E67" s="507" t="str">
        <f t="shared" ref="E67:E130" si="13">IF(J67="","",IF(M67=1,"√","x"))</f>
        <v>√</v>
      </c>
      <c r="F67" s="493"/>
      <c r="G67" s="504"/>
      <c r="H67" s="235"/>
      <c r="I67" s="412"/>
      <c r="J67" s="499" t="s">
        <v>559</v>
      </c>
      <c r="K67" s="219" t="str">
        <f>INDEX(Odds!H:H,MATCH(J67,Odds!G:G,0))</f>
        <v>23/20</v>
      </c>
      <c r="L67" s="500">
        <f>INDEX(Odds!I:I,MATCH(J67,Odds!G:G,0))</f>
        <v>2.15</v>
      </c>
      <c r="M67" s="488">
        <f>INDEX(Odds!J:J,MATCH(J67,Odds!G:G,0))</f>
        <v>1</v>
      </c>
      <c r="N67" s="501">
        <f t="shared" si="12"/>
        <v>2.15</v>
      </c>
      <c r="O67" s="659"/>
      <c r="P67" s="62"/>
      <c r="R67" s="39" t="str">
        <f>IF(Odds!G67="","",Odds!G67)</f>
        <v>Torquay draw</v>
      </c>
      <c r="S67" s="40" t="str">
        <f>INDEX(Odds!H:H,MATCH(R67,Odds!G:G,0))</f>
        <v>11/4</v>
      </c>
      <c r="T67" s="44">
        <f t="shared" si="9"/>
        <v>0</v>
      </c>
      <c r="AB67" s="664" t="str">
        <f>IF(O67="","",INDEX(Odds!H:H,MATCH(O67,Odds!G:G,0)))</f>
        <v/>
      </c>
      <c r="AC67" s="695">
        <f>IF(J67="","",INDEX(Odds!K:K,MATCH(J67,Odds!G:G,0)))</f>
        <v>1</v>
      </c>
      <c r="AD67" s="63"/>
      <c r="AE67" s="63"/>
      <c r="AF67" s="482"/>
      <c r="AG67" s="63"/>
    </row>
    <row r="68" spans="1:38" ht="13.9" thickTop="1" thickBot="1">
      <c r="A68" s="484" t="str">
        <f>Results!B68</f>
        <v>Gareth McGuire</v>
      </c>
      <c r="B68" s="502" t="str">
        <f t="shared" si="10"/>
        <v>Arsenal</v>
      </c>
      <c r="C68" s="586">
        <f>IF(J68="","",INDEX(Odds!C:C,MATCH(J68,Odds!G:G,0)))</f>
        <v>1</v>
      </c>
      <c r="D68" s="485">
        <f t="shared" si="11"/>
        <v>1.4444444444444444</v>
      </c>
      <c r="E68" s="508" t="str">
        <f t="shared" si="13"/>
        <v>√</v>
      </c>
      <c r="F68" s="415">
        <f>IF(J68="",-10,INDEX(Results!T:T,MATCH(A68,Results!V:V,0)))</f>
        <v>-0.4222222222222225</v>
      </c>
      <c r="G68" s="216">
        <f>IF(J68="","",INDEX(Results!AI:AI,MATCH(A68,Results!V:V,0)))</f>
        <v>13.217777777777776</v>
      </c>
      <c r="H68" s="235">
        <f>IF(G68="",0,1)</f>
        <v>1</v>
      </c>
      <c r="I68" s="411">
        <f>INDEX(Picks!AG:AG,MATCH(A68,Picks!AD:AD,0))</f>
        <v>22</v>
      </c>
      <c r="J68" s="486" t="s">
        <v>594</v>
      </c>
      <c r="K68" s="217" t="str">
        <f>INDEX(Odds!H:H,MATCH(J68,Odds!G:G,0))</f>
        <v>4/9</v>
      </c>
      <c r="L68" s="487">
        <f>INDEX(Odds!I:I,MATCH(J68,Odds!G:G,0))</f>
        <v>1.4444444444444444</v>
      </c>
      <c r="M68" s="503">
        <f>INDEX(Odds!J:J,MATCH(J68,Odds!G:G,0))</f>
        <v>1</v>
      </c>
      <c r="N68" s="489">
        <f t="shared" si="12"/>
        <v>1.4444444444444444</v>
      </c>
      <c r="O68" s="658"/>
      <c r="P68" s="62"/>
      <c r="R68" s="39" t="str">
        <f>IF(Odds!G68="","",Odds!G68)</f>
        <v>Burnley draw</v>
      </c>
      <c r="S68" s="40" t="str">
        <f>INDEX(Odds!H:H,MATCH(R68,Odds!G:G,0))</f>
        <v>11/5</v>
      </c>
      <c r="T68" s="44">
        <f t="shared" si="9"/>
        <v>1</v>
      </c>
      <c r="AB68" s="663" t="str">
        <f>IF(O68="","",INDEX(Odds!H:H,MATCH(O68,Odds!G:G,0)))</f>
        <v/>
      </c>
      <c r="AC68" s="695">
        <f>IF(J68="","",INDEX(Odds!K:K,MATCH(J68,Odds!G:G,0)))</f>
        <v>1</v>
      </c>
      <c r="AD68" s="63"/>
      <c r="AE68" s="63"/>
      <c r="AF68" s="482"/>
      <c r="AG68" s="63"/>
    </row>
    <row r="69" spans="1:38">
      <c r="A69" s="490" t="str">
        <f>A68</f>
        <v>Gareth McGuire</v>
      </c>
      <c r="B69" s="491" t="str">
        <f t="shared" si="10"/>
        <v>Huddersfield</v>
      </c>
      <c r="C69" s="586">
        <f>IF(J69="","",INDEX(Odds!C:C,MATCH(J69,Odds!G:G,0)))</f>
        <v>1</v>
      </c>
      <c r="D69" s="492">
        <f t="shared" si="11"/>
        <v>2.1</v>
      </c>
      <c r="E69" s="507" t="str">
        <f t="shared" si="13"/>
        <v>√</v>
      </c>
      <c r="F69" s="493"/>
      <c r="G69" s="504"/>
      <c r="H69" s="235"/>
      <c r="I69" s="412"/>
      <c r="J69" s="486" t="s">
        <v>579</v>
      </c>
      <c r="K69" s="218" t="str">
        <f>INDEX(Odds!H:H,MATCH(J69,Odds!G:G,0))</f>
        <v>11/10</v>
      </c>
      <c r="L69" s="495">
        <f>INDEX(Odds!I:I,MATCH(J69,Odds!G:G,0))</f>
        <v>2.1</v>
      </c>
      <c r="M69" s="488">
        <f>INDEX(Odds!J:J,MATCH(J69,Odds!G:G,0))</f>
        <v>1</v>
      </c>
      <c r="N69" s="489">
        <f t="shared" si="12"/>
        <v>2.1</v>
      </c>
      <c r="O69" s="658"/>
      <c r="P69" s="62"/>
      <c r="R69" s="39" t="str">
        <f>IF(Odds!G69="","",Odds!G69)</f>
        <v>Liverpool draw</v>
      </c>
      <c r="S69" s="40" t="str">
        <f>INDEX(Odds!H:H,MATCH(R69,Odds!G:G,0))</f>
        <v>7/1</v>
      </c>
      <c r="T69" s="44">
        <f t="shared" si="9"/>
        <v>1</v>
      </c>
      <c r="AB69" s="663" t="str">
        <f>IF(O69="","",INDEX(Odds!H:H,MATCH(O69,Odds!G:G,0)))</f>
        <v/>
      </c>
      <c r="AC69" s="695">
        <f>IF(J69="","",INDEX(Odds!K:K,MATCH(J69,Odds!G:G,0)))</f>
        <v>1</v>
      </c>
      <c r="AD69" s="63"/>
      <c r="AE69" s="63"/>
      <c r="AF69" s="482"/>
      <c r="AG69" s="63"/>
    </row>
    <row r="70" spans="1:38" ht="13.5" thickBot="1">
      <c r="A70" s="496" t="str">
        <f>A68</f>
        <v>Gareth McGuire</v>
      </c>
      <c r="B70" s="497" t="str">
        <f t="shared" si="10"/>
        <v>Rotherham</v>
      </c>
      <c r="C70" s="587">
        <f>IF(J70="","",INDEX(Odds!C:C,MATCH(J70,Odds!G:G,0)))</f>
        <v>1</v>
      </c>
      <c r="D70" s="498">
        <f t="shared" si="11"/>
        <v>1.8</v>
      </c>
      <c r="E70" s="507" t="str">
        <f t="shared" si="13"/>
        <v>x</v>
      </c>
      <c r="F70" s="493"/>
      <c r="G70" s="504"/>
      <c r="H70" s="235"/>
      <c r="I70" s="412"/>
      <c r="J70" s="499" t="s">
        <v>592</v>
      </c>
      <c r="K70" s="219" t="str">
        <f>INDEX(Odds!H:H,MATCH(J70,Odds!G:G,0))</f>
        <v>4/5</v>
      </c>
      <c r="L70" s="500">
        <f>INDEX(Odds!I:I,MATCH(J70,Odds!G:G,0))</f>
        <v>1.8</v>
      </c>
      <c r="M70" s="488">
        <f>INDEX(Odds!J:J,MATCH(J70,Odds!G:G,0))</f>
        <v>0</v>
      </c>
      <c r="N70" s="501">
        <f t="shared" si="12"/>
        <v>0</v>
      </c>
      <c r="O70" s="659"/>
      <c r="P70" s="62"/>
      <c r="R70" s="39" t="str">
        <f>IF(Odds!G70="","",Odds!G70)</f>
        <v>Wolves draw</v>
      </c>
      <c r="S70" s="40" t="str">
        <f>INDEX(Odds!H:H,MATCH(R70,Odds!G:G,0))</f>
        <v>5/2</v>
      </c>
      <c r="T70" s="44">
        <f t="shared" si="9"/>
        <v>1</v>
      </c>
      <c r="AB70" s="664" t="str">
        <f>IF(O70="","",INDEX(Odds!H:H,MATCH(O70,Odds!G:G,0)))</f>
        <v/>
      </c>
      <c r="AC70" s="695">
        <f>IF(J70="","",INDEX(Odds!K:K,MATCH(J70,Odds!G:G,0)))</f>
        <v>1</v>
      </c>
      <c r="AD70" s="63"/>
      <c r="AE70" s="63"/>
      <c r="AF70" s="482"/>
      <c r="AG70" s="63"/>
    </row>
    <row r="71" spans="1:38" ht="13.9" thickTop="1" thickBot="1">
      <c r="A71" s="484" t="str">
        <f>Results!B71</f>
        <v>Gareth Powell</v>
      </c>
      <c r="B71" s="502" t="str">
        <f>IF(J71="","",J71)</f>
        <v/>
      </c>
      <c r="C71" s="586" t="str">
        <f>IF(J71="","",INDEX(Odds!C:C,MATCH(J71,Odds!G:G,0)))</f>
        <v/>
      </c>
      <c r="D71" s="485" t="str">
        <f>IF(J71="","",L71)</f>
        <v/>
      </c>
      <c r="E71" s="508" t="str">
        <f>IF(J71="","",IF(M71=1,"√","x"))</f>
        <v/>
      </c>
      <c r="F71" s="415">
        <f>IF(J71="",-10,INDEX(Results!T:T,MATCH(A71,Results!V:V,0)))</f>
        <v>-10</v>
      </c>
      <c r="G71" s="216" t="str">
        <f>IF(J71="","",INDEX(Results!AI:AI,MATCH(A71,Results!V:V,0)))</f>
        <v/>
      </c>
      <c r="H71" s="235">
        <f>IF(G71="",0,1)</f>
        <v>0</v>
      </c>
      <c r="I71" s="411" t="str">
        <f>INDEX(Picks!AG:AG,MATCH(A71,Picks!AD:AD,0))</f>
        <v/>
      </c>
      <c r="J71" s="486"/>
      <c r="K71" s="217" t="e">
        <f>INDEX(Odds!H:H,MATCH(J71,Odds!G:G,0))</f>
        <v>#N/A</v>
      </c>
      <c r="L71" s="487" t="e">
        <f>INDEX(Odds!I:I,MATCH(J71,Odds!G:G,0))</f>
        <v>#N/A</v>
      </c>
      <c r="M71" s="503" t="e">
        <f>INDEX(Odds!J:J,MATCH(J71,Odds!G:G,0))</f>
        <v>#N/A</v>
      </c>
      <c r="N71" s="489" t="e">
        <f t="shared" si="12"/>
        <v>#N/A</v>
      </c>
      <c r="O71" s="658"/>
      <c r="P71" s="62"/>
      <c r="R71" s="39" t="str">
        <f>IF(Odds!G71="","",Odds!G71)</f>
        <v>Barnsley draw</v>
      </c>
      <c r="S71" s="40" t="str">
        <f>INDEX(Odds!H:H,MATCH(R71,Odds!G:G,0))</f>
        <v>11/5</v>
      </c>
      <c r="T71" s="44">
        <f t="shared" si="9"/>
        <v>1</v>
      </c>
      <c r="AB71" s="663" t="str">
        <f>IF(O71="","",INDEX(Odds!H:H,MATCH(O71,Odds!G:G,0)))</f>
        <v/>
      </c>
      <c r="AC71" s="695" t="str">
        <f>IF(J71="","",INDEX(Odds!K:K,MATCH(J71,Odds!G:G,0)))</f>
        <v/>
      </c>
      <c r="AD71" s="63"/>
      <c r="AE71" s="63"/>
      <c r="AF71" s="482"/>
      <c r="AG71" s="63"/>
    </row>
    <row r="72" spans="1:38">
      <c r="A72" s="490" t="str">
        <f>A71</f>
        <v>Gareth Powell</v>
      </c>
      <c r="B72" s="491" t="str">
        <f t="shared" si="10"/>
        <v/>
      </c>
      <c r="C72" s="586" t="str">
        <f>IF(J72="","",INDEX(Odds!C:C,MATCH(J72,Odds!G:G,0)))</f>
        <v/>
      </c>
      <c r="D72" s="492" t="str">
        <f t="shared" si="11"/>
        <v/>
      </c>
      <c r="E72" s="507" t="str">
        <f t="shared" si="13"/>
        <v/>
      </c>
      <c r="F72" s="493"/>
      <c r="G72" s="504"/>
      <c r="H72" s="235"/>
      <c r="I72" s="412"/>
      <c r="J72" s="486"/>
      <c r="K72" s="218" t="e">
        <f>INDEX(Odds!H:H,MATCH(J72,Odds!G:G,0))</f>
        <v>#N/A</v>
      </c>
      <c r="L72" s="495" t="e">
        <f>INDEX(Odds!I:I,MATCH(J72,Odds!G:G,0))</f>
        <v>#N/A</v>
      </c>
      <c r="M72" s="488" t="e">
        <f>INDEX(Odds!J:J,MATCH(J72,Odds!G:G,0))</f>
        <v>#N/A</v>
      </c>
      <c r="N72" s="489" t="e">
        <f t="shared" si="12"/>
        <v>#N/A</v>
      </c>
      <c r="O72" s="658"/>
      <c r="P72" s="62"/>
      <c r="R72" s="39" t="str">
        <f>IF(Odds!G72="","",Odds!G72)</f>
        <v>Cardiff draw</v>
      </c>
      <c r="S72" s="40" t="str">
        <f>INDEX(Odds!H:H,MATCH(R72,Odds!G:G,0))</f>
        <v>9/4</v>
      </c>
      <c r="T72" s="44">
        <f t="shared" si="9"/>
        <v>1</v>
      </c>
      <c r="AB72" s="663" t="str">
        <f>IF(O72="","",INDEX(Odds!H:H,MATCH(O72,Odds!G:G,0)))</f>
        <v/>
      </c>
      <c r="AC72" s="695" t="str">
        <f>IF(J72="","",INDEX(Odds!K:K,MATCH(J72,Odds!G:G,0)))</f>
        <v/>
      </c>
      <c r="AD72" s="63"/>
      <c r="AE72" s="63"/>
      <c r="AF72" s="482"/>
      <c r="AG72" s="63"/>
    </row>
    <row r="73" spans="1:38" ht="13.5" thickBot="1">
      <c r="A73" s="496" t="str">
        <f>A71</f>
        <v>Gareth Powell</v>
      </c>
      <c r="B73" s="497" t="str">
        <f t="shared" si="10"/>
        <v/>
      </c>
      <c r="C73" s="587" t="str">
        <f>IF(J73="","",INDEX(Odds!C:C,MATCH(J73,Odds!G:G,0)))</f>
        <v/>
      </c>
      <c r="D73" s="498" t="str">
        <f t="shared" si="11"/>
        <v/>
      </c>
      <c r="E73" s="507" t="str">
        <f t="shared" si="13"/>
        <v/>
      </c>
      <c r="F73" s="493"/>
      <c r="G73" s="504"/>
      <c r="H73" s="235"/>
      <c r="I73" s="412"/>
      <c r="J73" s="499"/>
      <c r="K73" s="219" t="e">
        <f>INDEX(Odds!H:H,MATCH(J73,Odds!G:G,0))</f>
        <v>#N/A</v>
      </c>
      <c r="L73" s="500" t="e">
        <f>INDEX(Odds!I:I,MATCH(J73,Odds!G:G,0))</f>
        <v>#N/A</v>
      </c>
      <c r="M73" s="488" t="e">
        <f>INDEX(Odds!J:J,MATCH(J73,Odds!G:G,0))</f>
        <v>#N/A</v>
      </c>
      <c r="N73" s="501" t="e">
        <f t="shared" si="12"/>
        <v>#N/A</v>
      </c>
      <c r="O73" s="659"/>
      <c r="P73" s="62"/>
      <c r="R73" s="39" t="str">
        <f>IF(Odds!G73="","",Odds!G73)</f>
        <v>Fulham draw</v>
      </c>
      <c r="S73" s="40" t="str">
        <f>INDEX(Odds!H:H,MATCH(R73,Odds!G:G,0))</f>
        <v>17/5</v>
      </c>
      <c r="T73" s="44">
        <f t="shared" si="9"/>
        <v>1</v>
      </c>
      <c r="AB73" s="664" t="str">
        <f>IF(O73="","",INDEX(Odds!H:H,MATCH(O73,Odds!G:G,0)))</f>
        <v/>
      </c>
      <c r="AC73" s="695" t="str">
        <f>IF(J73="","",INDEX(Odds!K:K,MATCH(J73,Odds!G:G,0)))</f>
        <v/>
      </c>
      <c r="AD73" s="63"/>
      <c r="AE73" s="63"/>
      <c r="AF73" s="482"/>
      <c r="AG73" s="63"/>
    </row>
    <row r="74" spans="1:38" ht="13.9" thickTop="1" thickBot="1">
      <c r="A74" s="484" t="str">
        <f>Results!B74</f>
        <v>Gerard Ventom</v>
      </c>
      <c r="B74" s="502" t="str">
        <f t="shared" si="10"/>
        <v>Brentford</v>
      </c>
      <c r="C74" s="586">
        <f>IF(J74="","",INDEX(Odds!C:C,MATCH(J74,Odds!G:G,0)))</f>
        <v>1</v>
      </c>
      <c r="D74" s="485">
        <f t="shared" si="11"/>
        <v>4.2</v>
      </c>
      <c r="E74" s="508" t="str">
        <f t="shared" si="13"/>
        <v>x</v>
      </c>
      <c r="F74" s="415">
        <f>IF(J74="",-10,INDEX(Results!T:T,MATCH(A74,Results!V:V,0)))</f>
        <v>-7</v>
      </c>
      <c r="G74" s="216">
        <f>IF(J74="","",INDEX(Results!AI:AI,MATCH(A74,Results!V:V,0)))</f>
        <v>190.9</v>
      </c>
      <c r="H74" s="235">
        <f>IF(G74="",0,1)</f>
        <v>1</v>
      </c>
      <c r="I74" s="411">
        <f>INDEX(Picks!AG:AG,MATCH(A74,Picks!AD:AD,0))</f>
        <v>50</v>
      </c>
      <c r="J74" s="486" t="s">
        <v>573</v>
      </c>
      <c r="K74" s="217" t="str">
        <f>INDEX(Odds!H:H,MATCH(J74,Odds!G:G,0))</f>
        <v>16/5</v>
      </c>
      <c r="L74" s="487">
        <f>INDEX(Odds!I:I,MATCH(J74,Odds!G:G,0))</f>
        <v>4.2</v>
      </c>
      <c r="M74" s="503">
        <f>INDEX(Odds!J:J,MATCH(J74,Odds!G:G,0))</f>
        <v>0</v>
      </c>
      <c r="N74" s="489">
        <f t="shared" si="12"/>
        <v>0</v>
      </c>
      <c r="O74" s="658"/>
      <c r="P74" s="62"/>
      <c r="R74" s="39" t="str">
        <f>IF(Odds!G74="","",Odds!G74)</f>
        <v>Hull draw</v>
      </c>
      <c r="S74" s="40" t="str">
        <f>INDEX(Odds!H:H,MATCH(R74,Odds!G:G,0))</f>
        <v>9/4</v>
      </c>
      <c r="T74" s="44">
        <f t="shared" si="9"/>
        <v>1</v>
      </c>
      <c r="AB74" s="663" t="str">
        <f>IF(O74="","",INDEX(Odds!H:H,MATCH(O74,Odds!G:G,0)))</f>
        <v/>
      </c>
      <c r="AC74" s="695">
        <f>IF(J74="","",INDEX(Odds!K:K,MATCH(J74,Odds!G:G,0)))</f>
        <v>1</v>
      </c>
      <c r="AD74" s="63"/>
      <c r="AE74" s="63"/>
      <c r="AF74" s="482"/>
      <c r="AG74" s="63"/>
    </row>
    <row r="75" spans="1:38">
      <c r="A75" s="490" t="str">
        <f>A74</f>
        <v>Gerard Ventom</v>
      </c>
      <c r="B75" s="491" t="str">
        <f t="shared" si="10"/>
        <v>Norwich</v>
      </c>
      <c r="C75" s="586">
        <f>IF(J75="","",INDEX(Odds!C:C,MATCH(J75,Odds!G:G,0)))</f>
        <v>1</v>
      </c>
      <c r="D75" s="492">
        <f t="shared" si="11"/>
        <v>7.5</v>
      </c>
      <c r="E75" s="507" t="str">
        <f t="shared" si="13"/>
        <v>x</v>
      </c>
      <c r="F75" s="493"/>
      <c r="G75" s="504"/>
      <c r="H75" s="235"/>
      <c r="I75" s="412"/>
      <c r="J75" s="486" t="s">
        <v>608</v>
      </c>
      <c r="K75" s="218" t="str">
        <f>INDEX(Odds!H:H,MATCH(J75,Odds!G:G,0))</f>
        <v>13/2</v>
      </c>
      <c r="L75" s="495">
        <f>INDEX(Odds!I:I,MATCH(J75,Odds!G:G,0))</f>
        <v>7.5</v>
      </c>
      <c r="M75" s="488">
        <f>INDEX(Odds!J:J,MATCH(J75,Odds!G:G,0))</f>
        <v>0</v>
      </c>
      <c r="N75" s="489">
        <f t="shared" si="12"/>
        <v>0</v>
      </c>
      <c r="O75" s="658"/>
      <c r="P75" s="62"/>
      <c r="R75" s="39" t="str">
        <f>IF(Odds!G75="","",Odds!G75)</f>
        <v>Luton draw</v>
      </c>
      <c r="S75" s="40" t="str">
        <f>INDEX(Odds!H:H,MATCH(R75,Odds!G:G,0))</f>
        <v>11/4</v>
      </c>
      <c r="T75" s="44">
        <f t="shared" si="9"/>
        <v>1</v>
      </c>
      <c r="AB75" s="663" t="str">
        <f>IF(O75="","",INDEX(Odds!H:H,MATCH(O75,Odds!G:G,0)))</f>
        <v/>
      </c>
      <c r="AC75" s="695">
        <f>IF(J75="","",INDEX(Odds!K:K,MATCH(J75,Odds!G:G,0)))</f>
        <v>1</v>
      </c>
      <c r="AD75" s="63"/>
      <c r="AE75" s="63"/>
      <c r="AF75" s="482"/>
      <c r="AG75" s="63"/>
    </row>
    <row r="76" spans="1:38" ht="13.5" thickBot="1">
      <c r="A76" s="496" t="str">
        <f>A74</f>
        <v>Gerard Ventom</v>
      </c>
      <c r="B76" s="497" t="str">
        <f t="shared" si="10"/>
        <v>Blackpool</v>
      </c>
      <c r="C76" s="587">
        <f>IF(J76="","",INDEX(Odds!C:C,MATCH(J76,Odds!G:G,0)))</f>
        <v>1</v>
      </c>
      <c r="D76" s="498">
        <f t="shared" si="11"/>
        <v>3.5</v>
      </c>
      <c r="E76" s="507" t="str">
        <f t="shared" si="13"/>
        <v>x</v>
      </c>
      <c r="F76" s="493"/>
      <c r="G76" s="504"/>
      <c r="H76" s="235"/>
      <c r="I76" s="412"/>
      <c r="J76" s="499" t="s">
        <v>586</v>
      </c>
      <c r="K76" s="219" t="str">
        <f>INDEX(Odds!H:H,MATCH(J76,Odds!G:G,0))</f>
        <v>5/2</v>
      </c>
      <c r="L76" s="500">
        <f>INDEX(Odds!I:I,MATCH(J76,Odds!G:G,0))</f>
        <v>3.5</v>
      </c>
      <c r="M76" s="488">
        <f>INDEX(Odds!J:J,MATCH(J76,Odds!G:G,0))</f>
        <v>0</v>
      </c>
      <c r="N76" s="501">
        <f t="shared" si="12"/>
        <v>0</v>
      </c>
      <c r="O76" s="659"/>
      <c r="P76" s="62"/>
      <c r="R76" s="39" t="str">
        <f>IF(Odds!G76="","",Odds!G76)</f>
        <v>Millwall draw</v>
      </c>
      <c r="S76" s="40" t="str">
        <f>INDEX(Odds!H:H,MATCH(R76,Odds!G:G,0))</f>
        <v>21/10</v>
      </c>
      <c r="T76" s="44">
        <f t="shared" si="9"/>
        <v>1</v>
      </c>
      <c r="AB76" s="664" t="str">
        <f>IF(O76="","",INDEX(Odds!H:H,MATCH(O76,Odds!G:G,0)))</f>
        <v/>
      </c>
      <c r="AC76" s="695">
        <f>IF(J76="","",INDEX(Odds!K:K,MATCH(J76,Odds!G:G,0)))</f>
        <v>1</v>
      </c>
      <c r="AD76" s="63"/>
      <c r="AE76" s="63"/>
      <c r="AF76" s="482"/>
      <c r="AG76" s="63"/>
    </row>
    <row r="77" spans="1:38" ht="13.9" thickTop="1" thickBot="1">
      <c r="A77" s="484" t="str">
        <f>Results!B77</f>
        <v>Graham Miller</v>
      </c>
      <c r="B77" s="502" t="str">
        <f t="shared" si="10"/>
        <v>Brighton</v>
      </c>
      <c r="C77" s="586">
        <f>IF(J77="","",INDEX(Odds!C:C,MATCH(J77,Odds!G:G,0)))</f>
        <v>1</v>
      </c>
      <c r="D77" s="485">
        <f t="shared" si="11"/>
        <v>1.85</v>
      </c>
      <c r="E77" s="508" t="str">
        <f t="shared" si="13"/>
        <v>√</v>
      </c>
      <c r="F77" s="415">
        <f>IF(J77="",-10,INDEX(Results!T:T,MATCH(A77,Results!V:V,0)))</f>
        <v>16.239249999999998</v>
      </c>
      <c r="G77" s="216">
        <f>IF(J77="","",INDEX(Results!AI:AI,MATCH(A77,Results!V:V,0)))</f>
        <v>16.239249999999998</v>
      </c>
      <c r="H77" s="235">
        <f>IF(G77="",0,1)</f>
        <v>1</v>
      </c>
      <c r="I77" s="411">
        <f>INDEX(Picks!AG:AG,MATCH(A77,Picks!AD:AD,0))</f>
        <v>2</v>
      </c>
      <c r="J77" s="486" t="s">
        <v>607</v>
      </c>
      <c r="K77" s="217" t="str">
        <f>INDEX(Odds!H:H,MATCH(J77,Odds!G:G,0))</f>
        <v>17/20</v>
      </c>
      <c r="L77" s="487">
        <f>INDEX(Odds!I:I,MATCH(J77,Odds!G:G,0))</f>
        <v>1.85</v>
      </c>
      <c r="M77" s="503">
        <f>INDEX(Odds!J:J,MATCH(J77,Odds!G:G,0))</f>
        <v>1</v>
      </c>
      <c r="N77" s="489">
        <f t="shared" si="12"/>
        <v>1.85</v>
      </c>
      <c r="O77" s="658"/>
      <c r="P77" s="62"/>
      <c r="R77" s="39" t="str">
        <f>IF(Odds!G77="","",Odds!G77)</f>
        <v>Peterborough draw</v>
      </c>
      <c r="S77" s="40" t="str">
        <f>INDEX(Odds!H:H,MATCH(R77,Odds!G:G,0))</f>
        <v>9/4</v>
      </c>
      <c r="T77" s="44">
        <f t="shared" si="9"/>
        <v>1</v>
      </c>
      <c r="AB77" s="663" t="str">
        <f>IF(O77="","",INDEX(Odds!H:H,MATCH(O77,Odds!G:G,0)))</f>
        <v/>
      </c>
      <c r="AC77" s="695">
        <f>IF(J77="","",INDEX(Odds!K:K,MATCH(J77,Odds!G:G,0)))</f>
        <v>1</v>
      </c>
      <c r="AD77" s="63"/>
      <c r="AE77" s="63"/>
      <c r="AF77" s="482"/>
      <c r="AG77" s="63"/>
    </row>
    <row r="78" spans="1:38">
      <c r="A78" s="490" t="str">
        <f>A77</f>
        <v>Graham Miller</v>
      </c>
      <c r="B78" s="491" t="str">
        <f t="shared" si="10"/>
        <v>Spurs</v>
      </c>
      <c r="C78" s="586">
        <f>IF(J78="","",INDEX(Odds!C:C,MATCH(J78,Odds!G:G,0)))</f>
        <v>1</v>
      </c>
      <c r="D78" s="492">
        <f t="shared" si="11"/>
        <v>1.7</v>
      </c>
      <c r="E78" s="507" t="str">
        <f t="shared" si="13"/>
        <v>√</v>
      </c>
      <c r="F78" s="493"/>
      <c r="G78" s="504"/>
      <c r="H78" s="235"/>
      <c r="I78" s="412"/>
      <c r="J78" s="486" t="s">
        <v>453</v>
      </c>
      <c r="K78" s="218" t="str">
        <f>INDEX(Odds!H:H,MATCH(J78,Odds!G:G,0))</f>
        <v>7/10</v>
      </c>
      <c r="L78" s="495">
        <f>INDEX(Odds!I:I,MATCH(J78,Odds!G:G,0))</f>
        <v>1.7</v>
      </c>
      <c r="M78" s="488">
        <f>INDEX(Odds!J:J,MATCH(J78,Odds!G:G,0))</f>
        <v>1</v>
      </c>
      <c r="N78" s="489">
        <f t="shared" si="12"/>
        <v>1.7</v>
      </c>
      <c r="O78" s="658"/>
      <c r="P78" s="62"/>
      <c r="R78" s="39" t="str">
        <f>IF(Odds!G78="","",Odds!G78)</f>
        <v>Preston draw</v>
      </c>
      <c r="S78" s="40" t="str">
        <f>INDEX(Odds!H:H,MATCH(R78,Odds!G:G,0))</f>
        <v>11/5</v>
      </c>
      <c r="T78" s="44">
        <f t="shared" si="9"/>
        <v>1</v>
      </c>
      <c r="AB78" s="663" t="str">
        <f>IF(O78="","",INDEX(Odds!H:H,MATCH(O78,Odds!G:G,0)))</f>
        <v/>
      </c>
      <c r="AC78" s="695">
        <f>IF(J78="","",INDEX(Odds!K:K,MATCH(J78,Odds!G:G,0)))</f>
        <v>1</v>
      </c>
      <c r="AD78" s="63"/>
      <c r="AE78" s="63"/>
      <c r="AF78" s="482"/>
      <c r="AG78" s="63"/>
    </row>
    <row r="79" spans="1:38" ht="13.5" thickBot="1">
      <c r="A79" s="496" t="str">
        <f>A77</f>
        <v>Graham Miller</v>
      </c>
      <c r="B79" s="497" t="str">
        <f t="shared" si="10"/>
        <v>Tranmere</v>
      </c>
      <c r="C79" s="587">
        <f>IF(J79="","",INDEX(Odds!C:C,MATCH(J79,Odds!G:G,0)))</f>
        <v>1</v>
      </c>
      <c r="D79" s="498">
        <f t="shared" si="11"/>
        <v>2.15</v>
      </c>
      <c r="E79" s="507" t="str">
        <f t="shared" si="13"/>
        <v>√</v>
      </c>
      <c r="F79" s="493"/>
      <c r="G79" s="504"/>
      <c r="H79" s="235"/>
      <c r="I79" s="412"/>
      <c r="J79" s="499" t="s">
        <v>559</v>
      </c>
      <c r="K79" s="219" t="str">
        <f>INDEX(Odds!H:H,MATCH(J79,Odds!G:G,0))</f>
        <v>23/20</v>
      </c>
      <c r="L79" s="500">
        <f>INDEX(Odds!I:I,MATCH(J79,Odds!G:G,0))</f>
        <v>2.15</v>
      </c>
      <c r="M79" s="488">
        <f>INDEX(Odds!J:J,MATCH(J79,Odds!G:G,0))</f>
        <v>1</v>
      </c>
      <c r="N79" s="501">
        <f t="shared" si="12"/>
        <v>2.15</v>
      </c>
      <c r="O79" s="659"/>
      <c r="P79" s="62"/>
      <c r="R79" s="39" t="str">
        <f>IF(Odds!G79="","",Odds!G79)</f>
        <v>Bolton draw</v>
      </c>
      <c r="S79" s="40" t="str">
        <f>INDEX(Odds!H:H,MATCH(R79,Odds!G:G,0))</f>
        <v>29/10</v>
      </c>
      <c r="T79" s="44">
        <f t="shared" si="9"/>
        <v>1</v>
      </c>
      <c r="AB79" s="664" t="str">
        <f>IF(O79="","",INDEX(Odds!H:H,MATCH(O79,Odds!G:G,0)))</f>
        <v/>
      </c>
      <c r="AC79" s="695">
        <f>IF(J79="","",INDEX(Odds!K:K,MATCH(J79,Odds!G:G,0)))</f>
        <v>1</v>
      </c>
      <c r="AD79" s="63"/>
      <c r="AE79" s="63"/>
      <c r="AF79" s="482"/>
      <c r="AG79" s="63"/>
    </row>
    <row r="80" spans="1:38" ht="13.9" thickTop="1" thickBot="1">
      <c r="A80" s="484" t="str">
        <f>Results!B80</f>
        <v>Howard Bradley</v>
      </c>
      <c r="B80" s="502" t="str">
        <f t="shared" si="10"/>
        <v>Arsenal</v>
      </c>
      <c r="C80" s="586">
        <f>IF(J80="","",INDEX(Odds!C:C,MATCH(J80,Odds!G:G,0)))</f>
        <v>1</v>
      </c>
      <c r="D80" s="485">
        <f t="shared" si="11"/>
        <v>1.4444444444444444</v>
      </c>
      <c r="E80" s="508" t="str">
        <f t="shared" si="13"/>
        <v>√</v>
      </c>
      <c r="F80" s="415">
        <f>IF(J80="",-10,INDEX(Results!T:T,MATCH(A80,Results!V:V,0)))</f>
        <v>-5.5555555555555554</v>
      </c>
      <c r="G80" s="216">
        <f>IF(J80="","",INDEX(Results!AI:AI,MATCH(A80,Results!V:V,0)))</f>
        <v>20.233333333333334</v>
      </c>
      <c r="H80" s="235">
        <f>IF(G80="",0,1)</f>
        <v>1</v>
      </c>
      <c r="I80" s="411">
        <f>INDEX(Picks!AG:AG,MATCH(A80,Picks!AD:AD,0))</f>
        <v>48</v>
      </c>
      <c r="J80" s="486" t="s">
        <v>594</v>
      </c>
      <c r="K80" s="217" t="str">
        <f>INDEX(Odds!H:H,MATCH(J80,Odds!G:G,0))</f>
        <v>4/9</v>
      </c>
      <c r="L80" s="487">
        <f>INDEX(Odds!I:I,MATCH(J80,Odds!G:G,0))</f>
        <v>1.4444444444444444</v>
      </c>
      <c r="M80" s="503">
        <f>INDEX(Odds!J:J,MATCH(J80,Odds!G:G,0))</f>
        <v>1</v>
      </c>
      <c r="N80" s="489">
        <f t="shared" si="12"/>
        <v>1.4444444444444444</v>
      </c>
      <c r="O80" s="658"/>
      <c r="P80" s="62"/>
      <c r="R80" s="39" t="str">
        <f>IF(Odds!G80="","",Odds!G80)</f>
        <v>Crewe draw</v>
      </c>
      <c r="S80" s="40" t="str">
        <f>INDEX(Odds!H:H,MATCH(R80,Odds!G:G,0))</f>
        <v>29/10</v>
      </c>
      <c r="T80" s="44">
        <f t="shared" si="9"/>
        <v>1</v>
      </c>
      <c r="AB80" s="663" t="str">
        <f>IF(O80="","",INDEX(Odds!H:H,MATCH(O80,Odds!G:G,0)))</f>
        <v/>
      </c>
      <c r="AC80" s="695">
        <f>IF(J80="","",INDEX(Odds!K:K,MATCH(J80,Odds!G:G,0)))</f>
        <v>1</v>
      </c>
      <c r="AD80" s="63"/>
      <c r="AE80" s="63"/>
      <c r="AF80" s="482"/>
      <c r="AG80" s="63"/>
    </row>
    <row r="81" spans="1:33">
      <c r="A81" s="490" t="str">
        <f>A80</f>
        <v>Howard Bradley</v>
      </c>
      <c r="B81" s="491" t="str">
        <f t="shared" si="10"/>
        <v>West Ham</v>
      </c>
      <c r="C81" s="586">
        <f>IF(J81="","",INDEX(Odds!C:C,MATCH(J81,Odds!G:G,0)))</f>
        <v>1</v>
      </c>
      <c r="D81" s="492">
        <f t="shared" si="11"/>
        <v>1.75</v>
      </c>
      <c r="E81" s="507" t="str">
        <f t="shared" si="13"/>
        <v>x</v>
      </c>
      <c r="F81" s="493"/>
      <c r="G81" s="504"/>
      <c r="H81" s="235"/>
      <c r="I81" s="412"/>
      <c r="J81" s="486" t="s">
        <v>452</v>
      </c>
      <c r="K81" s="218" t="str">
        <f>INDEX(Odds!H:H,MATCH(J81,Odds!G:G,0))</f>
        <v>3/4</v>
      </c>
      <c r="L81" s="495">
        <f>INDEX(Odds!I:I,MATCH(J81,Odds!G:G,0))</f>
        <v>1.75</v>
      </c>
      <c r="M81" s="488">
        <f>INDEX(Odds!J:J,MATCH(J81,Odds!G:G,0))</f>
        <v>0</v>
      </c>
      <c r="N81" s="489">
        <f t="shared" si="12"/>
        <v>0</v>
      </c>
      <c r="O81" s="658"/>
      <c r="P81" s="62"/>
      <c r="R81" s="39" t="str">
        <f>IF(Odds!G81="","",Odds!G81)</f>
        <v>Gillingham draw</v>
      </c>
      <c r="S81" s="40" t="str">
        <f>INDEX(Odds!H:H,MATCH(R81,Odds!G:G,0))</f>
        <v>13/5</v>
      </c>
      <c r="T81" s="44">
        <f t="shared" si="9"/>
        <v>1</v>
      </c>
      <c r="AB81" s="663" t="str">
        <f>IF(O81="","",INDEX(Odds!H:H,MATCH(O81,Odds!G:G,0)))</f>
        <v/>
      </c>
      <c r="AC81" s="695">
        <f>IF(J81="","",INDEX(Odds!K:K,MATCH(J81,Odds!G:G,0)))</f>
        <v>1</v>
      </c>
      <c r="AD81" s="63"/>
      <c r="AE81" s="63"/>
      <c r="AF81" s="482"/>
      <c r="AG81" s="63"/>
    </row>
    <row r="82" spans="1:33" ht="13.5" thickBot="1">
      <c r="A82" s="496" t="str">
        <f>A80</f>
        <v>Howard Bradley</v>
      </c>
      <c r="B82" s="497" t="str">
        <f t="shared" si="10"/>
        <v>Middlesbro draw</v>
      </c>
      <c r="C82" s="587">
        <f>IF(J82="","",INDEX(Odds!C:C,MATCH(J82,Odds!G:G,0)))</f>
        <v>1</v>
      </c>
      <c r="D82" s="498">
        <f t="shared" si="11"/>
        <v>3.2</v>
      </c>
      <c r="E82" s="507" t="str">
        <f t="shared" si="13"/>
        <v>x</v>
      </c>
      <c r="F82" s="493"/>
      <c r="G82" s="504"/>
      <c r="H82" s="235"/>
      <c r="I82" s="412"/>
      <c r="J82" s="499" t="s">
        <v>606</v>
      </c>
      <c r="K82" s="219" t="str">
        <f>INDEX(Odds!H:H,MATCH(J82,Odds!G:G,0))</f>
        <v>11/5</v>
      </c>
      <c r="L82" s="500">
        <f>INDEX(Odds!I:I,MATCH(J82,Odds!G:G,0))</f>
        <v>3.2</v>
      </c>
      <c r="M82" s="488">
        <f>INDEX(Odds!J:J,MATCH(J82,Odds!G:G,0))</f>
        <v>0</v>
      </c>
      <c r="N82" s="501">
        <f t="shared" si="12"/>
        <v>0</v>
      </c>
      <c r="O82" s="659"/>
      <c r="P82" s="62"/>
      <c r="R82" s="39" t="str">
        <f>IF(Odds!G82="","",Odds!G82)</f>
        <v>Portsmouth draw</v>
      </c>
      <c r="S82" s="40" t="str">
        <f>INDEX(Odds!H:H,MATCH(R82,Odds!G:G,0))</f>
        <v>23/10</v>
      </c>
      <c r="T82" s="44">
        <f t="shared" si="9"/>
        <v>1</v>
      </c>
      <c r="AB82" s="664" t="str">
        <f>IF(O82="","",INDEX(Odds!H:H,MATCH(O82,Odds!G:G,0)))</f>
        <v/>
      </c>
      <c r="AC82" s="695">
        <f>IF(J82="","",INDEX(Odds!K:K,MATCH(J82,Odds!G:G,0)))</f>
        <v>1</v>
      </c>
      <c r="AD82" s="63"/>
      <c r="AE82" s="63"/>
      <c r="AF82" s="482"/>
      <c r="AG82" s="63"/>
    </row>
    <row r="83" spans="1:33" ht="13.9" thickTop="1" thickBot="1">
      <c r="A83" s="484" t="str">
        <f>Results!B83</f>
        <v>Ian Davies</v>
      </c>
      <c r="B83" s="502" t="str">
        <f t="shared" si="10"/>
        <v>Huddersfield draw</v>
      </c>
      <c r="C83" s="586">
        <f>IF(J83="","",INDEX(Odds!C:C,MATCH(J83,Odds!G:G,0)))</f>
        <v>1</v>
      </c>
      <c r="D83" s="485">
        <f t="shared" si="11"/>
        <v>3.3</v>
      </c>
      <c r="E83" s="508" t="str">
        <f t="shared" si="13"/>
        <v>x</v>
      </c>
      <c r="F83" s="415">
        <f>IF(J83="",-10,INDEX(Results!T:T,MATCH(A83,Results!V:V,0)))</f>
        <v>-3</v>
      </c>
      <c r="G83" s="216">
        <f>IF(J83="","",INDEX(Results!AI:AI,MATCH(A83,Results!V:V,0)))</f>
        <v>14.059999999999999</v>
      </c>
      <c r="H83" s="235">
        <f>IF(G83="",0,1)</f>
        <v>1</v>
      </c>
      <c r="I83" s="411">
        <f>INDEX(Picks!AG:AG,MATCH(A83,Picks!AD:AD,0))</f>
        <v>39</v>
      </c>
      <c r="J83" s="486" t="s">
        <v>657</v>
      </c>
      <c r="K83" s="217" t="str">
        <f>INDEX(Odds!H:H,MATCH(J83,Odds!G:G,0))</f>
        <v>23/10</v>
      </c>
      <c r="L83" s="487">
        <f>INDEX(Odds!I:I,MATCH(J83,Odds!G:G,0))</f>
        <v>3.3</v>
      </c>
      <c r="M83" s="503">
        <f>INDEX(Odds!J:J,MATCH(J83,Odds!G:G,0))</f>
        <v>0</v>
      </c>
      <c r="N83" s="489">
        <f t="shared" si="12"/>
        <v>0</v>
      </c>
      <c r="O83" s="658"/>
      <c r="P83" s="62"/>
      <c r="R83" s="39" t="str">
        <f>IF(Odds!G83="","",Odds!G83)</f>
        <v>Sheff W draw</v>
      </c>
      <c r="S83" s="40" t="str">
        <f>INDEX(Odds!H:H,MATCH(R83,Odds!G:G,0))</f>
        <v>13/5</v>
      </c>
      <c r="T83" s="44">
        <f t="shared" si="9"/>
        <v>1</v>
      </c>
      <c r="AB83" s="663" t="str">
        <f>IF(O83="","",INDEX(Odds!H:H,MATCH(O83,Odds!G:G,0)))</f>
        <v/>
      </c>
      <c r="AC83" s="695">
        <f>IF(J83="","",INDEX(Odds!K:K,MATCH(J83,Odds!G:G,0)))</f>
        <v>1</v>
      </c>
      <c r="AD83" s="63"/>
      <c r="AE83" s="63"/>
      <c r="AF83" s="482"/>
      <c r="AG83" s="63"/>
    </row>
    <row r="84" spans="1:33">
      <c r="A84" s="490" t="str">
        <f>A83</f>
        <v>Ian Davies</v>
      </c>
      <c r="B84" s="491" t="str">
        <f t="shared" si="10"/>
        <v>Blackburn</v>
      </c>
      <c r="C84" s="586">
        <f>IF(J84="","",INDEX(Odds!C:C,MATCH(J84,Odds!G:G,0)))</f>
        <v>1</v>
      </c>
      <c r="D84" s="492">
        <f t="shared" si="11"/>
        <v>2.4</v>
      </c>
      <c r="E84" s="507" t="str">
        <f t="shared" si="13"/>
        <v>x</v>
      </c>
      <c r="F84" s="493"/>
      <c r="G84" s="504"/>
      <c r="H84" s="235"/>
      <c r="I84" s="412"/>
      <c r="J84" s="486" t="s">
        <v>577</v>
      </c>
      <c r="K84" s="218" t="str">
        <f>INDEX(Odds!H:H,MATCH(J84,Odds!G:G,0))</f>
        <v>7/5</v>
      </c>
      <c r="L84" s="495">
        <f>INDEX(Odds!I:I,MATCH(J84,Odds!G:G,0))</f>
        <v>2.4</v>
      </c>
      <c r="M84" s="488">
        <f>INDEX(Odds!J:J,MATCH(J84,Odds!G:G,0))</f>
        <v>0</v>
      </c>
      <c r="N84" s="489">
        <f t="shared" si="12"/>
        <v>0</v>
      </c>
      <c r="O84" s="658"/>
      <c r="P84" s="62"/>
      <c r="R84" s="39" t="str">
        <f>IF(Odds!G84="","",Odds!G84)</f>
        <v>Wimbledon draw</v>
      </c>
      <c r="S84" s="40" t="str">
        <f>INDEX(Odds!H:H,MATCH(R84,Odds!G:G,0))</f>
        <v>23/10</v>
      </c>
      <c r="T84" s="44">
        <f t="shared" si="9"/>
        <v>1</v>
      </c>
      <c r="AB84" s="663" t="str">
        <f>IF(O84="","",INDEX(Odds!H:H,MATCH(O84,Odds!G:G,0)))</f>
        <v/>
      </c>
      <c r="AC84" s="695">
        <f>IF(J84="","",INDEX(Odds!K:K,MATCH(J84,Odds!G:G,0)))</f>
        <v>0</v>
      </c>
      <c r="AD84" s="63"/>
      <c r="AE84" s="63"/>
      <c r="AF84" s="482"/>
      <c r="AG84" s="63"/>
    </row>
    <row r="85" spans="1:33" ht="13.5" thickBot="1">
      <c r="A85" s="496" t="str">
        <f>A83</f>
        <v>Ian Davies</v>
      </c>
      <c r="B85" s="497" t="str">
        <f t="shared" si="10"/>
        <v>Middlesbro draw</v>
      </c>
      <c r="C85" s="587">
        <f>IF(J85="","",INDEX(Odds!C:C,MATCH(J85,Odds!G:G,0)))</f>
        <v>1</v>
      </c>
      <c r="D85" s="498">
        <f t="shared" si="11"/>
        <v>3.2</v>
      </c>
      <c r="E85" s="507" t="str">
        <f t="shared" si="13"/>
        <v>x</v>
      </c>
      <c r="F85" s="493"/>
      <c r="G85" s="504"/>
      <c r="H85" s="235"/>
      <c r="I85" s="412"/>
      <c r="J85" s="499" t="s">
        <v>606</v>
      </c>
      <c r="K85" s="219" t="str">
        <f>INDEX(Odds!H:H,MATCH(J85,Odds!G:G,0))</f>
        <v>11/5</v>
      </c>
      <c r="L85" s="500">
        <f>INDEX(Odds!I:I,MATCH(J85,Odds!G:G,0))</f>
        <v>3.2</v>
      </c>
      <c r="M85" s="488">
        <f>INDEX(Odds!J:J,MATCH(J85,Odds!G:G,0))</f>
        <v>0</v>
      </c>
      <c r="N85" s="501">
        <f t="shared" si="12"/>
        <v>0</v>
      </c>
      <c r="O85" s="659"/>
      <c r="P85" s="62"/>
      <c r="R85" s="39" t="str">
        <f>IF(Odds!G85="","",Odds!G85)</f>
        <v>Wycombe draw</v>
      </c>
      <c r="S85" s="40" t="str">
        <f>INDEX(Odds!H:H,MATCH(R85,Odds!G:G,0))</f>
        <v>29/10</v>
      </c>
      <c r="T85" s="44">
        <f t="shared" si="9"/>
        <v>1</v>
      </c>
      <c r="AB85" s="664" t="str">
        <f>IF(O85="","",INDEX(Odds!H:H,MATCH(O85,Odds!G:G,0)))</f>
        <v/>
      </c>
      <c r="AC85" s="695">
        <f>IF(J85="","",INDEX(Odds!K:K,MATCH(J85,Odds!G:G,0)))</f>
        <v>1</v>
      </c>
      <c r="AD85" s="63"/>
      <c r="AE85" s="63"/>
      <c r="AF85" s="482"/>
      <c r="AG85" s="63"/>
    </row>
    <row r="86" spans="1:33" ht="13.9" thickTop="1" thickBot="1">
      <c r="A86" s="484" t="str">
        <f>Results!B86</f>
        <v>Jack Walsh</v>
      </c>
      <c r="B86" s="502" t="str">
        <f t="shared" si="10"/>
        <v>Burnley draw</v>
      </c>
      <c r="C86" s="586">
        <f>IF(J86="","",INDEX(Odds!C:C,MATCH(J86,Odds!G:G,0)))</f>
        <v>1</v>
      </c>
      <c r="D86" s="485">
        <f t="shared" si="11"/>
        <v>3.2</v>
      </c>
      <c r="E86" s="508" t="str">
        <f t="shared" si="13"/>
        <v>√</v>
      </c>
      <c r="F86" s="415">
        <f>IF(J86="",-10,INDEX(Results!T:T,MATCH(A86,Results!V:V,0)))</f>
        <v>-1.3</v>
      </c>
      <c r="G86" s="216">
        <f>IF(J86="","",INDEX(Results!AI:AI,MATCH(A86,Results!V:V,0)))</f>
        <v>8.8249999999999993</v>
      </c>
      <c r="H86" s="235">
        <f>IF(G86="",0,1)</f>
        <v>1</v>
      </c>
      <c r="I86" s="411">
        <f>INDEX(Picks!AG:AG,MATCH(A86,Picks!AD:AD,0))</f>
        <v>30</v>
      </c>
      <c r="J86" s="486" t="s">
        <v>647</v>
      </c>
      <c r="K86" s="217" t="str">
        <f>INDEX(Odds!H:H,MATCH(J86,Odds!G:G,0))</f>
        <v>11/5</v>
      </c>
      <c r="L86" s="487">
        <f>INDEX(Odds!I:I,MATCH(J86,Odds!G:G,0))</f>
        <v>3.2</v>
      </c>
      <c r="M86" s="503">
        <f>INDEX(Odds!J:J,MATCH(J86,Odds!G:G,0))</f>
        <v>1</v>
      </c>
      <c r="N86" s="489">
        <f t="shared" si="12"/>
        <v>3.2</v>
      </c>
      <c r="O86" s="658"/>
      <c r="P86" s="62"/>
      <c r="R86" s="39" t="str">
        <f>IF(Odds!G86="","",Odds!G86)</f>
        <v>Bradford draw</v>
      </c>
      <c r="S86" s="40" t="str">
        <f>INDEX(Odds!H:H,MATCH(R86,Odds!G:G,0))</f>
        <v>9/4</v>
      </c>
      <c r="T86" s="44">
        <f t="shared" si="9"/>
        <v>1</v>
      </c>
      <c r="AB86" s="663" t="str">
        <f>IF(O86="","",INDEX(Odds!H:H,MATCH(O86,Odds!G:G,0)))</f>
        <v/>
      </c>
      <c r="AC86" s="695">
        <f>IF(J86="","",INDEX(Odds!K:K,MATCH(J86,Odds!G:G,0)))</f>
        <v>0</v>
      </c>
      <c r="AD86" s="63"/>
      <c r="AE86" s="63"/>
      <c r="AF86" s="482"/>
      <c r="AG86" s="63"/>
    </row>
    <row r="87" spans="1:33">
      <c r="A87" s="490" t="str">
        <f>A86</f>
        <v>Jack Walsh</v>
      </c>
      <c r="B87" s="491" t="str">
        <f t="shared" si="10"/>
        <v>Spurs</v>
      </c>
      <c r="C87" s="586">
        <f>IF(J87="","",INDEX(Odds!C:C,MATCH(J87,Odds!G:G,0)))</f>
        <v>1</v>
      </c>
      <c r="D87" s="492">
        <f t="shared" si="11"/>
        <v>1.7</v>
      </c>
      <c r="E87" s="507" t="str">
        <f t="shared" si="13"/>
        <v>√</v>
      </c>
      <c r="F87" s="493"/>
      <c r="G87" s="504"/>
      <c r="H87" s="235"/>
      <c r="I87" s="412"/>
      <c r="J87" s="486" t="s">
        <v>453</v>
      </c>
      <c r="K87" s="218" t="str">
        <f>INDEX(Odds!H:H,MATCH(J87,Odds!G:G,0))</f>
        <v>7/10</v>
      </c>
      <c r="L87" s="495">
        <f>INDEX(Odds!I:I,MATCH(J87,Odds!G:G,0))</f>
        <v>1.7</v>
      </c>
      <c r="M87" s="488">
        <f>INDEX(Odds!J:J,MATCH(J87,Odds!G:G,0))</f>
        <v>1</v>
      </c>
      <c r="N87" s="489">
        <f t="shared" si="12"/>
        <v>1.7</v>
      </c>
      <c r="O87" s="658"/>
      <c r="P87" s="62"/>
      <c r="R87" s="39" t="str">
        <f>IF(Odds!G87="","",Odds!G87)</f>
        <v>Bristol R draw</v>
      </c>
      <c r="S87" s="40" t="str">
        <f>INDEX(Odds!H:H,MATCH(R87,Odds!G:G,0))</f>
        <v>11/5</v>
      </c>
      <c r="T87" s="44">
        <f t="shared" si="9"/>
        <v>1</v>
      </c>
      <c r="AB87" s="663" t="str">
        <f>IF(O87="","",INDEX(Odds!H:H,MATCH(O87,Odds!G:G,0)))</f>
        <v/>
      </c>
      <c r="AC87" s="695">
        <f>IF(J87="","",INDEX(Odds!K:K,MATCH(J87,Odds!G:G,0)))</f>
        <v>1</v>
      </c>
      <c r="AD87" s="63"/>
      <c r="AE87" s="63"/>
      <c r="AF87" s="482"/>
      <c r="AG87" s="63"/>
    </row>
    <row r="88" spans="1:33" ht="13.5" thickBot="1">
      <c r="A88" s="496" t="str">
        <f>A86</f>
        <v>Jack Walsh</v>
      </c>
      <c r="B88" s="497" t="str">
        <f t="shared" si="10"/>
        <v>Villa draw</v>
      </c>
      <c r="C88" s="587">
        <f>IF(J88="","",INDEX(Odds!C:C,MATCH(J88,Odds!G:G,0)))</f>
        <v>1</v>
      </c>
      <c r="D88" s="498">
        <f t="shared" si="11"/>
        <v>3.75</v>
      </c>
      <c r="E88" s="507" t="str">
        <f t="shared" si="13"/>
        <v>x</v>
      </c>
      <c r="F88" s="493"/>
      <c r="G88" s="504"/>
      <c r="H88" s="235"/>
      <c r="I88" s="412"/>
      <c r="J88" s="499" t="s">
        <v>648</v>
      </c>
      <c r="K88" s="219" t="str">
        <f>INDEX(Odds!H:H,MATCH(J88,Odds!G:G,0))</f>
        <v>11/4</v>
      </c>
      <c r="L88" s="500">
        <f>INDEX(Odds!I:I,MATCH(J88,Odds!G:G,0))</f>
        <v>3.75</v>
      </c>
      <c r="M88" s="488">
        <f>INDEX(Odds!J:J,MATCH(J88,Odds!G:G,0))</f>
        <v>0</v>
      </c>
      <c r="N88" s="501">
        <f t="shared" si="12"/>
        <v>0</v>
      </c>
      <c r="O88" s="659"/>
      <c r="P88" s="62"/>
      <c r="R88" s="39" t="str">
        <f>IF(Odds!G88="","",Odds!G88)</f>
        <v>Carlisle draw</v>
      </c>
      <c r="S88" s="40" t="str">
        <f>INDEX(Odds!H:H,MATCH(R88,Odds!G:G,0))</f>
        <v>9/4</v>
      </c>
      <c r="T88" s="44">
        <f t="shared" si="9"/>
        <v>1</v>
      </c>
      <c r="AB88" s="664" t="str">
        <f>IF(O88="","",INDEX(Odds!H:H,MATCH(O88,Odds!G:G,0)))</f>
        <v/>
      </c>
      <c r="AC88" s="695">
        <f>IF(J88="","",INDEX(Odds!K:K,MATCH(J88,Odds!G:G,0)))</f>
        <v>1</v>
      </c>
      <c r="AD88" s="63"/>
      <c r="AE88" s="63"/>
      <c r="AF88" s="482"/>
      <c r="AG88" s="63"/>
    </row>
    <row r="89" spans="1:33" ht="13.9" thickTop="1" thickBot="1">
      <c r="A89" s="484" t="str">
        <f>Results!B89</f>
        <v>James Bell</v>
      </c>
      <c r="B89" s="502" t="str">
        <f t="shared" si="10"/>
        <v/>
      </c>
      <c r="C89" s="586" t="str">
        <f>IF(J89="","",INDEX(Odds!C:C,MATCH(J89,Odds!G:G,0)))</f>
        <v/>
      </c>
      <c r="D89" s="485" t="str">
        <f t="shared" si="11"/>
        <v/>
      </c>
      <c r="E89" s="508" t="str">
        <f t="shared" si="13"/>
        <v/>
      </c>
      <c r="F89" s="415">
        <f>IF(J89="",-10,INDEX(Results!T:T,MATCH(A89,Results!V:V,0)))</f>
        <v>-10</v>
      </c>
      <c r="G89" s="216" t="str">
        <f>IF(J89="","",INDEX(Results!AI:AI,MATCH(A89,Results!V:V,0)))</f>
        <v/>
      </c>
      <c r="H89" s="235">
        <f>IF(G89="",0,1)</f>
        <v>0</v>
      </c>
      <c r="I89" s="411" t="str">
        <f>INDEX(Picks!AG:AG,MATCH(A89,Picks!AD:AD,0))</f>
        <v/>
      </c>
      <c r="J89" s="486"/>
      <c r="K89" s="217" t="e">
        <f>INDEX(Odds!H:H,MATCH(J89,Odds!G:G,0))</f>
        <v>#N/A</v>
      </c>
      <c r="L89" s="487" t="e">
        <f>INDEX(Odds!I:I,MATCH(J89,Odds!G:G,0))</f>
        <v>#N/A</v>
      </c>
      <c r="M89" s="503" t="e">
        <f>INDEX(Odds!J:J,MATCH(J89,Odds!G:G,0))</f>
        <v>#N/A</v>
      </c>
      <c r="N89" s="489" t="e">
        <f t="shared" si="12"/>
        <v>#N/A</v>
      </c>
      <c r="O89" s="658"/>
      <c r="P89" s="62"/>
      <c r="R89" s="39" t="str">
        <f>IF(Odds!G89="","",Odds!G89)</f>
        <v>Colchester draw</v>
      </c>
      <c r="S89" s="40" t="str">
        <f>INDEX(Odds!H:H,MATCH(R89,Odds!G:G,0))</f>
        <v>12/5</v>
      </c>
      <c r="T89" s="44">
        <f t="shared" si="9"/>
        <v>1</v>
      </c>
      <c r="AB89" s="663" t="str">
        <f>IF(O89="","",INDEX(Odds!H:H,MATCH(O89,Odds!G:G,0)))</f>
        <v/>
      </c>
      <c r="AC89" s="695" t="str">
        <f>IF(J89="","",INDEX(Odds!K:K,MATCH(J89,Odds!G:G,0)))</f>
        <v/>
      </c>
      <c r="AD89" s="63"/>
      <c r="AE89" s="63"/>
      <c r="AF89" s="482"/>
      <c r="AG89" s="63"/>
    </row>
    <row r="90" spans="1:33">
      <c r="A90" s="490" t="str">
        <f>A89</f>
        <v>James Bell</v>
      </c>
      <c r="B90" s="491" t="str">
        <f t="shared" si="10"/>
        <v/>
      </c>
      <c r="C90" s="586" t="str">
        <f>IF(J90="","",INDEX(Odds!C:C,MATCH(J90,Odds!G:G,0)))</f>
        <v/>
      </c>
      <c r="D90" s="492" t="str">
        <f t="shared" si="11"/>
        <v/>
      </c>
      <c r="E90" s="507" t="str">
        <f t="shared" si="13"/>
        <v/>
      </c>
      <c r="F90" s="493"/>
      <c r="G90" s="504"/>
      <c r="H90" s="235"/>
      <c r="I90" s="412"/>
      <c r="J90" s="486"/>
      <c r="K90" s="218" t="e">
        <f>INDEX(Odds!H:H,MATCH(J90,Odds!G:G,0))</f>
        <v>#N/A</v>
      </c>
      <c r="L90" s="495" t="e">
        <f>INDEX(Odds!I:I,MATCH(J90,Odds!G:G,0))</f>
        <v>#N/A</v>
      </c>
      <c r="M90" s="488" t="e">
        <f>INDEX(Odds!J:J,MATCH(J90,Odds!G:G,0))</f>
        <v>#N/A</v>
      </c>
      <c r="N90" s="489" t="e">
        <f t="shared" si="12"/>
        <v>#N/A</v>
      </c>
      <c r="O90" s="658"/>
      <c r="P90" s="62"/>
      <c r="R90" s="39" t="str">
        <f>IF(Odds!G90="","",Odds!G90)</f>
        <v>Exeter draw</v>
      </c>
      <c r="S90" s="40" t="str">
        <f>INDEX(Odds!H:H,MATCH(R90,Odds!G:G,0))</f>
        <v>12/5</v>
      </c>
      <c r="T90" s="44">
        <f t="shared" si="9"/>
        <v>1</v>
      </c>
      <c r="AB90" s="663" t="str">
        <f>IF(O90="","",INDEX(Odds!H:H,MATCH(O90,Odds!G:G,0)))</f>
        <v/>
      </c>
      <c r="AC90" s="695" t="str">
        <f>IF(J90="","",INDEX(Odds!K:K,MATCH(J90,Odds!G:G,0)))</f>
        <v/>
      </c>
      <c r="AD90" s="63"/>
      <c r="AE90" s="63"/>
      <c r="AF90" s="482"/>
      <c r="AG90" s="63"/>
    </row>
    <row r="91" spans="1:33" ht="13.5" thickBot="1">
      <c r="A91" s="496" t="str">
        <f>A89</f>
        <v>James Bell</v>
      </c>
      <c r="B91" s="497" t="str">
        <f t="shared" si="10"/>
        <v/>
      </c>
      <c r="C91" s="587" t="str">
        <f>IF(J91="","",INDEX(Odds!C:C,MATCH(J91,Odds!G:G,0)))</f>
        <v/>
      </c>
      <c r="D91" s="498" t="str">
        <f t="shared" si="11"/>
        <v/>
      </c>
      <c r="E91" s="507" t="str">
        <f t="shared" si="13"/>
        <v/>
      </c>
      <c r="F91" s="493"/>
      <c r="G91" s="504"/>
      <c r="H91" s="235"/>
      <c r="I91" s="412"/>
      <c r="J91" s="499"/>
      <c r="K91" s="219" t="e">
        <f>INDEX(Odds!H:H,MATCH(J91,Odds!G:G,0))</f>
        <v>#N/A</v>
      </c>
      <c r="L91" s="500" t="e">
        <f>INDEX(Odds!I:I,MATCH(J91,Odds!G:G,0))</f>
        <v>#N/A</v>
      </c>
      <c r="M91" s="488" t="e">
        <f>INDEX(Odds!J:J,MATCH(J91,Odds!G:G,0))</f>
        <v>#N/A</v>
      </c>
      <c r="N91" s="501" t="e">
        <f t="shared" si="12"/>
        <v>#N/A</v>
      </c>
      <c r="O91" s="659"/>
      <c r="P91" s="62"/>
      <c r="R91" s="39" t="str">
        <f>IF(Odds!G91="","",Odds!G91)</f>
        <v>Newport draw</v>
      </c>
      <c r="S91" s="40" t="str">
        <f>INDEX(Odds!H:H,MATCH(R91,Odds!G:G,0))</f>
        <v>9/4</v>
      </c>
      <c r="T91" s="44">
        <f t="shared" si="9"/>
        <v>1</v>
      </c>
      <c r="AB91" s="664" t="str">
        <f>IF(O91="","",INDEX(Odds!H:H,MATCH(O91,Odds!G:G,0)))</f>
        <v/>
      </c>
      <c r="AC91" s="695" t="str">
        <f>IF(J91="","",INDEX(Odds!K:K,MATCH(J91,Odds!G:G,0)))</f>
        <v/>
      </c>
      <c r="AD91" s="63"/>
      <c r="AE91" s="63"/>
      <c r="AF91" s="482"/>
      <c r="AG91" s="63"/>
    </row>
    <row r="92" spans="1:33" ht="13.9" thickTop="1" thickBot="1">
      <c r="A92" s="484" t="str">
        <f>Results!B92</f>
        <v>John Murphy</v>
      </c>
      <c r="B92" s="502" t="str">
        <f t="shared" si="10"/>
        <v>Accrington</v>
      </c>
      <c r="C92" s="586">
        <f>IF(J92="","",INDEX(Odds!C:C,MATCH(J92,Odds!G:G,0)))</f>
        <v>1</v>
      </c>
      <c r="D92" s="485">
        <f t="shared" si="11"/>
        <v>4</v>
      </c>
      <c r="E92" s="508" t="str">
        <f t="shared" si="13"/>
        <v>√</v>
      </c>
      <c r="F92" s="415">
        <f>IF(J92="",-10,INDEX(Results!T:T,MATCH(A92,Results!V:V,0)))</f>
        <v>5.0555555555555554</v>
      </c>
      <c r="G92" s="216">
        <f>IF(J92="","",INDEX(Results!AI:AI,MATCH(A92,Results!V:V,0)))</f>
        <v>44.222222222222221</v>
      </c>
      <c r="H92" s="235">
        <f>IF(G92="",0,1)</f>
        <v>1</v>
      </c>
      <c r="I92" s="411">
        <f>INDEX(Picks!AG:AG,MATCH(A92,Picks!AD:AD,0))</f>
        <v>9</v>
      </c>
      <c r="J92" s="486" t="s">
        <v>619</v>
      </c>
      <c r="K92" s="217" t="str">
        <f>INDEX(Odds!H:H,MATCH(J92,Odds!G:G,0))</f>
        <v>3/1</v>
      </c>
      <c r="L92" s="487">
        <f>INDEX(Odds!I:I,MATCH(J92,Odds!G:G,0))</f>
        <v>4</v>
      </c>
      <c r="M92" s="503">
        <f>INDEX(Odds!J:J,MATCH(J92,Odds!G:G,0))</f>
        <v>1</v>
      </c>
      <c r="N92" s="489">
        <f t="shared" si="12"/>
        <v>4</v>
      </c>
      <c r="O92" s="658"/>
      <c r="P92" s="62"/>
      <c r="R92" s="39" t="str">
        <f>IF(Odds!G92="","",Odds!G92)</f>
        <v>Northampton draw</v>
      </c>
      <c r="S92" s="40" t="str">
        <f>INDEX(Odds!H:H,MATCH(R92,Odds!G:G,0))</f>
        <v>23/10</v>
      </c>
      <c r="T92" s="44">
        <f t="shared" si="9"/>
        <v>1</v>
      </c>
      <c r="AB92" s="663" t="str">
        <f>IF(O92="","",INDEX(Odds!H:H,MATCH(O92,Odds!G:G,0)))</f>
        <v/>
      </c>
      <c r="AC92" s="695">
        <f>IF(J92="","",INDEX(Odds!K:K,MATCH(J92,Odds!G:G,0)))</f>
        <v>1</v>
      </c>
      <c r="AD92" s="63"/>
      <c r="AE92" s="63"/>
      <c r="AF92" s="482"/>
      <c r="AG92" s="63"/>
    </row>
    <row r="93" spans="1:33">
      <c r="A93" s="490" t="str">
        <f>A92</f>
        <v>John Murphy</v>
      </c>
      <c r="B93" s="491" t="str">
        <f t="shared" si="10"/>
        <v>Lincoln</v>
      </c>
      <c r="C93" s="586">
        <f>IF(J93="","",INDEX(Odds!C:C,MATCH(J93,Odds!G:G,0)))</f>
        <v>1</v>
      </c>
      <c r="D93" s="492">
        <f t="shared" si="11"/>
        <v>3</v>
      </c>
      <c r="E93" s="507" t="str">
        <f t="shared" si="13"/>
        <v>x</v>
      </c>
      <c r="F93" s="493"/>
      <c r="G93" s="504"/>
      <c r="H93" s="235"/>
      <c r="I93" s="412"/>
      <c r="J93" s="486" t="s">
        <v>622</v>
      </c>
      <c r="K93" s="218" t="str">
        <f>INDEX(Odds!H:H,MATCH(J93,Odds!G:G,0))</f>
        <v>2/1</v>
      </c>
      <c r="L93" s="495">
        <f>INDEX(Odds!I:I,MATCH(J93,Odds!G:G,0))</f>
        <v>3</v>
      </c>
      <c r="M93" s="488">
        <f>INDEX(Odds!J:J,MATCH(J93,Odds!G:G,0))</f>
        <v>0</v>
      </c>
      <c r="N93" s="489">
        <f t="shared" si="12"/>
        <v>0</v>
      </c>
      <c r="O93" s="658"/>
      <c r="P93" s="62"/>
      <c r="R93" s="45" t="str">
        <f>IF(Odds!G93="","",Odds!G93)</f>
        <v>Port Vale draw</v>
      </c>
      <c r="S93" s="46" t="str">
        <f>INDEX(Odds!H:H,MATCH(R93,Odds!G:G,0))</f>
        <v>23/10</v>
      </c>
      <c r="T93" s="47">
        <f t="shared" si="9"/>
        <v>1</v>
      </c>
      <c r="AB93" s="663" t="str">
        <f>IF(O93="","",INDEX(Odds!H:H,MATCH(O93,Odds!G:G,0)))</f>
        <v/>
      </c>
      <c r="AC93" s="695">
        <f>IF(J93="","",INDEX(Odds!K:K,MATCH(J93,Odds!G:G,0)))</f>
        <v>1</v>
      </c>
      <c r="AD93" s="63"/>
      <c r="AE93" s="63"/>
      <c r="AF93" s="482"/>
      <c r="AG93" s="63"/>
    </row>
    <row r="94" spans="1:33" ht="13.5" thickBot="1">
      <c r="A94" s="496" t="str">
        <f>A92</f>
        <v>John Murphy</v>
      </c>
      <c r="B94" s="497" t="str">
        <f t="shared" si="10"/>
        <v>Dagenham</v>
      </c>
      <c r="C94" s="587">
        <f>IF(J94="","",INDEX(Odds!C:C,MATCH(J94,Odds!G:G,0)))</f>
        <v>1</v>
      </c>
      <c r="D94" s="498">
        <f t="shared" si="11"/>
        <v>1.6111111111111112</v>
      </c>
      <c r="E94" s="507" t="str">
        <f t="shared" si="13"/>
        <v>√</v>
      </c>
      <c r="F94" s="493"/>
      <c r="G94" s="504"/>
      <c r="H94" s="235"/>
      <c r="I94" s="412"/>
      <c r="J94" s="499" t="s">
        <v>643</v>
      </c>
      <c r="K94" s="219" t="str">
        <f>INDEX(Odds!H:H,MATCH(J94,Odds!G:G,0))</f>
        <v>11/18</v>
      </c>
      <c r="L94" s="500">
        <f>INDEX(Odds!I:I,MATCH(J94,Odds!G:G,0))</f>
        <v>1.6111111111111112</v>
      </c>
      <c r="M94" s="488">
        <f>INDEX(Odds!J:J,MATCH(J94,Odds!G:G,0))</f>
        <v>1</v>
      </c>
      <c r="N94" s="501">
        <f t="shared" si="12"/>
        <v>1.6111111111111112</v>
      </c>
      <c r="O94" s="659"/>
      <c r="P94" s="62"/>
      <c r="R94" s="41" t="str">
        <f>IF(Odds!G94="","",Odds!G94)</f>
        <v>Brentford</v>
      </c>
      <c r="S94" s="42" t="str">
        <f>INDEX(Odds!H:H,MATCH(R94,Odds!G:G,0))</f>
        <v>16/5</v>
      </c>
      <c r="T94" s="43">
        <f t="shared" ref="T94:T139" si="14">IF(V2&lt;X2,1,0)</f>
        <v>0</v>
      </c>
      <c r="AB94" s="664" t="str">
        <f>IF(O94="","",INDEX(Odds!H:H,MATCH(O94,Odds!G:G,0)))</f>
        <v/>
      </c>
      <c r="AC94" s="695">
        <f>IF(J94="","",INDEX(Odds!K:K,MATCH(J94,Odds!G:G,0)))</f>
        <v>1</v>
      </c>
      <c r="AD94" s="63"/>
      <c r="AE94" s="63"/>
      <c r="AF94" s="482"/>
      <c r="AG94" s="63"/>
    </row>
    <row r="95" spans="1:33" ht="13.5" customHeight="1" thickTop="1" thickBot="1">
      <c r="A95" s="484" t="str">
        <f>Results!B95</f>
        <v>John Ronan</v>
      </c>
      <c r="B95" s="502" t="str">
        <f t="shared" si="10"/>
        <v>West Ham</v>
      </c>
      <c r="C95" s="586">
        <f>IF(J95="","",INDEX(Odds!C:C,MATCH(J95,Odds!G:G,0)))</f>
        <v>1</v>
      </c>
      <c r="D95" s="485">
        <f t="shared" si="11"/>
        <v>1.75</v>
      </c>
      <c r="E95" s="508" t="str">
        <f t="shared" si="13"/>
        <v>x</v>
      </c>
      <c r="F95" s="415">
        <f>IF(J95="",-10,INDEX(Results!T:T,MATCH(A95,Results!V:V,0)))</f>
        <v>-5.2777777777777777</v>
      </c>
      <c r="G95" s="216">
        <f>IF(J95="","",INDEX(Results!AI:AI,MATCH(A95,Results!V:V,0)))</f>
        <v>25.6875</v>
      </c>
      <c r="H95" s="235">
        <f>IF(G95="",0,1)</f>
        <v>1</v>
      </c>
      <c r="I95" s="411">
        <f>INDEX(Picks!AG:AG,MATCH(A95,Picks!AD:AD,0))</f>
        <v>47</v>
      </c>
      <c r="J95" s="486" t="s">
        <v>452</v>
      </c>
      <c r="K95" s="217" t="str">
        <f>INDEX(Odds!H:H,MATCH(J95,Odds!G:G,0))</f>
        <v>3/4</v>
      </c>
      <c r="L95" s="487">
        <f>INDEX(Odds!I:I,MATCH(J95,Odds!G:G,0))</f>
        <v>1.75</v>
      </c>
      <c r="M95" s="503">
        <f>INDEX(Odds!J:J,MATCH(J95,Odds!G:G,0))</f>
        <v>0</v>
      </c>
      <c r="N95" s="489">
        <f t="shared" si="12"/>
        <v>0</v>
      </c>
      <c r="O95" s="658"/>
      <c r="P95" s="62"/>
      <c r="R95" s="39" t="str">
        <f>IF(Odds!G95="","",Odds!G95)</f>
        <v>Leicester</v>
      </c>
      <c r="S95" s="40" t="str">
        <f>INDEX(Odds!H:H,MATCH(R95,Odds!G:G,0))</f>
        <v>12/1</v>
      </c>
      <c r="T95" s="44">
        <f t="shared" si="14"/>
        <v>0</v>
      </c>
      <c r="AB95" s="663" t="str">
        <f>IF(O95="","",INDEX(Odds!H:H,MATCH(O95,Odds!G:G,0)))</f>
        <v/>
      </c>
      <c r="AC95" s="695">
        <f>IF(J95="","",INDEX(Odds!K:K,MATCH(J95,Odds!G:G,0)))</f>
        <v>1</v>
      </c>
      <c r="AD95" s="63"/>
      <c r="AE95" s="63"/>
      <c r="AF95" s="482"/>
      <c r="AG95" s="63"/>
    </row>
    <row r="96" spans="1:33">
      <c r="A96" s="490" t="str">
        <f>A95</f>
        <v>John Ronan</v>
      </c>
      <c r="B96" s="491" t="str">
        <f t="shared" si="10"/>
        <v>Forest</v>
      </c>
      <c r="C96" s="586">
        <f>IF(J96="","",INDEX(Odds!C:C,MATCH(J96,Odds!G:G,0)))</f>
        <v>1</v>
      </c>
      <c r="D96" s="492">
        <f t="shared" si="11"/>
        <v>3.5</v>
      </c>
      <c r="E96" s="507" t="str">
        <f t="shared" si="13"/>
        <v>x</v>
      </c>
      <c r="F96" s="493"/>
      <c r="G96" s="504"/>
      <c r="H96" s="235"/>
      <c r="I96" s="412"/>
      <c r="J96" s="486" t="s">
        <v>583</v>
      </c>
      <c r="K96" s="218" t="str">
        <f>INDEX(Odds!H:H,MATCH(J96,Odds!G:G,0))</f>
        <v>5/2</v>
      </c>
      <c r="L96" s="495">
        <f>INDEX(Odds!I:I,MATCH(J96,Odds!G:G,0))</f>
        <v>3.5</v>
      </c>
      <c r="M96" s="488">
        <f>INDEX(Odds!J:J,MATCH(J96,Odds!G:G,0))</f>
        <v>0</v>
      </c>
      <c r="N96" s="489">
        <f t="shared" si="12"/>
        <v>0</v>
      </c>
      <c r="O96" s="658"/>
      <c r="P96" s="62"/>
      <c r="R96" s="39" t="str">
        <f>IF(Odds!G96="","",Odds!G96)</f>
        <v>Arsenal</v>
      </c>
      <c r="S96" s="40" t="str">
        <f>INDEX(Odds!H:H,MATCH(R96,Odds!G:G,0))</f>
        <v>4/9</v>
      </c>
      <c r="T96" s="44">
        <f t="shared" si="14"/>
        <v>1</v>
      </c>
      <c r="AB96" s="663" t="str">
        <f>IF(O96="","",INDEX(Odds!H:H,MATCH(O96,Odds!G:G,0)))</f>
        <v/>
      </c>
      <c r="AC96" s="695">
        <f>IF(J96="","",INDEX(Odds!K:K,MATCH(J96,Odds!G:G,0)))</f>
        <v>1</v>
      </c>
      <c r="AD96" s="63"/>
      <c r="AE96" s="63"/>
      <c r="AF96" s="482"/>
      <c r="AG96" s="63"/>
    </row>
    <row r="97" spans="1:33" ht="13.5" thickBot="1">
      <c r="A97" s="496" t="str">
        <f>A95</f>
        <v>John Ronan</v>
      </c>
      <c r="B97" s="497" t="str">
        <f t="shared" si="10"/>
        <v>Stockport</v>
      </c>
      <c r="C97" s="587">
        <f>IF(J97="","",INDEX(Odds!C:C,MATCH(J97,Odds!G:G,0)))</f>
        <v>1</v>
      </c>
      <c r="D97" s="498">
        <f t="shared" si="11"/>
        <v>1.7222222222222223</v>
      </c>
      <c r="E97" s="507" t="str">
        <f t="shared" si="13"/>
        <v>√</v>
      </c>
      <c r="F97" s="493"/>
      <c r="G97" s="504"/>
      <c r="H97" s="235"/>
      <c r="I97" s="412"/>
      <c r="J97" s="499" t="s">
        <v>602</v>
      </c>
      <c r="K97" s="219" t="str">
        <f>INDEX(Odds!H:H,MATCH(J97,Odds!G:G,0))</f>
        <v>13/18</v>
      </c>
      <c r="L97" s="500">
        <f>INDEX(Odds!I:I,MATCH(J97,Odds!G:G,0))</f>
        <v>1.7222222222222223</v>
      </c>
      <c r="M97" s="488">
        <f>INDEX(Odds!J:J,MATCH(J97,Odds!G:G,0))</f>
        <v>1</v>
      </c>
      <c r="N97" s="501">
        <f t="shared" si="12"/>
        <v>1.7222222222222223</v>
      </c>
      <c r="O97" s="659"/>
      <c r="P97" s="62"/>
      <c r="R97" s="39" t="str">
        <f>IF(Odds!G97="","",Odds!G97)</f>
        <v>Palace</v>
      </c>
      <c r="S97" s="40" t="str">
        <f>INDEX(Odds!H:H,MATCH(R97,Odds!G:G,0))</f>
        <v>19/5</v>
      </c>
      <c r="T97" s="44">
        <f t="shared" si="14"/>
        <v>0</v>
      </c>
      <c r="AB97" s="664" t="str">
        <f>IF(O97="","",INDEX(Odds!H:H,MATCH(O97,Odds!G:G,0)))</f>
        <v/>
      </c>
      <c r="AC97" s="695">
        <f>IF(J97="","",INDEX(Odds!K:K,MATCH(J97,Odds!G:G,0)))</f>
        <v>1</v>
      </c>
      <c r="AD97" s="63"/>
      <c r="AE97" s="63"/>
      <c r="AF97" s="482"/>
      <c r="AG97" s="63"/>
    </row>
    <row r="98" spans="1:33" ht="13.9" thickTop="1" thickBot="1">
      <c r="A98" s="484" t="str">
        <f>Results!B98</f>
        <v>Kei Lok Ma</v>
      </c>
      <c r="B98" s="502" t="str">
        <f t="shared" si="10"/>
        <v>Brighton draw</v>
      </c>
      <c r="C98" s="586">
        <f>IF(J98="","",INDEX(Odds!C:C,MATCH(J98,Odds!G:G,0)))</f>
        <v>1</v>
      </c>
      <c r="D98" s="485">
        <f t="shared" si="11"/>
        <v>3.5</v>
      </c>
      <c r="E98" s="508" t="str">
        <f t="shared" si="13"/>
        <v>x</v>
      </c>
      <c r="F98" s="415">
        <f>IF(J98="",-10,INDEX(Results!T:T,MATCH(A98,Results!V:V,0)))</f>
        <v>-7</v>
      </c>
      <c r="G98" s="216">
        <f>IF(J98="","",INDEX(Results!AI:AI,MATCH(A98,Results!V:V,0)))</f>
        <v>49.712499999999999</v>
      </c>
      <c r="H98" s="235">
        <f>IF(G98="",0,1)</f>
        <v>1</v>
      </c>
      <c r="I98" s="411">
        <f>INDEX(Picks!AG:AG,MATCH(A98,Picks!AD:AD,0))</f>
        <v>50</v>
      </c>
      <c r="J98" s="486" t="s">
        <v>646</v>
      </c>
      <c r="K98" s="217" t="str">
        <f>INDEX(Odds!H:H,MATCH(J98,Odds!G:G,0))</f>
        <v>5/2</v>
      </c>
      <c r="L98" s="487">
        <f>INDEX(Odds!I:I,MATCH(J98,Odds!G:G,0))</f>
        <v>3.5</v>
      </c>
      <c r="M98" s="503">
        <f>INDEX(Odds!J:J,MATCH(J98,Odds!G:G,0))</f>
        <v>0</v>
      </c>
      <c r="N98" s="489">
        <f t="shared" ref="N98:N148" si="15">L98*M98</f>
        <v>0</v>
      </c>
      <c r="O98" s="658"/>
      <c r="P98" s="62"/>
      <c r="R98" s="39" t="str">
        <f>IF(Odds!G98="","",Odds!G98)</f>
        <v>Chelsea</v>
      </c>
      <c r="S98" s="40" t="str">
        <f>INDEX(Odds!H:H,MATCH(R98,Odds!G:G,0))</f>
        <v>8/13</v>
      </c>
      <c r="T98" s="44">
        <f t="shared" si="14"/>
        <v>1</v>
      </c>
      <c r="AB98" s="663" t="str">
        <f>IF(O98="","",INDEX(Odds!H:H,MATCH(O98,Odds!G:G,0)))</f>
        <v/>
      </c>
      <c r="AC98" s="695">
        <f>IF(J98="","",INDEX(Odds!K:K,MATCH(J98,Odds!G:G,0)))</f>
        <v>1</v>
      </c>
      <c r="AD98" s="63"/>
      <c r="AE98" s="63"/>
      <c r="AF98" s="482"/>
      <c r="AG98" s="63"/>
    </row>
    <row r="99" spans="1:33">
      <c r="A99" s="490" t="str">
        <f>A98</f>
        <v>Kei Lok Ma</v>
      </c>
      <c r="B99" s="491" t="str">
        <f t="shared" si="10"/>
        <v>Villa draw</v>
      </c>
      <c r="C99" s="586">
        <f>IF(J99="","",INDEX(Odds!C:C,MATCH(J99,Odds!G:G,0)))</f>
        <v>1</v>
      </c>
      <c r="D99" s="492">
        <f t="shared" si="11"/>
        <v>3.75</v>
      </c>
      <c r="E99" s="507" t="str">
        <f t="shared" si="13"/>
        <v>x</v>
      </c>
      <c r="F99" s="493"/>
      <c r="G99" s="504"/>
      <c r="H99" s="235"/>
      <c r="I99" s="412"/>
      <c r="J99" s="486" t="s">
        <v>648</v>
      </c>
      <c r="K99" s="218" t="str">
        <f>INDEX(Odds!H:H,MATCH(J99,Odds!G:G,0))</f>
        <v>11/4</v>
      </c>
      <c r="L99" s="495">
        <f>INDEX(Odds!I:I,MATCH(J99,Odds!G:G,0))</f>
        <v>3.75</v>
      </c>
      <c r="M99" s="488">
        <f>INDEX(Odds!J:J,MATCH(J99,Odds!G:G,0))</f>
        <v>0</v>
      </c>
      <c r="N99" s="489">
        <f t="shared" si="15"/>
        <v>0</v>
      </c>
      <c r="O99" s="658"/>
      <c r="P99" s="62"/>
      <c r="R99" s="39" t="str">
        <f>IF(Odds!G99="","",Odds!G99)</f>
        <v>Southampton</v>
      </c>
      <c r="S99" s="40" t="str">
        <f>INDEX(Odds!H:H,MATCH(R99,Odds!G:G,0))</f>
        <v>17/5</v>
      </c>
      <c r="T99" s="44">
        <f t="shared" si="14"/>
        <v>1</v>
      </c>
      <c r="AB99" s="663" t="str">
        <f>IF(O99="","",INDEX(Odds!H:H,MATCH(O99,Odds!G:G,0)))</f>
        <v/>
      </c>
      <c r="AC99" s="695">
        <f>IF(J99="","",INDEX(Odds!K:K,MATCH(J99,Odds!G:G,0)))</f>
        <v>1</v>
      </c>
      <c r="AD99" s="63"/>
      <c r="AE99" s="63"/>
      <c r="AF99" s="482"/>
      <c r="AG99" s="63"/>
    </row>
    <row r="100" spans="1:33" ht="13.5" thickBot="1">
      <c r="A100" s="496" t="str">
        <f>A98</f>
        <v>Kei Lok Ma</v>
      </c>
      <c r="B100" s="497" t="str">
        <f t="shared" si="10"/>
        <v>Bromley</v>
      </c>
      <c r="C100" s="587">
        <f>IF(J100="","",INDEX(Odds!C:C,MATCH(J100,Odds!G:G,0)))</f>
        <v>1</v>
      </c>
      <c r="D100" s="498">
        <f t="shared" si="11"/>
        <v>1.7</v>
      </c>
      <c r="E100" s="507" t="str">
        <f t="shared" si="13"/>
        <v>x</v>
      </c>
      <c r="F100" s="493"/>
      <c r="G100" s="504"/>
      <c r="H100" s="235"/>
      <c r="I100" s="412"/>
      <c r="J100" s="499" t="s">
        <v>641</v>
      </c>
      <c r="K100" s="219" t="str">
        <f>INDEX(Odds!H:H,MATCH(J100,Odds!G:G,0))</f>
        <v>7/10</v>
      </c>
      <c r="L100" s="500">
        <f>INDEX(Odds!I:I,MATCH(J100,Odds!G:G,0))</f>
        <v>1.7</v>
      </c>
      <c r="M100" s="488">
        <f>INDEX(Odds!J:J,MATCH(J100,Odds!G:G,0))</f>
        <v>0</v>
      </c>
      <c r="N100" s="501">
        <f t="shared" si="15"/>
        <v>0</v>
      </c>
      <c r="O100" s="659"/>
      <c r="P100" s="62"/>
      <c r="R100" s="39" t="str">
        <f>IF(Odds!G100="","",Odds!G100)</f>
        <v>Blackpool</v>
      </c>
      <c r="S100" s="40" t="str">
        <f>INDEX(Odds!H:H,MATCH(R100,Odds!G:G,0))</f>
        <v>5/2</v>
      </c>
      <c r="T100" s="44">
        <f t="shared" si="14"/>
        <v>0</v>
      </c>
      <c r="AB100" s="664" t="str">
        <f>IF(O100="","",INDEX(Odds!H:H,MATCH(O100,Odds!G:G,0)))</f>
        <v/>
      </c>
      <c r="AC100" s="695">
        <f>IF(J100="","",INDEX(Odds!K:K,MATCH(J100,Odds!G:G,0)))</f>
        <v>1</v>
      </c>
      <c r="AD100" s="63"/>
      <c r="AE100" s="63"/>
      <c r="AF100" s="482"/>
      <c r="AG100" s="63"/>
    </row>
    <row r="101" spans="1:33" ht="13.9" thickTop="1" thickBot="1">
      <c r="A101" s="484" t="str">
        <f>Results!B101</f>
        <v>Kevin Carter</v>
      </c>
      <c r="B101" s="502" t="str">
        <f t="shared" si="10"/>
        <v>Spurs</v>
      </c>
      <c r="C101" s="586">
        <f>IF(J101="","",INDEX(Odds!C:C,MATCH(J101,Odds!G:G,0)))</f>
        <v>1</v>
      </c>
      <c r="D101" s="485">
        <f t="shared" si="11"/>
        <v>1.7</v>
      </c>
      <c r="E101" s="508" t="str">
        <f t="shared" si="13"/>
        <v>√</v>
      </c>
      <c r="F101" s="415">
        <f>IF(J101="",-10,INDEX(Results!T:T,MATCH(A101,Results!V:V,0)))</f>
        <v>14.207499999999996</v>
      </c>
      <c r="G101" s="216">
        <f>IF(J101="","",INDEX(Results!AI:AI,MATCH(A101,Results!V:V,0)))</f>
        <v>14.207499999999996</v>
      </c>
      <c r="H101" s="235">
        <f>IF(G101="",0,1)</f>
        <v>1</v>
      </c>
      <c r="I101" s="411">
        <f>INDEX(Picks!AG:AG,MATCH(A101,Picks!AD:AD,0))</f>
        <v>5</v>
      </c>
      <c r="J101" s="486" t="s">
        <v>453</v>
      </c>
      <c r="K101" s="217" t="str">
        <f>INDEX(Odds!H:H,MATCH(J101,Odds!G:G,0))</f>
        <v>7/10</v>
      </c>
      <c r="L101" s="487">
        <f>INDEX(Odds!I:I,MATCH(J101,Odds!G:G,0))</f>
        <v>1.7</v>
      </c>
      <c r="M101" s="503">
        <f>INDEX(Odds!J:J,MATCH(J101,Odds!G:G,0))</f>
        <v>1</v>
      </c>
      <c r="N101" s="489">
        <f t="shared" si="15"/>
        <v>1.7</v>
      </c>
      <c r="O101" s="658"/>
      <c r="P101" s="62"/>
      <c r="R101" s="39" t="str">
        <f>IF(Odds!G101="","",Odds!G101)</f>
        <v>Forest</v>
      </c>
      <c r="S101" s="40" t="str">
        <f>INDEX(Odds!H:H,MATCH(R101,Odds!G:G,0))</f>
        <v>5/2</v>
      </c>
      <c r="T101" s="44">
        <f t="shared" si="14"/>
        <v>0</v>
      </c>
      <c r="AB101" s="663" t="str">
        <f>IF(O101="","",INDEX(Odds!H:H,MATCH(O101,Odds!G:G,0)))</f>
        <v/>
      </c>
      <c r="AC101" s="695">
        <f>IF(J101="","",INDEX(Odds!K:K,MATCH(J101,Odds!G:G,0)))</f>
        <v>1</v>
      </c>
      <c r="AD101" s="63"/>
      <c r="AE101" s="63"/>
      <c r="AF101" s="482"/>
      <c r="AG101" s="63"/>
    </row>
    <row r="102" spans="1:33">
      <c r="A102" s="490" t="str">
        <f>A101</f>
        <v>Kevin Carter</v>
      </c>
      <c r="B102" s="491" t="str">
        <f t="shared" si="10"/>
        <v>Dagenham</v>
      </c>
      <c r="C102" s="586">
        <f>IF(J102="","",INDEX(Odds!C:C,MATCH(J102,Odds!G:G,0)))</f>
        <v>1</v>
      </c>
      <c r="D102" s="492">
        <f t="shared" si="11"/>
        <v>1.6111111111111112</v>
      </c>
      <c r="E102" s="507" t="str">
        <f t="shared" si="13"/>
        <v>√</v>
      </c>
      <c r="F102" s="493"/>
      <c r="G102" s="504"/>
      <c r="H102" s="235"/>
      <c r="I102" s="412"/>
      <c r="J102" s="486" t="s">
        <v>643</v>
      </c>
      <c r="K102" s="218" t="str">
        <f>INDEX(Odds!H:H,MATCH(J102,Odds!G:G,0))</f>
        <v>11/18</v>
      </c>
      <c r="L102" s="495">
        <f>INDEX(Odds!I:I,MATCH(J102,Odds!G:G,0))</f>
        <v>1.6111111111111112</v>
      </c>
      <c r="M102" s="488">
        <f>INDEX(Odds!J:J,MATCH(J102,Odds!G:G,0))</f>
        <v>1</v>
      </c>
      <c r="N102" s="489">
        <f t="shared" si="15"/>
        <v>1.6111111111111112</v>
      </c>
      <c r="O102" s="658"/>
      <c r="P102" s="62"/>
      <c r="R102" s="39" t="str">
        <f>IF(Odds!G102="","",Odds!G102)</f>
        <v>Rotherham</v>
      </c>
      <c r="S102" s="40" t="str">
        <f>INDEX(Odds!H:H,MATCH(R102,Odds!G:G,0))</f>
        <v>4/5</v>
      </c>
      <c r="T102" s="44">
        <f t="shared" si="14"/>
        <v>0</v>
      </c>
      <c r="AB102" s="663" t="str">
        <f>IF(O102="","",INDEX(Odds!H:H,MATCH(O102,Odds!G:G,0)))</f>
        <v/>
      </c>
      <c r="AC102" s="695">
        <f>IF(J102="","",INDEX(Odds!K:K,MATCH(J102,Odds!G:G,0)))</f>
        <v>1</v>
      </c>
      <c r="AD102" s="63"/>
      <c r="AE102" s="63"/>
      <c r="AF102" s="482"/>
      <c r="AG102" s="63"/>
    </row>
    <row r="103" spans="1:33" ht="13.5" thickBot="1">
      <c r="A103" s="496" t="str">
        <f>A101</f>
        <v>Kevin Carter</v>
      </c>
      <c r="B103" s="497" t="str">
        <f t="shared" si="10"/>
        <v>Tranmere</v>
      </c>
      <c r="C103" s="587">
        <f>IF(J103="","",INDEX(Odds!C:C,MATCH(J103,Odds!G:G,0)))</f>
        <v>1</v>
      </c>
      <c r="D103" s="498">
        <f t="shared" si="11"/>
        <v>2.15</v>
      </c>
      <c r="E103" s="507" t="str">
        <f t="shared" si="13"/>
        <v>√</v>
      </c>
      <c r="F103" s="493"/>
      <c r="G103" s="504"/>
      <c r="H103" s="235"/>
      <c r="I103" s="412"/>
      <c r="J103" s="499" t="s">
        <v>559</v>
      </c>
      <c r="K103" s="219" t="str">
        <f>INDEX(Odds!H:H,MATCH(J103,Odds!G:G,0))</f>
        <v>23/20</v>
      </c>
      <c r="L103" s="500">
        <f>INDEX(Odds!I:I,MATCH(J103,Odds!G:G,0))</f>
        <v>2.15</v>
      </c>
      <c r="M103" s="488">
        <f>INDEX(Odds!J:J,MATCH(J103,Odds!G:G,0))</f>
        <v>1</v>
      </c>
      <c r="N103" s="501">
        <f t="shared" si="15"/>
        <v>2.15</v>
      </c>
      <c r="O103" s="659"/>
      <c r="P103" s="62"/>
      <c r="R103" s="39" t="str">
        <f>IF(Odds!G103="","",Odds!G103)</f>
        <v>Plymouth</v>
      </c>
      <c r="S103" s="40" t="str">
        <f>INDEX(Odds!H:H,MATCH(R103,Odds!G:G,0))</f>
        <v>13/10</v>
      </c>
      <c r="T103" s="44">
        <f t="shared" si="14"/>
        <v>1</v>
      </c>
      <c r="AB103" s="664" t="str">
        <f>IF(O103="","",INDEX(Odds!H:H,MATCH(O103,Odds!G:G,0)))</f>
        <v/>
      </c>
      <c r="AC103" s="695">
        <f>IF(J103="","",INDEX(Odds!K:K,MATCH(J103,Odds!G:G,0)))</f>
        <v>1</v>
      </c>
      <c r="AD103" s="63"/>
      <c r="AE103" s="63"/>
      <c r="AF103" s="482"/>
      <c r="AG103" s="63"/>
    </row>
    <row r="104" spans="1:33" ht="13.9" thickTop="1" thickBot="1">
      <c r="A104" s="484" t="str">
        <f>Results!B104</f>
        <v>Lennie Bow</v>
      </c>
      <c r="B104" s="502" t="str">
        <f t="shared" si="10"/>
        <v>Tranmere</v>
      </c>
      <c r="C104" s="586">
        <f>IF(J104="","",INDEX(Odds!C:C,MATCH(J104,Odds!G:G,0)))</f>
        <v>1</v>
      </c>
      <c r="D104" s="485">
        <f t="shared" si="11"/>
        <v>2.15</v>
      </c>
      <c r="E104" s="508" t="str">
        <f t="shared" si="13"/>
        <v>√</v>
      </c>
      <c r="F104" s="415">
        <f>IF(J104="",-10,INDEX(Results!T:T,MATCH(A104,Results!V:V,0)))</f>
        <v>0.57500000000000018</v>
      </c>
      <c r="G104" s="216">
        <f>IF(J104="","",INDEX(Results!AI:AI,MATCH(A104,Results!V:V,0)))</f>
        <v>15.1525</v>
      </c>
      <c r="H104" s="235">
        <f>IF(G104="",0,1)</f>
        <v>1</v>
      </c>
      <c r="I104" s="411">
        <f>INDEX(Picks!AG:AG,MATCH(A104,Picks!AD:AD,0))</f>
        <v>17</v>
      </c>
      <c r="J104" s="486" t="s">
        <v>559</v>
      </c>
      <c r="K104" s="217" t="str">
        <f>INDEX(Odds!H:H,MATCH(J104,Odds!G:G,0))</f>
        <v>23/20</v>
      </c>
      <c r="L104" s="487">
        <f>INDEX(Odds!I:I,MATCH(J104,Odds!G:G,0))</f>
        <v>2.15</v>
      </c>
      <c r="M104" s="503">
        <f>INDEX(Odds!J:J,MATCH(J104,Odds!G:G,0))</f>
        <v>1</v>
      </c>
      <c r="N104" s="489">
        <f t="shared" si="15"/>
        <v>2.15</v>
      </c>
      <c r="O104" s="658"/>
      <c r="P104" s="62"/>
      <c r="R104" s="39" t="str">
        <f>IF(Odds!G104="","",Odds!G104)</f>
        <v>Shrewsbury</v>
      </c>
      <c r="S104" s="40" t="str">
        <f>INDEX(Odds!H:H,MATCH(R104,Odds!G:G,0))</f>
        <v>11/5</v>
      </c>
      <c r="T104" s="44">
        <f t="shared" si="14"/>
        <v>1</v>
      </c>
      <c r="AB104" s="663" t="str">
        <f>IF(O104="","",INDEX(Odds!H:H,MATCH(O104,Odds!G:G,0)))</f>
        <v/>
      </c>
      <c r="AC104" s="695">
        <f>IF(J104="","",INDEX(Odds!K:K,MATCH(J104,Odds!G:G,0)))</f>
        <v>1</v>
      </c>
      <c r="AD104" s="63"/>
      <c r="AE104" s="63"/>
      <c r="AF104" s="482"/>
      <c r="AG104" s="63"/>
    </row>
    <row r="105" spans="1:33">
      <c r="A105" s="490" t="str">
        <f>A104</f>
        <v>Lennie Bow</v>
      </c>
      <c r="B105" s="491" t="str">
        <f t="shared" si="10"/>
        <v>Bromley</v>
      </c>
      <c r="C105" s="586">
        <f>IF(J105="","",INDEX(Odds!C:C,MATCH(J105,Odds!G:G,0)))</f>
        <v>1</v>
      </c>
      <c r="D105" s="492">
        <f t="shared" si="11"/>
        <v>1.7</v>
      </c>
      <c r="E105" s="507" t="str">
        <f t="shared" si="13"/>
        <v>x</v>
      </c>
      <c r="F105" s="493"/>
      <c r="G105" s="504"/>
      <c r="H105" s="235"/>
      <c r="I105" s="412"/>
      <c r="J105" s="486" t="s">
        <v>641</v>
      </c>
      <c r="K105" s="218" t="str">
        <f>INDEX(Odds!H:H,MATCH(J105,Odds!G:G,0))</f>
        <v>7/10</v>
      </c>
      <c r="L105" s="495">
        <f>INDEX(Odds!I:I,MATCH(J105,Odds!G:G,0))</f>
        <v>1.7</v>
      </c>
      <c r="M105" s="488">
        <f>INDEX(Odds!J:J,MATCH(J105,Odds!G:G,0))</f>
        <v>0</v>
      </c>
      <c r="N105" s="489">
        <f t="shared" si="15"/>
        <v>0</v>
      </c>
      <c r="O105" s="658"/>
      <c r="P105" s="62"/>
      <c r="R105" s="39" t="str">
        <f>IF(Odds!G105="","",Odds!G105)</f>
        <v>MK Dons</v>
      </c>
      <c r="S105" s="40" t="str">
        <f>INDEX(Odds!H:H,MATCH(R105,Odds!G:G,0))</f>
        <v>5/4</v>
      </c>
      <c r="T105" s="44">
        <f t="shared" si="14"/>
        <v>1</v>
      </c>
      <c r="AB105" s="663" t="str">
        <f>IF(O105="","",INDEX(Odds!H:H,MATCH(O105,Odds!G:G,0)))</f>
        <v/>
      </c>
      <c r="AC105" s="695">
        <f>IF(J105="","",INDEX(Odds!K:K,MATCH(J105,Odds!G:G,0)))</f>
        <v>1</v>
      </c>
      <c r="AD105" s="63"/>
      <c r="AE105" s="63"/>
      <c r="AF105" s="482"/>
      <c r="AG105" s="63"/>
    </row>
    <row r="106" spans="1:33" ht="13.5" thickBot="1">
      <c r="A106" s="496" t="str">
        <f>A104</f>
        <v>Lennie Bow</v>
      </c>
      <c r="B106" s="497" t="str">
        <f t="shared" si="10"/>
        <v>Stockport</v>
      </c>
      <c r="C106" s="587">
        <f>IF(J106="","",INDEX(Odds!C:C,MATCH(J106,Odds!G:G,0)))</f>
        <v>1</v>
      </c>
      <c r="D106" s="498">
        <f t="shared" si="11"/>
        <v>1.7222222222222223</v>
      </c>
      <c r="E106" s="507" t="str">
        <f t="shared" si="13"/>
        <v>√</v>
      </c>
      <c r="F106" s="493"/>
      <c r="G106" s="504"/>
      <c r="H106" s="235"/>
      <c r="I106" s="412"/>
      <c r="J106" s="499" t="s">
        <v>602</v>
      </c>
      <c r="K106" s="219" t="str">
        <f>INDEX(Odds!H:H,MATCH(J106,Odds!G:G,0))</f>
        <v>13/18</v>
      </c>
      <c r="L106" s="500">
        <f>INDEX(Odds!I:I,MATCH(J106,Odds!G:G,0))</f>
        <v>1.7222222222222223</v>
      </c>
      <c r="M106" s="488">
        <f>INDEX(Odds!J:J,MATCH(J106,Odds!G:G,0))</f>
        <v>1</v>
      </c>
      <c r="N106" s="501">
        <f t="shared" si="15"/>
        <v>1.7222222222222223</v>
      </c>
      <c r="O106" s="659"/>
      <c r="P106" s="62"/>
      <c r="R106" s="39" t="str">
        <f>IF(Odds!G106="","",Odds!G106)</f>
        <v>Hartlepool</v>
      </c>
      <c r="S106" s="40" t="str">
        <f>INDEX(Odds!H:H,MATCH(R106,Odds!G:G,0))</f>
        <v>29/10</v>
      </c>
      <c r="T106" s="44">
        <f t="shared" si="14"/>
        <v>0</v>
      </c>
      <c r="AB106" s="664" t="str">
        <f>IF(O106="","",INDEX(Odds!H:H,MATCH(O106,Odds!G:G,0)))</f>
        <v/>
      </c>
      <c r="AC106" s="695">
        <f>IF(J106="","",INDEX(Odds!K:K,MATCH(J106,Odds!G:G,0)))</f>
        <v>1</v>
      </c>
      <c r="AD106" s="63"/>
      <c r="AE106" s="63"/>
      <c r="AF106" s="482"/>
      <c r="AG106" s="63"/>
    </row>
    <row r="107" spans="1:33" ht="13.9" thickTop="1" thickBot="1">
      <c r="A107" s="484" t="str">
        <f>Results!B107</f>
        <v>Liam Wah</v>
      </c>
      <c r="B107" s="502" t="str">
        <f t="shared" si="10"/>
        <v/>
      </c>
      <c r="C107" s="586" t="str">
        <f>IF(J107="","",INDEX(Odds!C:C,MATCH(J107,Odds!G:G,0)))</f>
        <v/>
      </c>
      <c r="D107" s="485" t="str">
        <f t="shared" si="11"/>
        <v/>
      </c>
      <c r="E107" s="508" t="str">
        <f t="shared" si="13"/>
        <v/>
      </c>
      <c r="F107" s="415">
        <f>IF(J107="",-10,INDEX(Results!T:T,MATCH(A107,Results!V:V,0)))</f>
        <v>-10</v>
      </c>
      <c r="G107" s="216" t="str">
        <f>IF(J107="","",INDEX(Results!AI:AI,MATCH(A107,Results!V:V,0)))</f>
        <v/>
      </c>
      <c r="H107" s="235">
        <f>IF(G107="",0,1)</f>
        <v>0</v>
      </c>
      <c r="I107" s="411" t="str">
        <f>INDEX(Picks!AG:AG,MATCH(A107,Picks!AD:AD,0))</f>
        <v/>
      </c>
      <c r="J107" s="486"/>
      <c r="K107" s="217" t="e">
        <f>INDEX(Odds!H:H,MATCH(J107,Odds!G:G,0))</f>
        <v>#N/A</v>
      </c>
      <c r="L107" s="487" t="e">
        <f>INDEX(Odds!I:I,MATCH(J107,Odds!G:G,0))</f>
        <v>#N/A</v>
      </c>
      <c r="M107" s="503" t="e">
        <f>INDEX(Odds!J:J,MATCH(J107,Odds!G:G,0))</f>
        <v>#N/A</v>
      </c>
      <c r="N107" s="489" t="e">
        <f t="shared" si="15"/>
        <v>#N/A</v>
      </c>
      <c r="O107" s="658"/>
      <c r="P107" s="62"/>
      <c r="R107" s="39" t="str">
        <f>IF(Odds!G107="","",Odds!G107)</f>
        <v>Scunthorpe</v>
      </c>
      <c r="S107" s="40" t="str">
        <f>INDEX(Odds!H:H,MATCH(R107,Odds!G:G,0))</f>
        <v>21/10</v>
      </c>
      <c r="T107" s="44">
        <f t="shared" si="14"/>
        <v>1</v>
      </c>
      <c r="AB107" s="663" t="str">
        <f>IF(O107="","",INDEX(Odds!H:H,MATCH(O107,Odds!G:G,0)))</f>
        <v/>
      </c>
      <c r="AC107" s="695" t="str">
        <f>IF(J107="","",INDEX(Odds!K:K,MATCH(J107,Odds!G:G,0)))</f>
        <v/>
      </c>
      <c r="AD107" s="63"/>
      <c r="AE107" s="63"/>
      <c r="AF107" s="482"/>
      <c r="AG107" s="63"/>
    </row>
    <row r="108" spans="1:33">
      <c r="A108" s="490" t="str">
        <f>A107</f>
        <v>Liam Wah</v>
      </c>
      <c r="B108" s="491" t="str">
        <f t="shared" si="10"/>
        <v/>
      </c>
      <c r="C108" s="586" t="str">
        <f>IF(J108="","",INDEX(Odds!C:C,MATCH(J108,Odds!G:G,0)))</f>
        <v/>
      </c>
      <c r="D108" s="492" t="str">
        <f t="shared" si="11"/>
        <v/>
      </c>
      <c r="E108" s="507" t="str">
        <f t="shared" si="13"/>
        <v/>
      </c>
      <c r="F108" s="493"/>
      <c r="G108" s="504"/>
      <c r="H108" s="235"/>
      <c r="I108" s="412"/>
      <c r="J108" s="486"/>
      <c r="K108" s="218" t="e">
        <f>INDEX(Odds!H:H,MATCH(J108,Odds!G:G,0))</f>
        <v>#N/A</v>
      </c>
      <c r="L108" s="495" t="e">
        <f>INDEX(Odds!I:I,MATCH(J108,Odds!G:G,0))</f>
        <v>#N/A</v>
      </c>
      <c r="M108" s="488" t="e">
        <f>INDEX(Odds!J:J,MATCH(J108,Odds!G:G,0))</f>
        <v>#N/A</v>
      </c>
      <c r="N108" s="489" t="e">
        <f t="shared" si="15"/>
        <v>#N/A</v>
      </c>
      <c r="O108" s="658"/>
      <c r="P108" s="62"/>
      <c r="R108" s="39" t="str">
        <f>IF(Odds!G108="","",Odds!G108)</f>
        <v>Barrow</v>
      </c>
      <c r="S108" s="40" t="str">
        <f>INDEX(Odds!H:H,MATCH(R108,Odds!G:G,0))</f>
        <v>23/10</v>
      </c>
      <c r="T108" s="44">
        <f t="shared" si="14"/>
        <v>0</v>
      </c>
      <c r="AB108" s="663" t="str">
        <f>IF(O108="","",INDEX(Odds!H:H,MATCH(O108,Odds!G:G,0)))</f>
        <v/>
      </c>
      <c r="AC108" s="695" t="str">
        <f>IF(J108="","",INDEX(Odds!K:K,MATCH(J108,Odds!G:G,0)))</f>
        <v/>
      </c>
      <c r="AD108" s="63"/>
      <c r="AE108" s="63"/>
      <c r="AF108" s="482"/>
      <c r="AG108" s="63"/>
    </row>
    <row r="109" spans="1:33" ht="13.5" thickBot="1">
      <c r="A109" s="496" t="str">
        <f>A107</f>
        <v>Liam Wah</v>
      </c>
      <c r="B109" s="497" t="str">
        <f t="shared" si="10"/>
        <v/>
      </c>
      <c r="C109" s="587" t="str">
        <f>IF(J109="","",INDEX(Odds!C:C,MATCH(J109,Odds!G:G,0)))</f>
        <v/>
      </c>
      <c r="D109" s="498" t="str">
        <f t="shared" si="11"/>
        <v/>
      </c>
      <c r="E109" s="507" t="str">
        <f t="shared" si="13"/>
        <v/>
      </c>
      <c r="F109" s="493"/>
      <c r="G109" s="504"/>
      <c r="H109" s="235"/>
      <c r="I109" s="412"/>
      <c r="J109" s="499"/>
      <c r="K109" s="219" t="e">
        <f>INDEX(Odds!H:H,MATCH(J109,Odds!G:G,0))</f>
        <v>#N/A</v>
      </c>
      <c r="L109" s="500" t="e">
        <f>INDEX(Odds!I:I,MATCH(J109,Odds!G:G,0))</f>
        <v>#N/A</v>
      </c>
      <c r="M109" s="488" t="e">
        <f>INDEX(Odds!J:J,MATCH(J109,Odds!G:G,0))</f>
        <v>#N/A</v>
      </c>
      <c r="N109" s="501" t="e">
        <f t="shared" si="15"/>
        <v>#N/A</v>
      </c>
      <c r="O109" s="659"/>
      <c r="P109" s="62"/>
      <c r="R109" s="39" t="str">
        <f>IF(Odds!G109="","",Odds!G109)</f>
        <v>Woking</v>
      </c>
      <c r="S109" s="40" t="str">
        <f>INDEX(Odds!H:H,MATCH(R109,Odds!G:G,0))</f>
        <v>7/4</v>
      </c>
      <c r="T109" s="44">
        <f t="shared" si="14"/>
        <v>0</v>
      </c>
      <c r="AB109" s="664" t="str">
        <f>IF(O109="","",INDEX(Odds!H:H,MATCH(O109,Odds!G:G,0)))</f>
        <v/>
      </c>
      <c r="AC109" s="695" t="str">
        <f>IF(J109="","",INDEX(Odds!K:K,MATCH(J109,Odds!G:G,0)))</f>
        <v/>
      </c>
      <c r="AD109" s="63"/>
      <c r="AE109" s="63"/>
      <c r="AF109" s="482"/>
      <c r="AG109" s="63"/>
    </row>
    <row r="110" spans="1:33" ht="13.9" thickTop="1" thickBot="1">
      <c r="A110" s="484" t="str">
        <f>Results!B110</f>
        <v>Mal Stott</v>
      </c>
      <c r="B110" s="502" t="str">
        <f t="shared" ref="B110:B163" si="16">IF(J110="","",J110)</f>
        <v>Shrewsbury</v>
      </c>
      <c r="C110" s="586">
        <f>IF(J110="","",INDEX(Odds!C:C,MATCH(J110,Odds!G:G,0)))</f>
        <v>1</v>
      </c>
      <c r="D110" s="485">
        <f t="shared" ref="D110:D163" si="17">IF(J110="","",L110)</f>
        <v>3.2</v>
      </c>
      <c r="E110" s="508" t="str">
        <f t="shared" si="13"/>
        <v>√</v>
      </c>
      <c r="F110" s="415">
        <f>IF(J110="",-10,INDEX(Results!T:T,MATCH(A110,Results!V:V,0)))</f>
        <v>14.680000000000003</v>
      </c>
      <c r="G110" s="216">
        <f>IF(J110="","",INDEX(Results!AI:AI,MATCH(A110,Results!V:V,0)))</f>
        <v>103.13200000000001</v>
      </c>
      <c r="H110" s="235">
        <f>IF(G110="",0,1)</f>
        <v>1</v>
      </c>
      <c r="I110" s="411">
        <f>INDEX(Picks!AG:AG,MATCH(A110,Picks!AD:AD,0))</f>
        <v>4</v>
      </c>
      <c r="J110" s="486" t="s">
        <v>588</v>
      </c>
      <c r="K110" s="217" t="str">
        <f>INDEX(Odds!H:H,MATCH(J110,Odds!G:G,0))</f>
        <v>11/5</v>
      </c>
      <c r="L110" s="487">
        <f>INDEX(Odds!I:I,MATCH(J110,Odds!G:G,0))</f>
        <v>3.2</v>
      </c>
      <c r="M110" s="503">
        <f>INDEX(Odds!J:J,MATCH(J110,Odds!G:G,0))</f>
        <v>1</v>
      </c>
      <c r="N110" s="489">
        <f t="shared" si="15"/>
        <v>3.2</v>
      </c>
      <c r="O110" s="658"/>
      <c r="P110" s="62"/>
      <c r="R110" s="39" t="str">
        <f>IF(Odds!G110="","",Odds!G110)</f>
        <v>Southend</v>
      </c>
      <c r="S110" s="40" t="str">
        <f>INDEX(Odds!H:H,MATCH(R110,Odds!G:G,0))</f>
        <v>15/4</v>
      </c>
      <c r="T110" s="44">
        <f t="shared" si="14"/>
        <v>0</v>
      </c>
      <c r="AB110" s="663" t="str">
        <f>IF(O110="","",INDEX(Odds!H:H,MATCH(O110,Odds!G:G,0)))</f>
        <v/>
      </c>
      <c r="AC110" s="695">
        <f>IF(J110="","",INDEX(Odds!K:K,MATCH(J110,Odds!G:G,0)))</f>
        <v>1</v>
      </c>
      <c r="AD110" s="63"/>
      <c r="AE110" s="63"/>
      <c r="AF110" s="482"/>
      <c r="AG110" s="63"/>
    </row>
    <row r="111" spans="1:33">
      <c r="A111" s="490" t="str">
        <f>A110</f>
        <v>Mal Stott</v>
      </c>
      <c r="B111" s="491" t="str">
        <f t="shared" si="16"/>
        <v>Southampton</v>
      </c>
      <c r="C111" s="586">
        <f>IF(J111="","",INDEX(Odds!C:C,MATCH(J111,Odds!G:G,0)))</f>
        <v>1</v>
      </c>
      <c r="D111" s="492">
        <f t="shared" si="17"/>
        <v>4.4000000000000004</v>
      </c>
      <c r="E111" s="507" t="str">
        <f t="shared" si="13"/>
        <v>√</v>
      </c>
      <c r="F111" s="493"/>
      <c r="G111" s="504"/>
      <c r="H111" s="235"/>
      <c r="I111" s="412"/>
      <c r="J111" s="486" t="s">
        <v>574</v>
      </c>
      <c r="K111" s="218" t="str">
        <f>INDEX(Odds!H:H,MATCH(J111,Odds!G:G,0))</f>
        <v>17/5</v>
      </c>
      <c r="L111" s="495">
        <f>INDEX(Odds!I:I,MATCH(J111,Odds!G:G,0))</f>
        <v>4.4000000000000004</v>
      </c>
      <c r="M111" s="488">
        <f>INDEX(Odds!J:J,MATCH(J111,Odds!G:G,0))</f>
        <v>1</v>
      </c>
      <c r="N111" s="489">
        <f t="shared" si="15"/>
        <v>4.4000000000000004</v>
      </c>
      <c r="O111" s="658"/>
      <c r="P111" s="62"/>
      <c r="R111" s="39" t="str">
        <f>IF(Odds!G111="","",Odds!G111)</f>
        <v>Dagenham</v>
      </c>
      <c r="S111" s="40" t="str">
        <f>INDEX(Odds!H:H,MATCH(R111,Odds!G:G,0))</f>
        <v>11/18</v>
      </c>
      <c r="T111" s="44">
        <f t="shared" si="14"/>
        <v>1</v>
      </c>
      <c r="AB111" s="663" t="str">
        <f>IF(O111="","",INDEX(Odds!H:H,MATCH(O111,Odds!G:G,0)))</f>
        <v/>
      </c>
      <c r="AC111" s="695">
        <f>IF(J111="","",INDEX(Odds!K:K,MATCH(J111,Odds!G:G,0)))</f>
        <v>1</v>
      </c>
      <c r="AD111" s="63"/>
      <c r="AE111" s="63"/>
      <c r="AF111" s="482"/>
      <c r="AG111" s="63"/>
    </row>
    <row r="112" spans="1:33" ht="13.5" thickBot="1">
      <c r="A112" s="496" t="str">
        <f>A110</f>
        <v>Mal Stott</v>
      </c>
      <c r="B112" s="497" t="str">
        <f t="shared" si="16"/>
        <v>Hartlepool</v>
      </c>
      <c r="C112" s="587">
        <f>IF(J112="","",INDEX(Odds!C:C,MATCH(J112,Odds!G:G,0)))</f>
        <v>1</v>
      </c>
      <c r="D112" s="498">
        <f t="shared" si="17"/>
        <v>3.9</v>
      </c>
      <c r="E112" s="507" t="str">
        <f t="shared" si="13"/>
        <v>x</v>
      </c>
      <c r="F112" s="493"/>
      <c r="G112" s="504"/>
      <c r="H112" s="235"/>
      <c r="I112" s="412"/>
      <c r="J112" s="499" t="s">
        <v>632</v>
      </c>
      <c r="K112" s="219" t="str">
        <f>INDEX(Odds!H:H,MATCH(J112,Odds!G:G,0))</f>
        <v>29/10</v>
      </c>
      <c r="L112" s="500">
        <f>INDEX(Odds!I:I,MATCH(J112,Odds!G:G,0))</f>
        <v>3.9</v>
      </c>
      <c r="M112" s="488">
        <f>INDEX(Odds!J:J,MATCH(J112,Odds!G:G,0))</f>
        <v>0</v>
      </c>
      <c r="N112" s="501">
        <f t="shared" si="15"/>
        <v>0</v>
      </c>
      <c r="O112" s="659"/>
      <c r="P112" s="62"/>
      <c r="R112" s="39" t="str">
        <f>IF(Odds!G112="","",Odds!G112)</f>
        <v>Altrincham</v>
      </c>
      <c r="S112" s="40" t="str">
        <f>INDEX(Odds!H:H,MATCH(R112,Odds!G:G,0))</f>
        <v>15/4</v>
      </c>
      <c r="T112" s="44">
        <f t="shared" si="14"/>
        <v>0</v>
      </c>
      <c r="AB112" s="664" t="str">
        <f>IF(O112="","",INDEX(Odds!H:H,MATCH(O112,Odds!G:G,0)))</f>
        <v/>
      </c>
      <c r="AC112" s="695">
        <f>IF(J112="","",INDEX(Odds!K:K,MATCH(J112,Odds!G:G,0)))</f>
        <v>1</v>
      </c>
      <c r="AD112" s="63"/>
      <c r="AE112" s="63"/>
      <c r="AF112" s="482"/>
      <c r="AG112" s="63"/>
    </row>
    <row r="113" spans="1:33" ht="13.9" thickTop="1" thickBot="1">
      <c r="A113" s="484" t="str">
        <f>Results!B113</f>
        <v>Mark Bunn</v>
      </c>
      <c r="B113" s="502" t="str">
        <f t="shared" si="16"/>
        <v>Middlesbro draw</v>
      </c>
      <c r="C113" s="586">
        <f>IF(J113="","",INDEX(Odds!C:C,MATCH(J113,Odds!G:G,0)))</f>
        <v>1</v>
      </c>
      <c r="D113" s="485">
        <f t="shared" si="17"/>
        <v>3.2</v>
      </c>
      <c r="E113" s="508" t="str">
        <f t="shared" si="13"/>
        <v>x</v>
      </c>
      <c r="F113" s="415">
        <f>IF(J113="",-10,INDEX(Results!T:T,MATCH(A113,Results!V:V,0)))</f>
        <v>-7</v>
      </c>
      <c r="G113" s="216">
        <f>IF(J113="","",INDEX(Results!AI:AI,MATCH(A113,Results!V:V,0)))</f>
        <v>78.503846153846155</v>
      </c>
      <c r="H113" s="235">
        <f>IF(G113="",0,1)</f>
        <v>1</v>
      </c>
      <c r="I113" s="411">
        <f>INDEX(Picks!AG:AG,MATCH(A113,Picks!AD:AD,0))</f>
        <v>50</v>
      </c>
      <c r="J113" s="486" t="s">
        <v>606</v>
      </c>
      <c r="K113" s="217" t="str">
        <f>INDEX(Odds!H:H,MATCH(J113,Odds!G:G,0))</f>
        <v>11/5</v>
      </c>
      <c r="L113" s="487">
        <f>INDEX(Odds!I:I,MATCH(J113,Odds!G:G,0))</f>
        <v>3.2</v>
      </c>
      <c r="M113" s="503">
        <f>INDEX(Odds!J:J,MATCH(J113,Odds!G:G,0))</f>
        <v>0</v>
      </c>
      <c r="N113" s="489">
        <f t="shared" si="15"/>
        <v>0</v>
      </c>
      <c r="O113" s="658"/>
      <c r="P113" s="62"/>
      <c r="R113" s="39" t="str">
        <f>IF(Odds!G113="","",Odds!G113)</f>
        <v>Yeovil</v>
      </c>
      <c r="S113" s="40" t="str">
        <f>INDEX(Odds!H:H,MATCH(R113,Odds!G:G,0))</f>
        <v>11/4</v>
      </c>
      <c r="T113" s="44">
        <f t="shared" si="14"/>
        <v>0</v>
      </c>
      <c r="AB113" s="663" t="str">
        <f>IF(O113="","",INDEX(Odds!H:H,MATCH(O113,Odds!G:G,0)))</f>
        <v/>
      </c>
      <c r="AC113" s="695">
        <f>IF(J113="","",INDEX(Odds!K:K,MATCH(J113,Odds!G:G,0)))</f>
        <v>1</v>
      </c>
      <c r="AD113" s="63"/>
      <c r="AE113" s="63"/>
      <c r="AF113" s="482"/>
      <c r="AG113" s="63"/>
    </row>
    <row r="114" spans="1:33">
      <c r="A114" s="490" t="str">
        <f>A113</f>
        <v>Mark Bunn</v>
      </c>
      <c r="B114" s="491" t="str">
        <f t="shared" si="16"/>
        <v>Fleetwood draw</v>
      </c>
      <c r="C114" s="586">
        <f>IF(J114="","",INDEX(Odds!C:C,MATCH(J114,Odds!G:G,0)))</f>
        <v>1</v>
      </c>
      <c r="D114" s="492">
        <f t="shared" si="17"/>
        <v>3.25</v>
      </c>
      <c r="E114" s="507" t="str">
        <f t="shared" si="13"/>
        <v>x</v>
      </c>
      <c r="F114" s="493"/>
      <c r="G114" s="504"/>
      <c r="H114" s="235"/>
      <c r="I114" s="412"/>
      <c r="J114" s="486" t="s">
        <v>655</v>
      </c>
      <c r="K114" s="218" t="str">
        <f>INDEX(Odds!H:H,MATCH(J114,Odds!G:G,0))</f>
        <v>9/4</v>
      </c>
      <c r="L114" s="495">
        <f>INDEX(Odds!I:I,MATCH(J114,Odds!G:G,0))</f>
        <v>3.25</v>
      </c>
      <c r="M114" s="488">
        <f>INDEX(Odds!J:J,MATCH(J114,Odds!G:G,0))</f>
        <v>0</v>
      </c>
      <c r="N114" s="489">
        <f t="shared" si="15"/>
        <v>0</v>
      </c>
      <c r="O114" s="658"/>
      <c r="P114" s="62"/>
      <c r="R114" s="39" t="str">
        <f>IF(Odds!G114="","",Odds!G114)</f>
        <v>Everton</v>
      </c>
      <c r="S114" s="40" t="str">
        <f>INDEX(Odds!H:H,MATCH(R114,Odds!G:G,0))</f>
        <v>2/1</v>
      </c>
      <c r="T114" s="44">
        <f t="shared" si="14"/>
        <v>0</v>
      </c>
      <c r="AB114" s="663" t="str">
        <f>IF(O114="","",INDEX(Odds!H:H,MATCH(O114,Odds!G:G,0)))</f>
        <v/>
      </c>
      <c r="AC114" s="695">
        <f>IF(J114="","",INDEX(Odds!K:K,MATCH(J114,Odds!G:G,0)))</f>
        <v>1</v>
      </c>
      <c r="AD114" s="63"/>
      <c r="AE114" s="63"/>
      <c r="AF114" s="482"/>
      <c r="AG114" s="63"/>
    </row>
    <row r="115" spans="1:33" ht="13.5" thickBot="1">
      <c r="A115" s="496" t="str">
        <f>A113</f>
        <v>Mark Bunn</v>
      </c>
      <c r="B115" s="497" t="str">
        <f t="shared" si="16"/>
        <v>Stockport draw</v>
      </c>
      <c r="C115" s="587">
        <f>IF(J115="","",INDEX(Odds!C:C,MATCH(J115,Odds!G:G,0)))</f>
        <v>1</v>
      </c>
      <c r="D115" s="498">
        <f t="shared" si="17"/>
        <v>3.8461538461538463</v>
      </c>
      <c r="E115" s="507" t="str">
        <f t="shared" si="13"/>
        <v>x</v>
      </c>
      <c r="F115" s="493"/>
      <c r="G115" s="504"/>
      <c r="H115" s="235"/>
      <c r="I115" s="412"/>
      <c r="J115" s="499" t="s">
        <v>656</v>
      </c>
      <c r="K115" s="219" t="str">
        <f>INDEX(Odds!H:H,MATCH(J115,Odds!G:G,0))</f>
        <v>37/13</v>
      </c>
      <c r="L115" s="500">
        <f>INDEX(Odds!I:I,MATCH(J115,Odds!G:G,0))</f>
        <v>3.8461538461538463</v>
      </c>
      <c r="M115" s="488">
        <f>INDEX(Odds!J:J,MATCH(J115,Odds!G:G,0))</f>
        <v>0</v>
      </c>
      <c r="N115" s="501">
        <f t="shared" si="15"/>
        <v>0</v>
      </c>
      <c r="O115" s="659"/>
      <c r="P115" s="62"/>
      <c r="R115" s="39" t="str">
        <f>IF(Odds!G115="","",Odds!G115)</f>
        <v>Leeds</v>
      </c>
      <c r="S115" s="40" t="str">
        <f>INDEX(Odds!H:H,MATCH(R115,Odds!G:G,0))</f>
        <v>16/1</v>
      </c>
      <c r="T115" s="44">
        <f t="shared" si="14"/>
        <v>0</v>
      </c>
      <c r="AB115" s="664" t="str">
        <f>IF(O115="","",INDEX(Odds!H:H,MATCH(O115,Odds!G:G,0)))</f>
        <v/>
      </c>
      <c r="AC115" s="695">
        <f>IF(J115="","",INDEX(Odds!K:K,MATCH(J115,Odds!G:G,0)))</f>
        <v>1</v>
      </c>
      <c r="AD115" s="63"/>
      <c r="AE115" s="63"/>
      <c r="AF115" s="482"/>
      <c r="AG115" s="63"/>
    </row>
    <row r="116" spans="1:33" ht="13.9" thickTop="1" thickBot="1">
      <c r="A116" s="484" t="str">
        <f>Results!B116</f>
        <v>Mark Saunders</v>
      </c>
      <c r="B116" s="502" t="str">
        <f t="shared" si="16"/>
        <v>West Ham</v>
      </c>
      <c r="C116" s="586">
        <f>IF(J116="","",INDEX(Odds!C:C,MATCH(J116,Odds!G:G,0)))</f>
        <v>1</v>
      </c>
      <c r="D116" s="485">
        <f t="shared" si="17"/>
        <v>1.75</v>
      </c>
      <c r="E116" s="508" t="str">
        <f t="shared" si="13"/>
        <v>x</v>
      </c>
      <c r="F116" s="415">
        <f>IF(J116="",-10,INDEX(Results!T:T,MATCH(A116,Results!V:V,0)))</f>
        <v>-2.0600000000000005</v>
      </c>
      <c r="G116" s="216">
        <f>IF(J116="","",INDEX(Results!AI:AI,MATCH(A116,Results!V:V,0)))</f>
        <v>8.3349999999999973</v>
      </c>
      <c r="H116" s="235">
        <f>IF(G116="",0,1)</f>
        <v>1</v>
      </c>
      <c r="I116" s="411">
        <f>INDEX(Picks!AG:AG,MATCH(A116,Picks!AD:AD,0))</f>
        <v>37</v>
      </c>
      <c r="J116" s="486" t="s">
        <v>452</v>
      </c>
      <c r="K116" s="217" t="str">
        <f>INDEX(Odds!H:H,MATCH(J116,Odds!G:G,0))</f>
        <v>3/4</v>
      </c>
      <c r="L116" s="487">
        <f>INDEX(Odds!I:I,MATCH(J116,Odds!G:G,0))</f>
        <v>1.75</v>
      </c>
      <c r="M116" s="503">
        <f>INDEX(Odds!J:J,MATCH(J116,Odds!G:G,0))</f>
        <v>0</v>
      </c>
      <c r="N116" s="489">
        <f t="shared" si="15"/>
        <v>0</v>
      </c>
      <c r="O116" s="658"/>
      <c r="P116" s="62"/>
      <c r="R116" s="39" t="str">
        <f>IF(Odds!G116="","",Odds!G116)</f>
        <v>Watford</v>
      </c>
      <c r="S116" s="40" t="str">
        <f>INDEX(Odds!H:H,MATCH(R116,Odds!G:G,0))</f>
        <v>10/3</v>
      </c>
      <c r="T116" s="44">
        <f t="shared" si="14"/>
        <v>0</v>
      </c>
      <c r="AB116" s="663" t="str">
        <f>IF(O116="","",INDEX(Odds!H:H,MATCH(O116,Odds!G:G,0)))</f>
        <v/>
      </c>
      <c r="AC116" s="695">
        <f>IF(J116="","",INDEX(Odds!K:K,MATCH(J116,Odds!G:G,0)))</f>
        <v>1</v>
      </c>
      <c r="AD116" s="63"/>
      <c r="AE116" s="63"/>
      <c r="AF116" s="482"/>
      <c r="AG116" s="63"/>
    </row>
    <row r="117" spans="1:33">
      <c r="A117" s="490" t="str">
        <f>A116</f>
        <v>Mark Saunders</v>
      </c>
      <c r="B117" s="491" t="str">
        <f t="shared" si="16"/>
        <v>Spurs</v>
      </c>
      <c r="C117" s="586">
        <f>IF(J117="","",INDEX(Odds!C:C,MATCH(J117,Odds!G:G,0)))</f>
        <v>1</v>
      </c>
      <c r="D117" s="492">
        <f t="shared" si="17"/>
        <v>1.7</v>
      </c>
      <c r="E117" s="507" t="str">
        <f t="shared" si="13"/>
        <v>√</v>
      </c>
      <c r="F117" s="493"/>
      <c r="G117" s="504"/>
      <c r="H117" s="235"/>
      <c r="I117" s="412"/>
      <c r="J117" s="486" t="s">
        <v>453</v>
      </c>
      <c r="K117" s="218" t="str">
        <f>INDEX(Odds!H:H,MATCH(J117,Odds!G:G,0))</f>
        <v>7/10</v>
      </c>
      <c r="L117" s="495">
        <f>INDEX(Odds!I:I,MATCH(J117,Odds!G:G,0))</f>
        <v>1.7</v>
      </c>
      <c r="M117" s="488">
        <f>INDEX(Odds!J:J,MATCH(J117,Odds!G:G,0))</f>
        <v>1</v>
      </c>
      <c r="N117" s="489">
        <f t="shared" si="15"/>
        <v>1.7</v>
      </c>
      <c r="O117" s="658"/>
      <c r="P117" s="62"/>
      <c r="R117" s="39" t="str">
        <f>IF(Odds!G117="","",Odds!G117)</f>
        <v>Stoke</v>
      </c>
      <c r="S117" s="40" t="str">
        <f>INDEX(Odds!H:H,MATCH(R117,Odds!G:G,0))</f>
        <v>6/5</v>
      </c>
      <c r="T117" s="44">
        <f t="shared" si="14"/>
        <v>0</v>
      </c>
      <c r="AB117" s="663" t="str">
        <f>IF(O117="","",INDEX(Odds!H:H,MATCH(O117,Odds!G:G,0)))</f>
        <v/>
      </c>
      <c r="AC117" s="695">
        <f>IF(J117="","",INDEX(Odds!K:K,MATCH(J117,Odds!G:G,0)))</f>
        <v>1</v>
      </c>
      <c r="AD117" s="63"/>
      <c r="AE117" s="63"/>
      <c r="AF117" s="482"/>
      <c r="AG117" s="63"/>
    </row>
    <row r="118" spans="1:33" ht="13.5" thickBot="1">
      <c r="A118" s="496" t="str">
        <f>A116</f>
        <v>Mark Saunders</v>
      </c>
      <c r="B118" s="497" t="str">
        <f t="shared" si="16"/>
        <v>Man C</v>
      </c>
      <c r="C118" s="587">
        <f>IF(J118="","",INDEX(Odds!C:C,MATCH(J118,Odds!G:G,0)))</f>
        <v>1</v>
      </c>
      <c r="D118" s="498">
        <f t="shared" si="17"/>
        <v>1.2</v>
      </c>
      <c r="E118" s="507" t="str">
        <f t="shared" si="13"/>
        <v>√</v>
      </c>
      <c r="F118" s="493"/>
      <c r="G118" s="504"/>
      <c r="H118" s="235"/>
      <c r="I118" s="412"/>
      <c r="J118" s="499" t="s">
        <v>593</v>
      </c>
      <c r="K118" s="219" t="str">
        <f>INDEX(Odds!H:H,MATCH(J118,Odds!G:G,0))</f>
        <v>1/5</v>
      </c>
      <c r="L118" s="500">
        <f>INDEX(Odds!I:I,MATCH(J118,Odds!G:G,0))</f>
        <v>1.2</v>
      </c>
      <c r="M118" s="488">
        <f>INDEX(Odds!J:J,MATCH(J118,Odds!G:G,0))</f>
        <v>1</v>
      </c>
      <c r="N118" s="501">
        <f t="shared" si="15"/>
        <v>1.2</v>
      </c>
      <c r="O118" s="659"/>
      <c r="P118" s="62"/>
      <c r="R118" s="39" t="str">
        <f>IF(Odds!G118="","",Odds!G118)</f>
        <v>Coventry</v>
      </c>
      <c r="S118" s="40" t="str">
        <f>INDEX(Odds!H:H,MATCH(R118,Odds!G:G,0))</f>
        <v>15/8</v>
      </c>
      <c r="T118" s="44">
        <f t="shared" si="14"/>
        <v>0</v>
      </c>
      <c r="AB118" s="664" t="str">
        <f>IF(O118="","",INDEX(Odds!H:H,MATCH(O118,Odds!G:G,0)))</f>
        <v/>
      </c>
      <c r="AC118" s="695">
        <f>IF(J118="","",INDEX(Odds!K:K,MATCH(J118,Odds!G:G,0)))</f>
        <v>1</v>
      </c>
      <c r="AD118" s="63"/>
      <c r="AE118" s="63"/>
      <c r="AF118" s="482"/>
      <c r="AG118" s="63"/>
    </row>
    <row r="119" spans="1:33" ht="13.9" thickTop="1" thickBot="1">
      <c r="A119" s="484" t="str">
        <f>Results!B119</f>
        <v>Martin Molyneux</v>
      </c>
      <c r="B119" s="502" t="str">
        <f t="shared" si="16"/>
        <v>Spurs</v>
      </c>
      <c r="C119" s="586">
        <f>IF(J119="","",INDEX(Odds!C:C,MATCH(J119,Odds!G:G,0)))</f>
        <v>1</v>
      </c>
      <c r="D119" s="485">
        <f t="shared" si="17"/>
        <v>1.7</v>
      </c>
      <c r="E119" s="508" t="str">
        <f t="shared" si="13"/>
        <v>√</v>
      </c>
      <c r="F119" s="415">
        <f>IF(J119="",-10,INDEX(Results!T:T,MATCH(A119,Results!V:V,0)))</f>
        <v>-1.4000000000000004</v>
      </c>
      <c r="G119" s="216">
        <f>IF(J119="","",INDEX(Results!AI:AI,MATCH(A119,Results!V:V,0)))</f>
        <v>10.149999999999999</v>
      </c>
      <c r="H119" s="235">
        <f>IF(G119="",0,1)</f>
        <v>1</v>
      </c>
      <c r="I119" s="411">
        <f>INDEX(Picks!AG:AG,MATCH(A119,Picks!AD:AD,0))</f>
        <v>32</v>
      </c>
      <c r="J119" s="486" t="s">
        <v>453</v>
      </c>
      <c r="K119" s="217" t="str">
        <f>INDEX(Odds!H:H,MATCH(J119,Odds!G:G,0))</f>
        <v>7/10</v>
      </c>
      <c r="L119" s="487">
        <f>INDEX(Odds!I:I,MATCH(J119,Odds!G:G,0))</f>
        <v>1.7</v>
      </c>
      <c r="M119" s="503">
        <f>INDEX(Odds!J:J,MATCH(J119,Odds!G:G,0))</f>
        <v>1</v>
      </c>
      <c r="N119" s="489">
        <f t="shared" si="15"/>
        <v>1.7</v>
      </c>
      <c r="O119" s="658"/>
      <c r="P119" s="62"/>
      <c r="R119" s="39" t="str">
        <f>IF(Odds!G119="","",Odds!G119)</f>
        <v>Birmingham</v>
      </c>
      <c r="S119" s="40" t="str">
        <f>INDEX(Odds!H:H,MATCH(R119,Odds!G:G,0))</f>
        <v>13/2</v>
      </c>
      <c r="T119" s="44">
        <f t="shared" si="14"/>
        <v>0</v>
      </c>
      <c r="AB119" s="663" t="str">
        <f>IF(O119="","",INDEX(Odds!H:H,MATCH(O119,Odds!G:G,0)))</f>
        <v/>
      </c>
      <c r="AC119" s="695">
        <f>IF(J119="","",INDEX(Odds!K:K,MATCH(J119,Odds!G:G,0)))</f>
        <v>1</v>
      </c>
      <c r="AD119" s="63"/>
      <c r="AE119" s="63"/>
      <c r="AF119" s="482"/>
      <c r="AG119" s="63"/>
    </row>
    <row r="120" spans="1:33">
      <c r="A120" s="490" t="str">
        <f>A119</f>
        <v>Martin Molyneux</v>
      </c>
      <c r="B120" s="491" t="str">
        <f t="shared" si="16"/>
        <v>Arsenal</v>
      </c>
      <c r="C120" s="586">
        <f>IF(J120="","",INDEX(Odds!C:C,MATCH(J120,Odds!G:G,0)))</f>
        <v>1</v>
      </c>
      <c r="D120" s="492">
        <f t="shared" si="17"/>
        <v>1.4444444444444444</v>
      </c>
      <c r="E120" s="507" t="str">
        <f t="shared" si="13"/>
        <v>√</v>
      </c>
      <c r="F120" s="493"/>
      <c r="G120" s="504"/>
      <c r="H120" s="235"/>
      <c r="I120" s="412"/>
      <c r="J120" s="486" t="s">
        <v>594</v>
      </c>
      <c r="K120" s="218" t="str">
        <f>INDEX(Odds!H:H,MATCH(J120,Odds!G:G,0))</f>
        <v>4/9</v>
      </c>
      <c r="L120" s="495">
        <f>INDEX(Odds!I:I,MATCH(J120,Odds!G:G,0))</f>
        <v>1.4444444444444444</v>
      </c>
      <c r="M120" s="488">
        <f>INDEX(Odds!J:J,MATCH(J120,Odds!G:G,0))</f>
        <v>1</v>
      </c>
      <c r="N120" s="489">
        <f t="shared" si="15"/>
        <v>1.4444444444444444</v>
      </c>
      <c r="O120" s="658"/>
      <c r="P120" s="62"/>
      <c r="R120" s="39" t="str">
        <f>IF(Odds!G120="","",Odds!G120)</f>
        <v>Blackburn</v>
      </c>
      <c r="S120" s="40" t="str">
        <f>INDEX(Odds!H:H,MATCH(R120,Odds!G:G,0))</f>
        <v>7/5</v>
      </c>
      <c r="T120" s="44">
        <f t="shared" si="14"/>
        <v>0</v>
      </c>
      <c r="AB120" s="663" t="str">
        <f>IF(O120="","",INDEX(Odds!H:H,MATCH(O120,Odds!G:G,0)))</f>
        <v/>
      </c>
      <c r="AC120" s="695">
        <f>IF(J120="","",INDEX(Odds!K:K,MATCH(J120,Odds!G:G,0)))</f>
        <v>1</v>
      </c>
      <c r="AD120" s="63"/>
      <c r="AE120" s="63"/>
      <c r="AF120" s="482"/>
      <c r="AG120" s="63"/>
    </row>
    <row r="121" spans="1:33" ht="13.5" thickBot="1">
      <c r="A121" s="496" t="str">
        <f>A119</f>
        <v>Martin Molyneux</v>
      </c>
      <c r="B121" s="497" t="str">
        <f t="shared" si="16"/>
        <v>West Ham</v>
      </c>
      <c r="C121" s="587">
        <f>IF(J121="","",INDEX(Odds!C:C,MATCH(J121,Odds!G:G,0)))</f>
        <v>1</v>
      </c>
      <c r="D121" s="498">
        <f t="shared" si="17"/>
        <v>1.75</v>
      </c>
      <c r="E121" s="507" t="str">
        <f t="shared" si="13"/>
        <v>x</v>
      </c>
      <c r="F121" s="493"/>
      <c r="G121" s="504"/>
      <c r="H121" s="235"/>
      <c r="I121" s="412"/>
      <c r="J121" s="499" t="s">
        <v>452</v>
      </c>
      <c r="K121" s="219" t="str">
        <f>INDEX(Odds!H:H,MATCH(J121,Odds!G:G,0))</f>
        <v>3/4</v>
      </c>
      <c r="L121" s="500">
        <f>INDEX(Odds!I:I,MATCH(J121,Odds!G:G,0))</f>
        <v>1.75</v>
      </c>
      <c r="M121" s="488">
        <f>INDEX(Odds!J:J,MATCH(J121,Odds!G:G,0))</f>
        <v>0</v>
      </c>
      <c r="N121" s="501">
        <f t="shared" si="15"/>
        <v>0</v>
      </c>
      <c r="O121" s="659"/>
      <c r="P121" s="62"/>
      <c r="R121" s="39" t="str">
        <f>IF(Odds!G121="","",Odds!G121)</f>
        <v>Bristol C</v>
      </c>
      <c r="S121" s="40" t="str">
        <f>INDEX(Odds!H:H,MATCH(R121,Odds!G:G,0))</f>
        <v>4/1</v>
      </c>
      <c r="T121" s="44">
        <f t="shared" si="14"/>
        <v>0</v>
      </c>
      <c r="AB121" s="664" t="str">
        <f>IF(O121="","",INDEX(Odds!H:H,MATCH(O121,Odds!G:G,0)))</f>
        <v/>
      </c>
      <c r="AC121" s="695">
        <f>IF(J121="","",INDEX(Odds!K:K,MATCH(J121,Odds!G:G,0)))</f>
        <v>1</v>
      </c>
      <c r="AD121" s="63"/>
      <c r="AE121" s="63"/>
      <c r="AF121" s="482"/>
      <c r="AG121" s="63"/>
    </row>
    <row r="122" spans="1:33" ht="13.9" thickTop="1" thickBot="1">
      <c r="A122" s="484" t="str">
        <f>Results!B122</f>
        <v>Martin Tarbuck</v>
      </c>
      <c r="B122" s="502" t="str">
        <f t="shared" si="16"/>
        <v>Forest</v>
      </c>
      <c r="C122" s="586">
        <f>IF(J122="","",INDEX(Odds!C:C,MATCH(J122,Odds!G:G,0)))</f>
        <v>1</v>
      </c>
      <c r="D122" s="485">
        <f t="shared" si="17"/>
        <v>3.5</v>
      </c>
      <c r="E122" s="508" t="str">
        <f t="shared" si="13"/>
        <v>x</v>
      </c>
      <c r="F122" s="415">
        <f>IF(J122="",-10,INDEX(Results!T:T,MATCH(A122,Results!V:V,0)))</f>
        <v>-3.9</v>
      </c>
      <c r="G122" s="216">
        <f>IF(J122="","",INDEX(Results!AI:AI,MATCH(A122,Results!V:V,0)))</f>
        <v>43.66</v>
      </c>
      <c r="H122" s="235">
        <f>IF(G122="",0,1)</f>
        <v>1</v>
      </c>
      <c r="I122" s="411">
        <f>INDEX(Picks!AG:AG,MATCH(A122,Picks!AD:AD,0))</f>
        <v>44</v>
      </c>
      <c r="J122" s="486" t="s">
        <v>583</v>
      </c>
      <c r="K122" s="217" t="str">
        <f>INDEX(Odds!H:H,MATCH(J122,Odds!G:G,0))</f>
        <v>5/2</v>
      </c>
      <c r="L122" s="487">
        <f>INDEX(Odds!I:I,MATCH(J122,Odds!G:G,0))</f>
        <v>3.5</v>
      </c>
      <c r="M122" s="503">
        <f>INDEX(Odds!J:J,MATCH(J122,Odds!G:G,0))</f>
        <v>0</v>
      </c>
      <c r="N122" s="489">
        <f t="shared" si="15"/>
        <v>0</v>
      </c>
      <c r="O122" s="658"/>
      <c r="P122" s="62"/>
      <c r="R122" s="39" t="str">
        <f>IF(Odds!G122="","",Odds!G122)</f>
        <v>Swansea</v>
      </c>
      <c r="S122" s="40" t="str">
        <f>INDEX(Odds!H:H,MATCH(R122,Odds!G:G,0))</f>
        <v>21/10</v>
      </c>
      <c r="T122" s="44">
        <f t="shared" si="14"/>
        <v>0</v>
      </c>
      <c r="AB122" s="663" t="str">
        <f>IF(O122="","",INDEX(Odds!H:H,MATCH(O122,Odds!G:G,0)))</f>
        <v/>
      </c>
      <c r="AC122" s="695">
        <f>IF(J122="","",INDEX(Odds!K:K,MATCH(J122,Odds!G:G,0)))</f>
        <v>1</v>
      </c>
      <c r="AD122" s="63"/>
      <c r="AE122" s="63"/>
      <c r="AF122" s="482"/>
      <c r="AG122" s="63"/>
    </row>
    <row r="123" spans="1:33">
      <c r="A123" s="490" t="str">
        <f>A122</f>
        <v>Martin Tarbuck</v>
      </c>
      <c r="B123" s="491" t="str">
        <f t="shared" si="16"/>
        <v>Scunthorpe</v>
      </c>
      <c r="C123" s="586">
        <f>IF(J123="","",INDEX(Odds!C:C,MATCH(J123,Odds!G:G,0)))</f>
        <v>1</v>
      </c>
      <c r="D123" s="492">
        <f t="shared" si="17"/>
        <v>3.1</v>
      </c>
      <c r="E123" s="507" t="str">
        <f t="shared" si="13"/>
        <v>√</v>
      </c>
      <c r="F123" s="493"/>
      <c r="G123" s="504"/>
      <c r="H123" s="235"/>
      <c r="I123" s="412"/>
      <c r="J123" s="486" t="s">
        <v>635</v>
      </c>
      <c r="K123" s="218" t="str">
        <f>INDEX(Odds!H:H,MATCH(J123,Odds!G:G,0))</f>
        <v>21/10</v>
      </c>
      <c r="L123" s="495">
        <f>INDEX(Odds!I:I,MATCH(J123,Odds!G:G,0))</f>
        <v>3.1</v>
      </c>
      <c r="M123" s="488">
        <f>INDEX(Odds!J:J,MATCH(J123,Odds!G:G,0))</f>
        <v>1</v>
      </c>
      <c r="N123" s="489">
        <f t="shared" si="15"/>
        <v>3.1</v>
      </c>
      <c r="O123" s="658"/>
      <c r="P123" s="62"/>
      <c r="R123" s="39" t="str">
        <f>IF(Odds!G123="","",Odds!G123)</f>
        <v>Reading</v>
      </c>
      <c r="S123" s="40" t="str">
        <f>INDEX(Odds!H:H,MATCH(R123,Odds!G:G,0))</f>
        <v>9/5</v>
      </c>
      <c r="T123" s="44">
        <f t="shared" si="14"/>
        <v>0</v>
      </c>
      <c r="AB123" s="663" t="str">
        <f>IF(O123="","",INDEX(Odds!H:H,MATCH(O123,Odds!G:G,0)))</f>
        <v/>
      </c>
      <c r="AC123" s="695">
        <f>IF(J123="","",INDEX(Odds!K:K,MATCH(J123,Odds!G:G,0)))</f>
        <v>1</v>
      </c>
      <c r="AD123" s="63"/>
      <c r="AE123" s="63"/>
      <c r="AF123" s="482"/>
      <c r="AG123" s="63"/>
    </row>
    <row r="124" spans="1:33" ht="13.5" thickBot="1">
      <c r="A124" s="496" t="str">
        <f>A122</f>
        <v>Martin Tarbuck</v>
      </c>
      <c r="B124" s="497" t="str">
        <f t="shared" si="16"/>
        <v>Rotherham</v>
      </c>
      <c r="C124" s="587">
        <f>IF(J124="","",INDEX(Odds!C:C,MATCH(J124,Odds!G:G,0)))</f>
        <v>1</v>
      </c>
      <c r="D124" s="498">
        <f t="shared" si="17"/>
        <v>1.8</v>
      </c>
      <c r="E124" s="507" t="str">
        <f t="shared" si="13"/>
        <v>x</v>
      </c>
      <c r="F124" s="493"/>
      <c r="G124" s="504"/>
      <c r="H124" s="235"/>
      <c r="I124" s="412"/>
      <c r="J124" s="499" t="s">
        <v>592</v>
      </c>
      <c r="K124" s="219" t="str">
        <f>INDEX(Odds!H:H,MATCH(J124,Odds!G:G,0))</f>
        <v>4/5</v>
      </c>
      <c r="L124" s="500">
        <f>INDEX(Odds!I:I,MATCH(J124,Odds!G:G,0))</f>
        <v>1.8</v>
      </c>
      <c r="M124" s="488">
        <f>INDEX(Odds!J:J,MATCH(J124,Odds!G:G,0))</f>
        <v>0</v>
      </c>
      <c r="N124" s="501">
        <f t="shared" si="15"/>
        <v>0</v>
      </c>
      <c r="O124" s="659"/>
      <c r="P124" s="62"/>
      <c r="R124" s="39" t="str">
        <f>IF(Odds!G124="","",Odds!G124)</f>
        <v>Sheff U</v>
      </c>
      <c r="S124" s="40" t="str">
        <f>INDEX(Odds!H:H,MATCH(R124,Odds!G:G,0))</f>
        <v>11/8</v>
      </c>
      <c r="T124" s="44">
        <f t="shared" si="14"/>
        <v>0</v>
      </c>
      <c r="AB124" s="664" t="str">
        <f>IF(O124="","",INDEX(Odds!H:H,MATCH(O124,Odds!G:G,0)))</f>
        <v/>
      </c>
      <c r="AC124" s="695">
        <f>IF(J124="","",INDEX(Odds!K:K,MATCH(J124,Odds!G:G,0)))</f>
        <v>1</v>
      </c>
      <c r="AD124" s="63"/>
      <c r="AE124" s="63"/>
      <c r="AF124" s="482"/>
      <c r="AG124" s="63"/>
    </row>
    <row r="125" spans="1:33" ht="13.9" thickTop="1" thickBot="1">
      <c r="A125" s="484" t="str">
        <f>Results!B125</f>
        <v>Mike Penk</v>
      </c>
      <c r="B125" s="502" t="str">
        <f t="shared" si="16"/>
        <v>Rotherham</v>
      </c>
      <c r="C125" s="586">
        <f>IF(J125="","",INDEX(Odds!C:C,MATCH(J125,Odds!G:G,0)))</f>
        <v>1</v>
      </c>
      <c r="D125" s="485">
        <f t="shared" si="17"/>
        <v>1.8</v>
      </c>
      <c r="E125" s="508" t="str">
        <f t="shared" si="13"/>
        <v>x</v>
      </c>
      <c r="F125" s="415">
        <f>IF(J125="",-10,INDEX(Results!T:T,MATCH(A125,Results!V:V,0)))</f>
        <v>6.666666666666643E-2</v>
      </c>
      <c r="G125" s="216">
        <f>IF(J125="","",INDEX(Results!AI:AI,MATCH(A125,Results!V:V,0)))</f>
        <v>14.586666666666666</v>
      </c>
      <c r="H125" s="235">
        <f>IF(G125="",0,1)</f>
        <v>1</v>
      </c>
      <c r="I125" s="411">
        <f>INDEX(Picks!AG:AG,MATCH(A125,Picks!AD:AD,0))</f>
        <v>18</v>
      </c>
      <c r="J125" s="486" t="s">
        <v>592</v>
      </c>
      <c r="K125" s="217" t="str">
        <f>INDEX(Odds!H:H,MATCH(J125,Odds!G:G,0))</f>
        <v>4/5</v>
      </c>
      <c r="L125" s="487">
        <f>INDEX(Odds!I:I,MATCH(J125,Odds!G:G,0))</f>
        <v>1.8</v>
      </c>
      <c r="M125" s="503">
        <f>INDEX(Odds!J:J,MATCH(J125,Odds!G:G,0))</f>
        <v>0</v>
      </c>
      <c r="N125" s="489">
        <f t="shared" si="15"/>
        <v>0</v>
      </c>
      <c r="O125" s="658"/>
      <c r="P125" s="62"/>
      <c r="R125" s="39" t="str">
        <f>IF(Odds!G125="","",Odds!G125)</f>
        <v>Morecambe</v>
      </c>
      <c r="S125" s="40" t="str">
        <f>INDEX(Odds!H:H,MATCH(R125,Odds!G:G,0))</f>
        <v>9/2</v>
      </c>
      <c r="T125" s="44">
        <f t="shared" si="14"/>
        <v>0</v>
      </c>
      <c r="AB125" s="663" t="str">
        <f>IF(O125="","",INDEX(Odds!H:H,MATCH(O125,Odds!G:G,0)))</f>
        <v/>
      </c>
      <c r="AC125" s="695">
        <f>IF(J125="","",INDEX(Odds!K:K,MATCH(J125,Odds!G:G,0)))</f>
        <v>1</v>
      </c>
      <c r="AD125" s="63"/>
      <c r="AE125" s="63"/>
      <c r="AF125" s="482"/>
      <c r="AG125" s="63"/>
    </row>
    <row r="126" spans="1:33">
      <c r="A126" s="490" t="str">
        <f>A125</f>
        <v>Mike Penk</v>
      </c>
      <c r="B126" s="491" t="str">
        <f t="shared" si="16"/>
        <v>Arsenal</v>
      </c>
      <c r="C126" s="586">
        <f>IF(J126="","",INDEX(Odds!C:C,MATCH(J126,Odds!G:G,0)))</f>
        <v>1</v>
      </c>
      <c r="D126" s="492">
        <f t="shared" si="17"/>
        <v>1.4444444444444444</v>
      </c>
      <c r="E126" s="507" t="str">
        <f t="shared" si="13"/>
        <v>√</v>
      </c>
      <c r="F126" s="493"/>
      <c r="G126" s="504"/>
      <c r="H126" s="235"/>
      <c r="I126" s="412"/>
      <c r="J126" s="486" t="s">
        <v>594</v>
      </c>
      <c r="K126" s="218" t="str">
        <f>INDEX(Odds!H:H,MATCH(J126,Odds!G:G,0))</f>
        <v>4/9</v>
      </c>
      <c r="L126" s="495">
        <f>INDEX(Odds!I:I,MATCH(J126,Odds!G:G,0))</f>
        <v>1.4444444444444444</v>
      </c>
      <c r="M126" s="488">
        <f>INDEX(Odds!J:J,MATCH(J126,Odds!G:G,0))</f>
        <v>1</v>
      </c>
      <c r="N126" s="489">
        <f t="shared" si="15"/>
        <v>1.4444444444444444</v>
      </c>
      <c r="O126" s="658"/>
      <c r="P126" s="62"/>
      <c r="R126" s="39" t="str">
        <f>IF(Odds!G126="","",Odds!G126)</f>
        <v>Wigan</v>
      </c>
      <c r="S126" s="40" t="str">
        <f>INDEX(Odds!H:H,MATCH(R126,Odds!G:G,0))</f>
        <v>8/13</v>
      </c>
      <c r="T126" s="44">
        <f t="shared" si="14"/>
        <v>0</v>
      </c>
      <c r="AB126" s="663" t="str">
        <f>IF(O126="","",INDEX(Odds!H:H,MATCH(O126,Odds!G:G,0)))</f>
        <v/>
      </c>
      <c r="AC126" s="695">
        <f>IF(J126="","",INDEX(Odds!K:K,MATCH(J126,Odds!G:G,0)))</f>
        <v>1</v>
      </c>
      <c r="AD126" s="63"/>
      <c r="AE126" s="63"/>
      <c r="AF126" s="482"/>
      <c r="AG126" s="63"/>
    </row>
    <row r="127" spans="1:33" ht="13.5" thickBot="1">
      <c r="A127" s="496" t="str">
        <f>A125</f>
        <v>Mike Penk</v>
      </c>
      <c r="B127" s="497" t="str">
        <f t="shared" si="16"/>
        <v>Plymouth</v>
      </c>
      <c r="C127" s="587">
        <f>IF(J127="","",INDEX(Odds!C:C,MATCH(J127,Odds!G:G,0)))</f>
        <v>1</v>
      </c>
      <c r="D127" s="498">
        <f t="shared" si="17"/>
        <v>2.2999999999999998</v>
      </c>
      <c r="E127" s="507" t="str">
        <f t="shared" si="13"/>
        <v>√</v>
      </c>
      <c r="F127" s="493"/>
      <c r="G127" s="504"/>
      <c r="H127" s="235"/>
      <c r="I127" s="412"/>
      <c r="J127" s="499" t="s">
        <v>562</v>
      </c>
      <c r="K127" s="219" t="str">
        <f>INDEX(Odds!H:H,MATCH(J127,Odds!G:G,0))</f>
        <v>13/10</v>
      </c>
      <c r="L127" s="500">
        <f>INDEX(Odds!I:I,MATCH(J127,Odds!G:G,0))</f>
        <v>2.2999999999999998</v>
      </c>
      <c r="M127" s="488">
        <f>INDEX(Odds!J:J,MATCH(J127,Odds!G:G,0))</f>
        <v>1</v>
      </c>
      <c r="N127" s="501">
        <f t="shared" si="15"/>
        <v>2.2999999999999998</v>
      </c>
      <c r="O127" s="659"/>
      <c r="P127" s="62"/>
      <c r="R127" s="39" t="str">
        <f>IF(Odds!G127="","",Odds!G127)</f>
        <v>Ipswich</v>
      </c>
      <c r="S127" s="40" t="str">
        <f>INDEX(Odds!H:H,MATCH(R127,Odds!G:G,0))</f>
        <v>10/11</v>
      </c>
      <c r="T127" s="44">
        <f t="shared" si="14"/>
        <v>0</v>
      </c>
      <c r="AB127" s="664" t="str">
        <f>IF(O127="","",INDEX(Odds!H:H,MATCH(O127,Odds!G:G,0)))</f>
        <v/>
      </c>
      <c r="AC127" s="695">
        <f>IF(J127="","",INDEX(Odds!K:K,MATCH(J127,Odds!G:G,0)))</f>
        <v>1</v>
      </c>
      <c r="AD127" s="63"/>
      <c r="AE127" s="63"/>
      <c r="AF127" s="482"/>
      <c r="AG127" s="63"/>
    </row>
    <row r="128" spans="1:33" ht="13.9" thickTop="1" thickBot="1">
      <c r="A128" s="484" t="str">
        <f>Results!B128</f>
        <v>Mo Sudell</v>
      </c>
      <c r="B128" s="502" t="str">
        <f t="shared" si="16"/>
        <v>Bromley</v>
      </c>
      <c r="C128" s="586">
        <f>IF(J128="","",INDEX(Odds!C:C,MATCH(J128,Odds!G:G,0)))</f>
        <v>1</v>
      </c>
      <c r="D128" s="485">
        <f t="shared" si="17"/>
        <v>1.7</v>
      </c>
      <c r="E128" s="508" t="str">
        <f t="shared" si="13"/>
        <v>x</v>
      </c>
      <c r="F128" s="415">
        <f>IF(J128="",-10,INDEX(Results!T:T,MATCH(A128,Results!V:V,0)))</f>
        <v>-0.40404040404040309</v>
      </c>
      <c r="G128" s="216">
        <f>IF(J128="","",INDEX(Results!AI:AI,MATCH(A128,Results!V:V,0)))</f>
        <v>12.509090909090908</v>
      </c>
      <c r="H128" s="235">
        <f>IF(G128="",0,1)</f>
        <v>1</v>
      </c>
      <c r="I128" s="411">
        <f>INDEX(Picks!AG:AG,MATCH(A128,Picks!AD:AD,0))</f>
        <v>21</v>
      </c>
      <c r="J128" s="486" t="s">
        <v>641</v>
      </c>
      <c r="K128" s="217" t="str">
        <f>INDEX(Odds!H:H,MATCH(J128,Odds!G:G,0))</f>
        <v>7/10</v>
      </c>
      <c r="L128" s="487">
        <f>INDEX(Odds!I:I,MATCH(J128,Odds!G:G,0))</f>
        <v>1.7</v>
      </c>
      <c r="M128" s="503">
        <f>INDEX(Odds!J:J,MATCH(J128,Odds!G:G,0))</f>
        <v>0</v>
      </c>
      <c r="N128" s="489">
        <f t="shared" si="15"/>
        <v>0</v>
      </c>
      <c r="O128" s="658"/>
      <c r="P128" s="62"/>
      <c r="R128" s="39" t="str">
        <f>IF(Odds!G128="","",Odds!G128)</f>
        <v>Oxford</v>
      </c>
      <c r="S128" s="40" t="str">
        <f>INDEX(Odds!H:H,MATCH(R128,Odds!G:G,0))</f>
        <v>17/10</v>
      </c>
      <c r="T128" s="44">
        <f t="shared" si="14"/>
        <v>0</v>
      </c>
      <c r="AB128" s="663" t="str">
        <f>IF(O128="","",INDEX(Odds!H:H,MATCH(O128,Odds!G:G,0)))</f>
        <v/>
      </c>
      <c r="AC128" s="695">
        <f>IF(J128="","",INDEX(Odds!K:K,MATCH(J128,Odds!G:G,0)))</f>
        <v>1</v>
      </c>
      <c r="AD128" s="63"/>
      <c r="AE128" s="63"/>
      <c r="AF128" s="482"/>
      <c r="AG128" s="63"/>
    </row>
    <row r="129" spans="1:33">
      <c r="A129" s="490" t="str">
        <f>A128</f>
        <v>Mo Sudell</v>
      </c>
      <c r="B129" s="491" t="str">
        <f t="shared" si="16"/>
        <v>Dagenham</v>
      </c>
      <c r="C129" s="586">
        <f>IF(J129="","",INDEX(Odds!C:C,MATCH(J129,Odds!G:G,0)))</f>
        <v>1</v>
      </c>
      <c r="D129" s="492">
        <f t="shared" si="17"/>
        <v>1.6111111111111112</v>
      </c>
      <c r="E129" s="507" t="str">
        <f t="shared" si="13"/>
        <v>√</v>
      </c>
      <c r="F129" s="493"/>
      <c r="G129" s="504"/>
      <c r="H129" s="235"/>
      <c r="I129" s="412"/>
      <c r="J129" s="486" t="s">
        <v>643</v>
      </c>
      <c r="K129" s="218" t="str">
        <f>INDEX(Odds!H:H,MATCH(J129,Odds!G:G,0))</f>
        <v>11/18</v>
      </c>
      <c r="L129" s="495">
        <f>INDEX(Odds!I:I,MATCH(J129,Odds!G:G,0))</f>
        <v>1.6111111111111112</v>
      </c>
      <c r="M129" s="488">
        <f>INDEX(Odds!J:J,MATCH(J129,Odds!G:G,0))</f>
        <v>1</v>
      </c>
      <c r="N129" s="489">
        <f t="shared" si="15"/>
        <v>1.6111111111111112</v>
      </c>
      <c r="O129" s="658"/>
      <c r="P129" s="62"/>
      <c r="R129" s="39" t="str">
        <f>IF(Odds!G129="","",Odds!G129)</f>
        <v>Burton</v>
      </c>
      <c r="S129" s="40" t="str">
        <f>INDEX(Odds!H:H,MATCH(R129,Odds!G:G,0))</f>
        <v>18/5</v>
      </c>
      <c r="T129" s="44">
        <f t="shared" si="14"/>
        <v>0</v>
      </c>
      <c r="AB129" s="663" t="str">
        <f>IF(O129="","",INDEX(Odds!H:H,MATCH(O129,Odds!G:G,0)))</f>
        <v/>
      </c>
      <c r="AC129" s="695">
        <f>IF(J129="","",INDEX(Odds!K:K,MATCH(J129,Odds!G:G,0)))</f>
        <v>1</v>
      </c>
      <c r="AD129" s="63"/>
      <c r="AE129" s="63"/>
      <c r="AF129" s="482"/>
      <c r="AG129" s="63"/>
    </row>
    <row r="130" spans="1:33" ht="13.5" thickBot="1">
      <c r="A130" s="496" t="str">
        <f>A128</f>
        <v>Mo Sudell</v>
      </c>
      <c r="B130" s="497" t="str">
        <f t="shared" si="16"/>
        <v>Mansfield</v>
      </c>
      <c r="C130" s="587">
        <f>IF(J130="","",INDEX(Odds!C:C,MATCH(J130,Odds!G:G,0)))</f>
        <v>1</v>
      </c>
      <c r="D130" s="498">
        <f t="shared" si="17"/>
        <v>1.9090909090909092</v>
      </c>
      <c r="E130" s="507" t="str">
        <f t="shared" si="13"/>
        <v>√</v>
      </c>
      <c r="F130" s="493"/>
      <c r="G130" s="504"/>
      <c r="H130" s="235"/>
      <c r="I130" s="412"/>
      <c r="J130" s="715" t="s">
        <v>631</v>
      </c>
      <c r="K130" s="219" t="str">
        <f>INDEX(Odds!H:H,MATCH(J130,Odds!G:G,0))</f>
        <v>10/11</v>
      </c>
      <c r="L130" s="500">
        <f>INDEX(Odds!I:I,MATCH(J130,Odds!G:G,0))</f>
        <v>1.9090909090909092</v>
      </c>
      <c r="M130" s="488">
        <f>INDEX(Odds!J:J,MATCH(J130,Odds!G:G,0))</f>
        <v>1</v>
      </c>
      <c r="N130" s="501">
        <f t="shared" si="15"/>
        <v>1.9090909090909092</v>
      </c>
      <c r="O130" s="659"/>
      <c r="P130" s="62"/>
      <c r="R130" s="39" t="str">
        <f>IF(Odds!G130="","",Odds!G130)</f>
        <v>Charlton</v>
      </c>
      <c r="S130" s="40" t="str">
        <f>INDEX(Odds!H:H,MATCH(R130,Odds!G:G,0))</f>
        <v>6/4</v>
      </c>
      <c r="T130" s="44">
        <f t="shared" si="14"/>
        <v>0</v>
      </c>
      <c r="AB130" s="664" t="str">
        <f>IF(O130="","",INDEX(Odds!H:H,MATCH(O130,Odds!G:G,0)))</f>
        <v/>
      </c>
      <c r="AC130" s="695">
        <f>IF(J130="","",INDEX(Odds!K:K,MATCH(J130,Odds!G:G,0)))</f>
        <v>1</v>
      </c>
      <c r="AD130" s="63"/>
      <c r="AE130" s="63"/>
      <c r="AF130" s="482"/>
      <c r="AG130" s="63"/>
    </row>
    <row r="131" spans="1:33" ht="13.9" thickTop="1" thickBot="1">
      <c r="A131" s="484" t="str">
        <f>Results!B131</f>
        <v>Nick Blocksidge</v>
      </c>
      <c r="B131" s="502" t="str">
        <f t="shared" si="16"/>
        <v>Man C</v>
      </c>
      <c r="C131" s="586">
        <f>IF(J131="","",INDEX(Odds!C:C,MATCH(J131,Odds!G:G,0)))</f>
        <v>1</v>
      </c>
      <c r="D131" s="485">
        <f t="shared" si="17"/>
        <v>1.2</v>
      </c>
      <c r="E131" s="508" t="str">
        <f t="shared" ref="E131:E175" si="18">IF(J131="","",IF(M131=1,"√","x"))</f>
        <v>√</v>
      </c>
      <c r="F131" s="415">
        <f>IF(J131="",-10,INDEX(Results!T:T,MATCH(A131,Results!V:V,0)))</f>
        <v>-2.6222222222222218</v>
      </c>
      <c r="G131" s="216">
        <f>IF(J131="","",INDEX(Results!AI:AI,MATCH(A131,Results!V:V,0)))</f>
        <v>17.544444444444444</v>
      </c>
      <c r="H131" s="235">
        <f>IF(G131="",0,1)</f>
        <v>1</v>
      </c>
      <c r="I131" s="411">
        <f>INDEX(Picks!AG:AG,MATCH(A131,Picks!AD:AD,0))</f>
        <v>38</v>
      </c>
      <c r="J131" s="486" t="s">
        <v>593</v>
      </c>
      <c r="K131" s="217" t="str">
        <f>INDEX(Odds!H:H,MATCH(J131,Odds!G:G,0))</f>
        <v>1/5</v>
      </c>
      <c r="L131" s="487">
        <f>INDEX(Odds!I:I,MATCH(J131,Odds!G:G,0))</f>
        <v>1.2</v>
      </c>
      <c r="M131" s="503">
        <f>INDEX(Odds!J:J,MATCH(J131,Odds!G:G,0))</f>
        <v>1</v>
      </c>
      <c r="N131" s="489">
        <f t="shared" si="15"/>
        <v>1.2</v>
      </c>
      <c r="O131" s="658"/>
      <c r="P131" s="62"/>
      <c r="R131" s="39" t="str">
        <f>IF(Odds!G131="","",Odds!G131)</f>
        <v>Cambridge</v>
      </c>
      <c r="S131" s="40" t="str">
        <f>INDEX(Odds!H:H,MATCH(R131,Odds!G:G,0))</f>
        <v>19/5</v>
      </c>
      <c r="T131" s="44">
        <f t="shared" si="14"/>
        <v>0</v>
      </c>
      <c r="AB131" s="663" t="str">
        <f>IF(O131="","",INDEX(Odds!H:H,MATCH(O131,Odds!G:G,0)))</f>
        <v/>
      </c>
      <c r="AC131" s="695">
        <f>IF(J131="","",INDEX(Odds!K:K,MATCH(J131,Odds!G:G,0)))</f>
        <v>1</v>
      </c>
      <c r="AD131" s="63"/>
      <c r="AE131" s="63"/>
      <c r="AF131" s="482"/>
      <c r="AG131" s="63"/>
    </row>
    <row r="132" spans="1:33">
      <c r="A132" s="490" t="str">
        <f>A131</f>
        <v>Nick Blocksidge</v>
      </c>
      <c r="B132" s="491" t="str">
        <f t="shared" si="16"/>
        <v>Arsenal</v>
      </c>
      <c r="C132" s="586">
        <f>IF(J132="","",INDEX(Odds!C:C,MATCH(J132,Odds!G:G,0)))</f>
        <v>1</v>
      </c>
      <c r="D132" s="492">
        <f t="shared" si="17"/>
        <v>1.4444444444444444</v>
      </c>
      <c r="E132" s="507" t="str">
        <f t="shared" si="18"/>
        <v>√</v>
      </c>
      <c r="F132" s="493"/>
      <c r="G132" s="504"/>
      <c r="H132" s="235"/>
      <c r="I132" s="412"/>
      <c r="J132" s="486" t="s">
        <v>594</v>
      </c>
      <c r="K132" s="218" t="str">
        <f>INDEX(Odds!H:H,MATCH(J132,Odds!G:G,0))</f>
        <v>4/9</v>
      </c>
      <c r="L132" s="495">
        <f>INDEX(Odds!I:I,MATCH(J132,Odds!G:G,0))</f>
        <v>1.4444444444444444</v>
      </c>
      <c r="M132" s="488">
        <f>INDEX(Odds!J:J,MATCH(J132,Odds!G:G,0))</f>
        <v>1</v>
      </c>
      <c r="N132" s="489">
        <f t="shared" si="15"/>
        <v>1.4444444444444444</v>
      </c>
      <c r="O132" s="658"/>
      <c r="P132" s="62"/>
      <c r="R132" s="39" t="str">
        <f>IF(Odds!G132="","",Odds!G132)</f>
        <v>Harrogate</v>
      </c>
      <c r="S132" s="40" t="str">
        <f>INDEX(Odds!H:H,MATCH(R132,Odds!G:G,0))</f>
        <v>2/1</v>
      </c>
      <c r="T132" s="44">
        <f t="shared" si="14"/>
        <v>0</v>
      </c>
      <c r="AB132" s="663" t="str">
        <f>IF(O132="","",INDEX(Odds!H:H,MATCH(O132,Odds!G:G,0)))</f>
        <v/>
      </c>
      <c r="AC132" s="695">
        <f>IF(J132="","",INDEX(Odds!K:K,MATCH(J132,Odds!G:G,0)))</f>
        <v>1</v>
      </c>
      <c r="AD132" s="63"/>
      <c r="AE132" s="63"/>
      <c r="AF132" s="482"/>
      <c r="AG132" s="63"/>
    </row>
    <row r="133" spans="1:33" ht="13.5" thickBot="1">
      <c r="A133" s="496" t="str">
        <f>A131</f>
        <v>Nick Blocksidge</v>
      </c>
      <c r="B133" s="497" t="str">
        <f t="shared" si="16"/>
        <v>Spurs draw</v>
      </c>
      <c r="C133" s="587">
        <f>IF(J133="","",INDEX(Odds!C:C,MATCH(J133,Odds!G:G,0)))</f>
        <v>1</v>
      </c>
      <c r="D133" s="498">
        <f t="shared" si="17"/>
        <v>3.75</v>
      </c>
      <c r="E133" s="507" t="str">
        <f t="shared" si="18"/>
        <v>x</v>
      </c>
      <c r="F133" s="493"/>
      <c r="G133" s="504"/>
      <c r="H133" s="235"/>
      <c r="I133" s="412"/>
      <c r="J133" s="499" t="s">
        <v>604</v>
      </c>
      <c r="K133" s="219" t="str">
        <f>INDEX(Odds!H:H,MATCH(J133,Odds!G:G,0))</f>
        <v>11/4</v>
      </c>
      <c r="L133" s="500">
        <f>INDEX(Odds!I:I,MATCH(J133,Odds!G:G,0))</f>
        <v>3.75</v>
      </c>
      <c r="M133" s="488">
        <f>INDEX(Odds!J:J,MATCH(J133,Odds!G:G,0))</f>
        <v>0</v>
      </c>
      <c r="N133" s="501">
        <f t="shared" si="15"/>
        <v>0</v>
      </c>
      <c r="O133" s="659"/>
      <c r="P133" s="62"/>
      <c r="R133" s="39" t="str">
        <f>IF(Odds!G133="","",Odds!G133)</f>
        <v>Sutton</v>
      </c>
      <c r="S133" s="40" t="str">
        <f>INDEX(Odds!H:H,MATCH(R133,Odds!G:G,0))</f>
        <v>17/10</v>
      </c>
      <c r="T133" s="44">
        <f t="shared" si="14"/>
        <v>0</v>
      </c>
      <c r="AB133" s="664" t="str">
        <f>IF(O133="","",INDEX(Odds!H:H,MATCH(O133,Odds!G:G,0)))</f>
        <v/>
      </c>
      <c r="AC133" s="695">
        <f>IF(J133="","",INDEX(Odds!K:K,MATCH(J133,Odds!G:G,0)))</f>
        <v>1</v>
      </c>
      <c r="AD133" s="63"/>
      <c r="AE133" s="63"/>
      <c r="AF133" s="482"/>
      <c r="AG133" s="63"/>
    </row>
    <row r="134" spans="1:33" ht="13.9" thickTop="1" thickBot="1">
      <c r="A134" s="484" t="str">
        <f>Results!B134</f>
        <v>Nigel Heyes</v>
      </c>
      <c r="B134" s="502" t="str">
        <f t="shared" si="16"/>
        <v>Rotherham</v>
      </c>
      <c r="C134" s="586">
        <f>IF(J134="","",INDEX(Odds!C:C,MATCH(J134,Odds!G:G,0)))</f>
        <v>1</v>
      </c>
      <c r="D134" s="485">
        <f t="shared" si="17"/>
        <v>1.8</v>
      </c>
      <c r="E134" s="508" t="str">
        <f t="shared" si="18"/>
        <v>x</v>
      </c>
      <c r="F134" s="415">
        <f>IF(J134="",-10,INDEX(Results!T:T,MATCH(A134,Results!V:V,0)))</f>
        <v>2.7249999999999996</v>
      </c>
      <c r="G134" s="216">
        <f>IF(J134="","",INDEX(Results!AI:AI,MATCH(A134,Results!V:V,0)))</f>
        <v>22.03</v>
      </c>
      <c r="H134" s="235">
        <f>IF(G134="",0,1)</f>
        <v>1</v>
      </c>
      <c r="I134" s="411">
        <f>INDEX(Picks!AG:AG,MATCH(A134,Picks!AD:AD,0))</f>
        <v>10</v>
      </c>
      <c r="J134" s="486" t="s">
        <v>592</v>
      </c>
      <c r="K134" s="217" t="str">
        <f>INDEX(Odds!H:H,MATCH(J134,Odds!G:G,0))</f>
        <v>4/5</v>
      </c>
      <c r="L134" s="487">
        <f>INDEX(Odds!I:I,MATCH(J134,Odds!G:G,0))</f>
        <v>1.8</v>
      </c>
      <c r="M134" s="503">
        <f>INDEX(Odds!J:J,MATCH(J134,Odds!G:G,0))</f>
        <v>0</v>
      </c>
      <c r="N134" s="489">
        <f t="shared" si="15"/>
        <v>0</v>
      </c>
      <c r="O134" s="658"/>
      <c r="P134" s="62"/>
      <c r="R134" s="39" t="str">
        <f>IF(Odds!G134="","",Odds!G134)</f>
        <v>Rochdale</v>
      </c>
      <c r="S134" s="40" t="str">
        <f>INDEX(Odds!H:H,MATCH(R134,Odds!G:G,0))</f>
        <v>6/4</v>
      </c>
      <c r="T134" s="44">
        <f t="shared" si="14"/>
        <v>0</v>
      </c>
      <c r="AB134" s="663" t="str">
        <f>IF(O134="","",INDEX(Odds!H:H,MATCH(O134,Odds!G:G,0)))</f>
        <v/>
      </c>
      <c r="AC134" s="695">
        <f>IF(J134="","",INDEX(Odds!K:K,MATCH(J134,Odds!G:G,0)))</f>
        <v>1</v>
      </c>
      <c r="AD134" s="63"/>
      <c r="AE134" s="63"/>
      <c r="AF134" s="482"/>
      <c r="AG134" s="63"/>
    </row>
    <row r="135" spans="1:33">
      <c r="A135" s="490" t="str">
        <f>A134</f>
        <v>Nigel Heyes</v>
      </c>
      <c r="B135" s="491" t="str">
        <f t="shared" si="16"/>
        <v>Plymouth</v>
      </c>
      <c r="C135" s="586">
        <f>IF(J135="","",INDEX(Odds!C:C,MATCH(J135,Odds!G:G,0)))</f>
        <v>1</v>
      </c>
      <c r="D135" s="492">
        <f t="shared" si="17"/>
        <v>2.2999999999999998</v>
      </c>
      <c r="E135" s="507" t="str">
        <f t="shared" si="18"/>
        <v>√</v>
      </c>
      <c r="F135" s="493"/>
      <c r="G135" s="504"/>
      <c r="H135" s="235"/>
      <c r="I135" s="412"/>
      <c r="J135" s="486" t="s">
        <v>562</v>
      </c>
      <c r="K135" s="218" t="str">
        <f>INDEX(Odds!H:H,MATCH(J135,Odds!G:G,0))</f>
        <v>13/10</v>
      </c>
      <c r="L135" s="495">
        <f>INDEX(Odds!I:I,MATCH(J135,Odds!G:G,0))</f>
        <v>2.2999999999999998</v>
      </c>
      <c r="M135" s="488">
        <f>INDEX(Odds!J:J,MATCH(J135,Odds!G:G,0))</f>
        <v>1</v>
      </c>
      <c r="N135" s="489">
        <f t="shared" si="15"/>
        <v>2.2999999999999998</v>
      </c>
      <c r="O135" s="658"/>
      <c r="P135" s="62"/>
      <c r="R135" s="39" t="str">
        <f>IF(Odds!G135="","",Odds!G135)</f>
        <v>Orient</v>
      </c>
      <c r="S135" s="40" t="str">
        <f>INDEX(Odds!H:H,MATCH(R135,Odds!G:G,0))</f>
        <v>21/20</v>
      </c>
      <c r="T135" s="44">
        <f t="shared" si="14"/>
        <v>0</v>
      </c>
      <c r="AB135" s="663" t="str">
        <f>IF(O135="","",INDEX(Odds!H:H,MATCH(O135,Odds!G:G,0)))</f>
        <v/>
      </c>
      <c r="AC135" s="695">
        <f>IF(J135="","",INDEX(Odds!K:K,MATCH(J135,Odds!G:G,0)))</f>
        <v>1</v>
      </c>
      <c r="AD135" s="63"/>
      <c r="AE135" s="63"/>
      <c r="AF135" s="482"/>
      <c r="AG135" s="63"/>
    </row>
    <row r="136" spans="1:33" ht="13.5" thickBot="1">
      <c r="A136" s="496" t="str">
        <f>A134</f>
        <v>Nigel Heyes</v>
      </c>
      <c r="B136" s="497" t="str">
        <f t="shared" si="16"/>
        <v>MK Dons</v>
      </c>
      <c r="C136" s="587">
        <f>IF(J136="","",INDEX(Odds!C:C,MATCH(J136,Odds!G:G,0)))</f>
        <v>1</v>
      </c>
      <c r="D136" s="498">
        <f t="shared" si="17"/>
        <v>2.25</v>
      </c>
      <c r="E136" s="507" t="str">
        <f t="shared" si="18"/>
        <v>√</v>
      </c>
      <c r="F136" s="493"/>
      <c r="G136" s="504"/>
      <c r="H136" s="235"/>
      <c r="I136" s="412"/>
      <c r="J136" s="499" t="s">
        <v>623</v>
      </c>
      <c r="K136" s="219" t="str">
        <f>INDEX(Odds!H:H,MATCH(J136,Odds!G:G,0))</f>
        <v>5/4</v>
      </c>
      <c r="L136" s="500">
        <f>INDEX(Odds!I:I,MATCH(J136,Odds!G:G,0))</f>
        <v>2.25</v>
      </c>
      <c r="M136" s="488">
        <f>INDEX(Odds!J:J,MATCH(J136,Odds!G:G,0))</f>
        <v>1</v>
      </c>
      <c r="N136" s="501">
        <f t="shared" si="15"/>
        <v>2.25</v>
      </c>
      <c r="O136" s="659"/>
      <c r="P136" s="62"/>
      <c r="R136" s="39" t="str">
        <f>IF(Odds!G136="","",Odds!G136)</f>
        <v>Swindon</v>
      </c>
      <c r="S136" s="40" t="str">
        <f>INDEX(Odds!H:H,MATCH(R136,Odds!G:G,0))</f>
        <v>9/4</v>
      </c>
      <c r="T136" s="44">
        <f t="shared" si="14"/>
        <v>0</v>
      </c>
      <c r="AB136" s="664" t="str">
        <f>IF(O136="","",INDEX(Odds!H:H,MATCH(O136,Odds!G:G,0)))</f>
        <v/>
      </c>
      <c r="AC136" s="695">
        <f>IF(J136="","",INDEX(Odds!K:K,MATCH(J136,Odds!G:G,0)))</f>
        <v>1</v>
      </c>
      <c r="AD136" s="63"/>
      <c r="AE136" s="63"/>
      <c r="AF136" s="482"/>
      <c r="AG136" s="63"/>
    </row>
    <row r="137" spans="1:33" ht="13.9" thickTop="1" thickBot="1">
      <c r="A137" s="484" t="str">
        <f>Results!B137</f>
        <v>Oscar Jackson</v>
      </c>
      <c r="B137" s="502" t="str">
        <f t="shared" si="16"/>
        <v/>
      </c>
      <c r="C137" s="586" t="str">
        <f>IF(J137="","",INDEX(Odds!C:C,MATCH(J137,Odds!G:G,0)))</f>
        <v/>
      </c>
      <c r="D137" s="485" t="str">
        <f t="shared" si="17"/>
        <v/>
      </c>
      <c r="E137" s="508" t="str">
        <f t="shared" si="18"/>
        <v/>
      </c>
      <c r="F137" s="415">
        <f>IF(J137="",-10,INDEX(Results!T:T,MATCH(A137,Results!V:V,0)))</f>
        <v>-10</v>
      </c>
      <c r="G137" s="216" t="str">
        <f>IF(J137="","",INDEX(Results!AI:AI,MATCH(A137,Results!V:V,0)))</f>
        <v/>
      </c>
      <c r="H137" s="235">
        <f>IF(G137="",0,1)</f>
        <v>0</v>
      </c>
      <c r="I137" s="411" t="str">
        <f>INDEX(Picks!AG:AG,MATCH(A137,Picks!AD:AD,0))</f>
        <v/>
      </c>
      <c r="J137" s="486"/>
      <c r="K137" s="217" t="e">
        <f>INDEX(Odds!H:H,MATCH(J137,Odds!G:G,0))</f>
        <v>#N/A</v>
      </c>
      <c r="L137" s="487" t="e">
        <f>INDEX(Odds!I:I,MATCH(J137,Odds!G:G,0))</f>
        <v>#N/A</v>
      </c>
      <c r="M137" s="503" t="e">
        <f>INDEX(Odds!J:J,MATCH(J137,Odds!G:G,0))</f>
        <v>#N/A</v>
      </c>
      <c r="N137" s="489" t="e">
        <f t="shared" si="15"/>
        <v>#N/A</v>
      </c>
      <c r="O137" s="658"/>
      <c r="P137" s="62"/>
      <c r="R137" s="39" t="str">
        <f>IF(Odds!G137="","",Odds!G137)</f>
        <v>Forest Green</v>
      </c>
      <c r="S137" s="40" t="str">
        <f>INDEX(Odds!H:H,MATCH(R137,Odds!G:G,0))</f>
        <v>8/5</v>
      </c>
      <c r="T137" s="44">
        <f t="shared" si="14"/>
        <v>0</v>
      </c>
      <c r="AB137" s="663" t="str">
        <f>IF(O137="","",INDEX(Odds!H:H,MATCH(O137,Odds!G:G,0)))</f>
        <v/>
      </c>
      <c r="AC137" s="695" t="str">
        <f>IF(J137="","",INDEX(Odds!K:K,MATCH(J137,Odds!G:G,0)))</f>
        <v/>
      </c>
      <c r="AD137" s="63"/>
      <c r="AE137" s="63"/>
      <c r="AF137" s="482"/>
      <c r="AG137" s="63"/>
    </row>
    <row r="138" spans="1:33">
      <c r="A138" s="490" t="str">
        <f>A137</f>
        <v>Oscar Jackson</v>
      </c>
      <c r="B138" s="491" t="str">
        <f t="shared" si="16"/>
        <v/>
      </c>
      <c r="C138" s="586" t="str">
        <f>IF(J138="","",INDEX(Odds!C:C,MATCH(J138,Odds!G:G,0)))</f>
        <v/>
      </c>
      <c r="D138" s="492" t="str">
        <f t="shared" si="17"/>
        <v/>
      </c>
      <c r="E138" s="507" t="str">
        <f t="shared" si="18"/>
        <v/>
      </c>
      <c r="F138" s="493"/>
      <c r="G138" s="504"/>
      <c r="H138" s="235"/>
      <c r="I138" s="412"/>
      <c r="J138" s="486"/>
      <c r="K138" s="218" t="e">
        <f>INDEX(Odds!H:H,MATCH(J138,Odds!G:G,0))</f>
        <v>#N/A</v>
      </c>
      <c r="L138" s="495" t="e">
        <f>INDEX(Odds!I:I,MATCH(J138,Odds!G:G,0))</f>
        <v>#N/A</v>
      </c>
      <c r="M138" s="488" t="e">
        <f>INDEX(Odds!J:J,MATCH(J138,Odds!G:G,0))</f>
        <v>#N/A</v>
      </c>
      <c r="N138" s="489" t="e">
        <f t="shared" si="15"/>
        <v>#N/A</v>
      </c>
      <c r="O138" s="658"/>
      <c r="P138" s="62"/>
      <c r="R138" s="39" t="str">
        <f>IF(Odds!G138="","",Odds!G138)</f>
        <v>Walsall</v>
      </c>
      <c r="S138" s="40" t="str">
        <f>INDEX(Odds!H:H,MATCH(R138,Odds!G:G,0))</f>
        <v>13/5</v>
      </c>
      <c r="T138" s="44">
        <f t="shared" si="14"/>
        <v>0</v>
      </c>
      <c r="AB138" s="663" t="str">
        <f>IF(O138="","",INDEX(Odds!H:H,MATCH(O138,Odds!G:G,0)))</f>
        <v/>
      </c>
      <c r="AC138" s="695" t="str">
        <f>IF(J138="","",INDEX(Odds!K:K,MATCH(J138,Odds!G:G,0)))</f>
        <v/>
      </c>
      <c r="AD138" s="63"/>
      <c r="AE138" s="63"/>
      <c r="AF138" s="482"/>
      <c r="AG138" s="63"/>
    </row>
    <row r="139" spans="1:33" ht="13.5" thickBot="1">
      <c r="A139" s="496" t="str">
        <f>A137</f>
        <v>Oscar Jackson</v>
      </c>
      <c r="B139" s="497" t="str">
        <f t="shared" si="16"/>
        <v/>
      </c>
      <c r="C139" s="587" t="str">
        <f>IF(J139="","",INDEX(Odds!C:C,MATCH(J139,Odds!G:G,0)))</f>
        <v/>
      </c>
      <c r="D139" s="498" t="str">
        <f t="shared" si="17"/>
        <v/>
      </c>
      <c r="E139" s="712" t="str">
        <f t="shared" si="18"/>
        <v/>
      </c>
      <c r="F139" s="713"/>
      <c r="G139" s="714"/>
      <c r="H139" s="235"/>
      <c r="I139" s="412"/>
      <c r="J139" s="499"/>
      <c r="K139" s="219" t="e">
        <f>INDEX(Odds!H:H,MATCH(J139,Odds!G:G,0))</f>
        <v>#N/A</v>
      </c>
      <c r="L139" s="500" t="e">
        <f>INDEX(Odds!I:I,MATCH(J139,Odds!G:G,0))</f>
        <v>#N/A</v>
      </c>
      <c r="M139" s="488" t="e">
        <f>INDEX(Odds!J:J,MATCH(J139,Odds!G:G,0))</f>
        <v>#N/A</v>
      </c>
      <c r="N139" s="501" t="e">
        <f t="shared" si="15"/>
        <v>#N/A</v>
      </c>
      <c r="O139" s="659"/>
      <c r="P139" s="62"/>
      <c r="R139" s="45" t="str">
        <f>IF(Odds!G139="","",Odds!G139)</f>
        <v>Salford</v>
      </c>
      <c r="S139" s="46" t="str">
        <f>INDEX(Odds!H:H,MATCH(R139,Odds!G:G,0))</f>
        <v>12/5</v>
      </c>
      <c r="T139" s="47">
        <f t="shared" si="14"/>
        <v>0</v>
      </c>
      <c r="AB139" s="664" t="str">
        <f>IF(O139="","",INDEX(Odds!H:H,MATCH(O139,Odds!G:G,0)))</f>
        <v/>
      </c>
      <c r="AC139" s="695" t="str">
        <f>IF(J139="","",INDEX(Odds!K:K,MATCH(J139,Odds!G:G,0)))</f>
        <v/>
      </c>
      <c r="AD139" s="63"/>
      <c r="AE139" s="63"/>
      <c r="AF139" s="482"/>
      <c r="AG139" s="63"/>
    </row>
    <row r="140" spans="1:33" ht="13.9" thickTop="1" thickBot="1">
      <c r="A140" s="484" t="str">
        <f>Results!B140</f>
        <v>Paul Adderley</v>
      </c>
      <c r="B140" s="502" t="str">
        <f t="shared" si="16"/>
        <v>Spurs</v>
      </c>
      <c r="C140" s="586">
        <f>IF(J140="","",INDEX(Odds!C:C,MATCH(J140,Odds!G:G,0)))</f>
        <v>1</v>
      </c>
      <c r="D140" s="485">
        <f t="shared" si="17"/>
        <v>1.7</v>
      </c>
      <c r="E140" s="507" t="str">
        <f t="shared" si="18"/>
        <v>√</v>
      </c>
      <c r="F140" s="710">
        <f>IF(J140="",-10,INDEX(Results!T:T,MATCH(A140,Results!V:V,0)))</f>
        <v>-1.4000000000000004</v>
      </c>
      <c r="G140" s="711">
        <f>IF(J140="","",INDEX(Results!AI:AI,MATCH(A140,Results!V:V,0)))</f>
        <v>10.149999999999999</v>
      </c>
      <c r="H140" s="235">
        <f>IF(G140="",0,1)</f>
        <v>1</v>
      </c>
      <c r="I140" s="411">
        <f>INDEX(Picks!AG:AG,MATCH(A140,Picks!AD:AD,0))</f>
        <v>32</v>
      </c>
      <c r="J140" s="486" t="s">
        <v>453</v>
      </c>
      <c r="K140" s="217" t="str">
        <f>INDEX(Odds!H:H,MATCH(J140,Odds!G:G,0))</f>
        <v>7/10</v>
      </c>
      <c r="L140" s="487">
        <f>INDEX(Odds!I:I,MATCH(J140,Odds!G:G,0))</f>
        <v>1.7</v>
      </c>
      <c r="M140" s="503">
        <f>INDEX(Odds!J:J,MATCH(J140,Odds!G:G,0))</f>
        <v>1</v>
      </c>
      <c r="N140" s="489">
        <f t="shared" si="15"/>
        <v>1.7</v>
      </c>
      <c r="O140" s="658"/>
      <c r="P140" s="62"/>
      <c r="AB140" s="663" t="str">
        <f>IF(O140="","",INDEX(Odds!H:H,MATCH(O140,Odds!G:G,0)))</f>
        <v/>
      </c>
      <c r="AC140" s="695">
        <f>IF(J140="","",INDEX(Odds!K:K,MATCH(J140,Odds!G:G,0)))</f>
        <v>1</v>
      </c>
      <c r="AD140" s="63"/>
      <c r="AE140" s="63"/>
      <c r="AF140" s="482"/>
      <c r="AG140" s="63"/>
    </row>
    <row r="141" spans="1:33">
      <c r="A141" s="490" t="str">
        <f>A140</f>
        <v>Paul Adderley</v>
      </c>
      <c r="B141" s="491" t="str">
        <f t="shared" si="16"/>
        <v>West Ham</v>
      </c>
      <c r="C141" s="586">
        <f>IF(J141="","",INDEX(Odds!C:C,MATCH(J141,Odds!G:G,0)))</f>
        <v>1</v>
      </c>
      <c r="D141" s="492">
        <f t="shared" si="17"/>
        <v>1.75</v>
      </c>
      <c r="E141" s="507" t="str">
        <f t="shared" si="18"/>
        <v>x</v>
      </c>
      <c r="F141" s="493"/>
      <c r="G141" s="504"/>
      <c r="H141" s="235"/>
      <c r="I141" s="412"/>
      <c r="J141" s="486" t="s">
        <v>452</v>
      </c>
      <c r="K141" s="218" t="str">
        <f>INDEX(Odds!H:H,MATCH(J141,Odds!G:G,0))</f>
        <v>3/4</v>
      </c>
      <c r="L141" s="495">
        <f>INDEX(Odds!I:I,MATCH(J141,Odds!G:G,0))</f>
        <v>1.75</v>
      </c>
      <c r="M141" s="488">
        <f>INDEX(Odds!J:J,MATCH(J141,Odds!G:G,0))</f>
        <v>0</v>
      </c>
      <c r="N141" s="489">
        <f t="shared" si="15"/>
        <v>0</v>
      </c>
      <c r="O141" s="658"/>
      <c r="P141" s="62"/>
      <c r="AB141" s="663" t="str">
        <f>IF(O141="","",INDEX(Odds!H:H,MATCH(O141,Odds!G:G,0)))</f>
        <v/>
      </c>
      <c r="AC141" s="695">
        <f>IF(J141="","",INDEX(Odds!K:K,MATCH(J141,Odds!G:G,0)))</f>
        <v>1</v>
      </c>
      <c r="AD141" s="63"/>
      <c r="AE141" s="63"/>
      <c r="AF141" s="482"/>
      <c r="AG141" s="63"/>
    </row>
    <row r="142" spans="1:33" ht="13.5" thickBot="1">
      <c r="A142" s="496" t="str">
        <f>A140</f>
        <v>Paul Adderley</v>
      </c>
      <c r="B142" s="497" t="str">
        <f t="shared" si="16"/>
        <v>Arsenal</v>
      </c>
      <c r="C142" s="587">
        <f>IF(J142="","",INDEX(Odds!C:C,MATCH(J142,Odds!G:G,0)))</f>
        <v>1</v>
      </c>
      <c r="D142" s="498">
        <f t="shared" si="17"/>
        <v>1.4444444444444444</v>
      </c>
      <c r="E142" s="507" t="str">
        <f t="shared" si="18"/>
        <v>√</v>
      </c>
      <c r="F142" s="493"/>
      <c r="G142" s="504"/>
      <c r="H142" s="235"/>
      <c r="I142" s="412"/>
      <c r="J142" s="499" t="s">
        <v>594</v>
      </c>
      <c r="K142" s="219" t="str">
        <f>INDEX(Odds!H:H,MATCH(J142,Odds!G:G,0))</f>
        <v>4/9</v>
      </c>
      <c r="L142" s="500">
        <f>INDEX(Odds!I:I,MATCH(J142,Odds!G:G,0))</f>
        <v>1.4444444444444444</v>
      </c>
      <c r="M142" s="488">
        <f>INDEX(Odds!J:J,MATCH(J142,Odds!G:G,0))</f>
        <v>1</v>
      </c>
      <c r="N142" s="501">
        <f t="shared" si="15"/>
        <v>1.4444444444444444</v>
      </c>
      <c r="O142" s="659"/>
      <c r="P142" s="62"/>
      <c r="AB142" s="664" t="str">
        <f>IF(O142="","",INDEX(Odds!H:H,MATCH(O142,Odds!G:G,0)))</f>
        <v/>
      </c>
      <c r="AC142" s="695">
        <f>IF(J142="","",INDEX(Odds!K:K,MATCH(J142,Odds!G:G,0)))</f>
        <v>1</v>
      </c>
      <c r="AD142" s="63"/>
      <c r="AE142" s="63"/>
      <c r="AF142" s="482"/>
      <c r="AG142" s="63"/>
    </row>
    <row r="143" spans="1:33" ht="13.9" thickTop="1" thickBot="1">
      <c r="A143" s="484" t="str">
        <f>Results!B143</f>
        <v>Paul Allen</v>
      </c>
      <c r="B143" s="502" t="str">
        <f t="shared" si="16"/>
        <v>Brighton</v>
      </c>
      <c r="C143" s="586">
        <f>IF(J143="","",INDEX(Odds!C:C,MATCH(J143,Odds!G:G,0)))</f>
        <v>1</v>
      </c>
      <c r="D143" s="485">
        <f t="shared" si="17"/>
        <v>1.85</v>
      </c>
      <c r="E143" s="508" t="str">
        <f t="shared" si="18"/>
        <v>√</v>
      </c>
      <c r="F143" s="415">
        <f>IF(J143="",-10,INDEX(Results!T:T,MATCH(A143,Results!V:V,0)))</f>
        <v>-0.30499999999999972</v>
      </c>
      <c r="G143" s="216">
        <f>IF(J143="","",INDEX(Results!AI:AI,MATCH(A143,Results!V:V,0)))</f>
        <v>13.161250000000003</v>
      </c>
      <c r="H143" s="235">
        <f>IF(G143="",0,1)</f>
        <v>1</v>
      </c>
      <c r="I143" s="411">
        <f>INDEX(Picks!AG:AG,MATCH(A143,Picks!AD:AD,0))</f>
        <v>20</v>
      </c>
      <c r="J143" s="486" t="s">
        <v>607</v>
      </c>
      <c r="K143" s="217" t="str">
        <f>INDEX(Odds!H:H,MATCH(J143,Odds!G:G,0))</f>
        <v>17/20</v>
      </c>
      <c r="L143" s="487">
        <f>INDEX(Odds!I:I,MATCH(J143,Odds!G:G,0))</f>
        <v>1.85</v>
      </c>
      <c r="M143" s="503">
        <f>INDEX(Odds!J:J,MATCH(J143,Odds!G:G,0))</f>
        <v>1</v>
      </c>
      <c r="N143" s="489">
        <f t="shared" si="15"/>
        <v>1.85</v>
      </c>
      <c r="O143" s="658"/>
      <c r="P143" s="62"/>
      <c r="AB143" s="663" t="str">
        <f>IF(O143="","",INDEX(Odds!H:H,MATCH(O143,Odds!G:G,0)))</f>
        <v/>
      </c>
      <c r="AC143" s="695">
        <f>IF(J143="","",INDEX(Odds!K:K,MATCH(J143,Odds!G:G,0)))</f>
        <v>1</v>
      </c>
      <c r="AD143" s="63"/>
      <c r="AE143" s="63"/>
      <c r="AF143" s="482"/>
      <c r="AG143" s="63"/>
    </row>
    <row r="144" spans="1:33">
      <c r="A144" s="490" t="str">
        <f>A143</f>
        <v>Paul Allen</v>
      </c>
      <c r="B144" s="491" t="str">
        <f t="shared" si="16"/>
        <v>Spurs</v>
      </c>
      <c r="C144" s="586">
        <f>IF(J144="","",INDEX(Odds!C:C,MATCH(J144,Odds!G:G,0)))</f>
        <v>1</v>
      </c>
      <c r="D144" s="492">
        <f t="shared" si="17"/>
        <v>1.7</v>
      </c>
      <c r="E144" s="507" t="str">
        <f t="shared" si="18"/>
        <v>√</v>
      </c>
      <c r="F144" s="493"/>
      <c r="G144" s="504"/>
      <c r="H144" s="235"/>
      <c r="I144" s="412"/>
      <c r="J144" s="486" t="s">
        <v>453</v>
      </c>
      <c r="K144" s="218" t="str">
        <f>INDEX(Odds!H:H,MATCH(J144,Odds!G:G,0))</f>
        <v>7/10</v>
      </c>
      <c r="L144" s="495">
        <f>INDEX(Odds!I:I,MATCH(J144,Odds!G:G,0))</f>
        <v>1.7</v>
      </c>
      <c r="M144" s="488">
        <f>INDEX(Odds!J:J,MATCH(J144,Odds!G:G,0))</f>
        <v>1</v>
      </c>
      <c r="N144" s="489">
        <f t="shared" si="15"/>
        <v>1.7</v>
      </c>
      <c r="O144" s="658"/>
      <c r="P144" s="62"/>
      <c r="AB144" s="663" t="str">
        <f>IF(O144="","",INDEX(Odds!H:H,MATCH(O144,Odds!G:G,0)))</f>
        <v/>
      </c>
      <c r="AC144" s="695">
        <f>IF(J144="","",INDEX(Odds!K:K,MATCH(J144,Odds!G:G,0)))</f>
        <v>1</v>
      </c>
      <c r="AD144" s="63"/>
      <c r="AE144" s="63"/>
      <c r="AF144" s="482"/>
      <c r="AG144" s="63"/>
    </row>
    <row r="145" spans="1:33" ht="13.5" thickBot="1">
      <c r="A145" s="496" t="str">
        <f>A143</f>
        <v>Paul Allen</v>
      </c>
      <c r="B145" s="497" t="str">
        <f t="shared" si="16"/>
        <v>West Ham</v>
      </c>
      <c r="C145" s="587">
        <f>IF(J145="","",INDEX(Odds!C:C,MATCH(J145,Odds!G:G,0)))</f>
        <v>1</v>
      </c>
      <c r="D145" s="498">
        <f t="shared" si="17"/>
        <v>1.75</v>
      </c>
      <c r="E145" s="507" t="str">
        <f t="shared" si="18"/>
        <v>x</v>
      </c>
      <c r="F145" s="493"/>
      <c r="G145" s="504"/>
      <c r="H145" s="235"/>
      <c r="I145" s="412"/>
      <c r="J145" s="499" t="s">
        <v>452</v>
      </c>
      <c r="K145" s="219" t="str">
        <f>INDEX(Odds!H:H,MATCH(J145,Odds!G:G,0))</f>
        <v>3/4</v>
      </c>
      <c r="L145" s="500">
        <f>INDEX(Odds!I:I,MATCH(J145,Odds!G:G,0))</f>
        <v>1.75</v>
      </c>
      <c r="M145" s="488">
        <f>INDEX(Odds!J:J,MATCH(J145,Odds!G:G,0))</f>
        <v>0</v>
      </c>
      <c r="N145" s="501">
        <f t="shared" si="15"/>
        <v>0</v>
      </c>
      <c r="O145" s="659"/>
      <c r="P145" s="62"/>
      <c r="AB145" s="664" t="str">
        <f>IF(O145="","",INDEX(Odds!H:H,MATCH(O145,Odds!G:G,0)))</f>
        <v/>
      </c>
      <c r="AC145" s="695">
        <f>IF(J145="","",INDEX(Odds!K:K,MATCH(J145,Odds!G:G,0)))</f>
        <v>1</v>
      </c>
      <c r="AD145" s="63"/>
      <c r="AE145" s="63"/>
      <c r="AF145" s="482"/>
      <c r="AG145" s="63"/>
    </row>
    <row r="146" spans="1:33" ht="13.9" thickTop="1" thickBot="1">
      <c r="A146" s="484" t="str">
        <f>Results!B146</f>
        <v>Paul Barnes</v>
      </c>
      <c r="B146" s="502" t="str">
        <f t="shared" si="16"/>
        <v>Arsenal</v>
      </c>
      <c r="C146" s="586">
        <f>IF(J146="","",INDEX(Odds!C:C,MATCH(J146,Odds!G:G,0)))</f>
        <v>1</v>
      </c>
      <c r="D146" s="485">
        <f t="shared" si="17"/>
        <v>1.4444444444444444</v>
      </c>
      <c r="E146" s="508" t="str">
        <f t="shared" si="18"/>
        <v>√</v>
      </c>
      <c r="F146" s="415">
        <f>IF(J146="",-10,INDEX(Results!T:T,MATCH(A146,Results!V:V,0)))</f>
        <v>-5.5555555555555554</v>
      </c>
      <c r="G146" s="216">
        <f>IF(J146="","",INDEX(Results!AI:AI,MATCH(A146,Results!V:V,0)))</f>
        <v>52.37777777777778</v>
      </c>
      <c r="H146" s="235">
        <f>IF(G146="",0,1)</f>
        <v>1</v>
      </c>
      <c r="I146" s="411">
        <f>INDEX(Picks!AG:AG,MATCH(A146,Picks!AD:AD,0))</f>
        <v>48</v>
      </c>
      <c r="J146" s="486" t="s">
        <v>594</v>
      </c>
      <c r="K146" s="217" t="str">
        <f>INDEX(Odds!H:H,MATCH(J146,Odds!G:G,0))</f>
        <v>4/9</v>
      </c>
      <c r="L146" s="487">
        <f>INDEX(Odds!I:I,MATCH(J146,Odds!G:G,0))</f>
        <v>1.4444444444444444</v>
      </c>
      <c r="M146" s="503">
        <f>INDEX(Odds!J:J,MATCH(J146,Odds!G:G,0))</f>
        <v>1</v>
      </c>
      <c r="N146" s="489">
        <f t="shared" si="15"/>
        <v>1.4444444444444444</v>
      </c>
      <c r="O146" s="658"/>
      <c r="P146" s="62"/>
      <c r="AB146" s="663" t="str">
        <f>IF(O146="","",INDEX(Odds!H:H,MATCH(O146,Odds!G:G,0)))</f>
        <v/>
      </c>
      <c r="AC146" s="695">
        <f>IF(J146="","",INDEX(Odds!K:K,MATCH(J146,Odds!G:G,0)))</f>
        <v>1</v>
      </c>
      <c r="AD146" s="63"/>
      <c r="AE146" s="63"/>
      <c r="AF146" s="482"/>
      <c r="AG146" s="63"/>
    </row>
    <row r="147" spans="1:33">
      <c r="A147" s="490" t="str">
        <f>A146</f>
        <v>Paul Barnes</v>
      </c>
      <c r="B147" s="491" t="str">
        <f t="shared" si="16"/>
        <v>Brentford</v>
      </c>
      <c r="C147" s="586">
        <f>IF(J147="","",INDEX(Odds!C:C,MATCH(J147,Odds!G:G,0)))</f>
        <v>1</v>
      </c>
      <c r="D147" s="492">
        <f t="shared" si="17"/>
        <v>4.2</v>
      </c>
      <c r="E147" s="507" t="str">
        <f t="shared" si="18"/>
        <v>x</v>
      </c>
      <c r="F147" s="493"/>
      <c r="G147" s="504"/>
      <c r="H147" s="235"/>
      <c r="I147" s="412"/>
      <c r="J147" s="486" t="s">
        <v>573</v>
      </c>
      <c r="K147" s="218" t="str">
        <f>INDEX(Odds!H:H,MATCH(J147,Odds!G:G,0))</f>
        <v>16/5</v>
      </c>
      <c r="L147" s="495">
        <f>INDEX(Odds!I:I,MATCH(J147,Odds!G:G,0))</f>
        <v>4.2</v>
      </c>
      <c r="M147" s="488">
        <f>INDEX(Odds!J:J,MATCH(J147,Odds!G:G,0))</f>
        <v>0</v>
      </c>
      <c r="N147" s="489">
        <f t="shared" si="15"/>
        <v>0</v>
      </c>
      <c r="O147" s="658"/>
      <c r="P147" s="62"/>
      <c r="AB147" s="663" t="str">
        <f>IF(O147="","",INDEX(Odds!H:H,MATCH(O147,Odds!G:G,0)))</f>
        <v/>
      </c>
      <c r="AC147" s="695">
        <f>IF(J147="","",INDEX(Odds!K:K,MATCH(J147,Odds!G:G,0)))</f>
        <v>1</v>
      </c>
      <c r="AD147" s="63"/>
      <c r="AE147" s="63"/>
      <c r="AF147" s="482"/>
      <c r="AG147" s="63"/>
    </row>
    <row r="148" spans="1:33" ht="13.5" thickBot="1">
      <c r="A148" s="496" t="str">
        <f>A146</f>
        <v>Paul Barnes</v>
      </c>
      <c r="B148" s="497" t="str">
        <f t="shared" si="16"/>
        <v>Villa draw</v>
      </c>
      <c r="C148" s="587">
        <f>IF(J148="","",INDEX(Odds!C:C,MATCH(J148,Odds!G:G,0)))</f>
        <v>1</v>
      </c>
      <c r="D148" s="498">
        <f t="shared" si="17"/>
        <v>3.75</v>
      </c>
      <c r="E148" s="507" t="str">
        <f t="shared" si="18"/>
        <v>x</v>
      </c>
      <c r="F148" s="493"/>
      <c r="G148" s="504"/>
      <c r="H148" s="235"/>
      <c r="I148" s="412"/>
      <c r="J148" s="499" t="s">
        <v>648</v>
      </c>
      <c r="K148" s="219" t="str">
        <f>INDEX(Odds!H:H,MATCH(J148,Odds!G:G,0))</f>
        <v>11/4</v>
      </c>
      <c r="L148" s="500">
        <f>INDEX(Odds!I:I,MATCH(J148,Odds!G:G,0))</f>
        <v>3.75</v>
      </c>
      <c r="M148" s="488">
        <f>INDEX(Odds!J:J,MATCH(J148,Odds!G:G,0))</f>
        <v>0</v>
      </c>
      <c r="N148" s="501">
        <f t="shared" si="15"/>
        <v>0</v>
      </c>
      <c r="O148" s="659"/>
      <c r="P148" s="62"/>
      <c r="AB148" s="664" t="str">
        <f>IF(O148="","",INDEX(Odds!H:H,MATCH(O148,Odds!G:G,0)))</f>
        <v/>
      </c>
      <c r="AC148" s="695">
        <f>IF(J148="","",INDEX(Odds!K:K,MATCH(J148,Odds!G:G,0)))</f>
        <v>1</v>
      </c>
      <c r="AD148" s="63"/>
      <c r="AE148" s="63"/>
      <c r="AF148" s="482"/>
      <c r="AG148" s="63"/>
    </row>
    <row r="149" spans="1:33" ht="13.9" thickTop="1" thickBot="1">
      <c r="A149" s="484" t="str">
        <f>Results!B149</f>
        <v>Paul Fairhurst</v>
      </c>
      <c r="B149" s="502" t="str">
        <f t="shared" si="16"/>
        <v>Hull</v>
      </c>
      <c r="C149" s="586">
        <f>IF(J149="","",INDEX(Odds!C:C,MATCH(J149,Odds!G:G,0)))</f>
        <v>1</v>
      </c>
      <c r="D149" s="485">
        <f t="shared" si="17"/>
        <v>2.875</v>
      </c>
      <c r="E149" s="508" t="str">
        <f t="shared" si="18"/>
        <v>x</v>
      </c>
      <c r="F149" s="415">
        <f>IF(J149="",-10,INDEX(Results!T:T,MATCH(A149,Results!V:V,0)))</f>
        <v>-1</v>
      </c>
      <c r="G149" s="216">
        <f>IF(J149="","",INDEX(Results!AI:AI,MATCH(A149,Results!V:V,0)))</f>
        <v>2</v>
      </c>
      <c r="H149" s="235">
        <f>IF(G149="",0,1)</f>
        <v>1</v>
      </c>
      <c r="I149" s="411">
        <f>INDEX(Picks!AG:AG,MATCH(A149,Picks!AD:AD,0))</f>
        <v>26</v>
      </c>
      <c r="J149" s="486" t="s">
        <v>580</v>
      </c>
      <c r="K149" s="217" t="str">
        <f>INDEX(Odds!H:H,MATCH(J149,Odds!G:G,0))</f>
        <v>15/8</v>
      </c>
      <c r="L149" s="487">
        <f>INDEX(Odds!I:I,MATCH(J149,Odds!G:G,0))</f>
        <v>2.875</v>
      </c>
      <c r="M149" s="503">
        <f>INDEX(Odds!J:J,MATCH(J149,Odds!G:G,0))</f>
        <v>0</v>
      </c>
      <c r="N149" s="489">
        <f t="shared" ref="N149:N175" si="19">L149*M149</f>
        <v>0</v>
      </c>
      <c r="O149" s="658"/>
      <c r="P149" s="62"/>
      <c r="AB149" s="663" t="str">
        <f>IF(O149="","",INDEX(Odds!H:H,MATCH(O149,Odds!G:G,0)))</f>
        <v/>
      </c>
      <c r="AC149" s="695">
        <f>IF(J149="","",INDEX(Odds!K:K,MATCH(J149,Odds!G:G,0)))</f>
        <v>0</v>
      </c>
      <c r="AD149" s="63"/>
      <c r="AE149" s="63"/>
      <c r="AF149" s="482"/>
      <c r="AG149" s="63"/>
    </row>
    <row r="150" spans="1:33">
      <c r="A150" s="490" t="str">
        <f>A149</f>
        <v>Paul Fairhurst</v>
      </c>
      <c r="B150" s="491" t="str">
        <f t="shared" si="16"/>
        <v>Lincoln</v>
      </c>
      <c r="C150" s="586">
        <f>IF(J150="","",INDEX(Odds!C:C,MATCH(J150,Odds!G:G,0)))</f>
        <v>1</v>
      </c>
      <c r="D150" s="492">
        <f t="shared" si="17"/>
        <v>3</v>
      </c>
      <c r="E150" s="507" t="str">
        <f t="shared" si="18"/>
        <v>x</v>
      </c>
      <c r="F150" s="493"/>
      <c r="G150" s="504"/>
      <c r="H150" s="235"/>
      <c r="I150" s="412"/>
      <c r="J150" s="486" t="s">
        <v>622</v>
      </c>
      <c r="K150" s="218" t="str">
        <f>INDEX(Odds!H:H,MATCH(J150,Odds!G:G,0))</f>
        <v>2/1</v>
      </c>
      <c r="L150" s="495">
        <f>INDEX(Odds!I:I,MATCH(J150,Odds!G:G,0))</f>
        <v>3</v>
      </c>
      <c r="M150" s="488">
        <f>INDEX(Odds!J:J,MATCH(J150,Odds!G:G,0))</f>
        <v>0</v>
      </c>
      <c r="N150" s="489">
        <f t="shared" si="19"/>
        <v>0</v>
      </c>
      <c r="O150" s="658"/>
      <c r="P150" s="62"/>
      <c r="AB150" s="663" t="str">
        <f>IF(O150="","",INDEX(Odds!H:H,MATCH(O150,Odds!G:G,0)))</f>
        <v/>
      </c>
      <c r="AC150" s="695">
        <f>IF(J150="","",INDEX(Odds!K:K,MATCH(J150,Odds!G:G,0)))</f>
        <v>1</v>
      </c>
      <c r="AD150" s="63"/>
      <c r="AE150" s="63"/>
      <c r="AF150" s="482"/>
      <c r="AG150" s="63"/>
    </row>
    <row r="151" spans="1:33" ht="13.5" thickBot="1">
      <c r="A151" s="496" t="str">
        <f>A149</f>
        <v>Paul Fairhurst</v>
      </c>
      <c r="B151" s="497" t="str">
        <f t="shared" si="16"/>
        <v>Colchester</v>
      </c>
      <c r="C151" s="587">
        <f>IF(J151="","",INDEX(Odds!C:C,MATCH(J151,Odds!G:G,0)))</f>
        <v>1</v>
      </c>
      <c r="D151" s="498">
        <f t="shared" si="17"/>
        <v>3.5</v>
      </c>
      <c r="E151" s="507" t="str">
        <f t="shared" si="18"/>
        <v>x</v>
      </c>
      <c r="F151" s="493"/>
      <c r="G151" s="504"/>
      <c r="H151" s="235"/>
      <c r="I151" s="412"/>
      <c r="J151" s="499" t="s">
        <v>629</v>
      </c>
      <c r="K151" s="219" t="str">
        <f>INDEX(Odds!H:H,MATCH(J151,Odds!G:G,0))</f>
        <v>5/2</v>
      </c>
      <c r="L151" s="500">
        <f>INDEX(Odds!I:I,MATCH(J151,Odds!G:G,0))</f>
        <v>3.5</v>
      </c>
      <c r="M151" s="488">
        <f>INDEX(Odds!J:J,MATCH(J151,Odds!G:G,0))</f>
        <v>0</v>
      </c>
      <c r="N151" s="501">
        <f t="shared" si="19"/>
        <v>0</v>
      </c>
      <c r="O151" s="659"/>
      <c r="P151" s="62"/>
      <c r="AB151" s="664" t="str">
        <f>IF(O151="","",INDEX(Odds!H:H,MATCH(O151,Odds!G:G,0)))</f>
        <v/>
      </c>
      <c r="AC151" s="695">
        <f>IF(J151="","",INDEX(Odds!K:K,MATCH(J151,Odds!G:G,0)))</f>
        <v>0</v>
      </c>
      <c r="AD151" s="63"/>
      <c r="AE151" s="63"/>
      <c r="AF151" s="482"/>
      <c r="AG151" s="63"/>
    </row>
    <row r="152" spans="1:33" ht="13.9" thickTop="1" thickBot="1">
      <c r="A152" s="484" t="str">
        <f>Results!B152</f>
        <v>Paul Fiddler</v>
      </c>
      <c r="B152" s="502" t="str">
        <f t="shared" si="16"/>
        <v>Arsenal</v>
      </c>
      <c r="C152" s="586">
        <f>IF(J152="","",INDEX(Odds!C:C,MATCH(J152,Odds!G:G,0)))</f>
        <v>1</v>
      </c>
      <c r="D152" s="485">
        <f t="shared" si="17"/>
        <v>1.4444444444444444</v>
      </c>
      <c r="E152" s="508" t="str">
        <f t="shared" si="18"/>
        <v>√</v>
      </c>
      <c r="F152" s="415">
        <f>IF(J152="",-10,INDEX(Results!T:T,MATCH(A152,Results!V:V,0)))</f>
        <v>-1.4000000000000004</v>
      </c>
      <c r="G152" s="216">
        <f>IF(J152="","",INDEX(Results!AI:AI,MATCH(A152,Results!V:V,0)))</f>
        <v>10.149999999999999</v>
      </c>
      <c r="H152" s="235">
        <f>IF(G152="",0,1)</f>
        <v>1</v>
      </c>
      <c r="I152" s="411">
        <f>INDEX(Picks!AG:AG,MATCH(A152,Picks!AD:AD,0))</f>
        <v>32</v>
      </c>
      <c r="J152" s="486" t="s">
        <v>594</v>
      </c>
      <c r="K152" s="217" t="str">
        <f>INDEX(Odds!H:H,MATCH(J152,Odds!G:G,0))</f>
        <v>4/9</v>
      </c>
      <c r="L152" s="487">
        <f>INDEX(Odds!I:I,MATCH(J152,Odds!G:G,0))</f>
        <v>1.4444444444444444</v>
      </c>
      <c r="M152" s="503">
        <f>INDEX(Odds!J:J,MATCH(J152,Odds!G:G,0))</f>
        <v>1</v>
      </c>
      <c r="N152" s="489">
        <f t="shared" si="19"/>
        <v>1.4444444444444444</v>
      </c>
      <c r="O152" s="658"/>
      <c r="P152" s="62"/>
      <c r="AB152" s="663" t="str">
        <f>IF(O152="","",INDEX(Odds!H:H,MATCH(O152,Odds!G:G,0)))</f>
        <v/>
      </c>
      <c r="AC152" s="695">
        <f>IF(J152="","",INDEX(Odds!K:K,MATCH(J152,Odds!G:G,0)))</f>
        <v>1</v>
      </c>
      <c r="AD152" s="63"/>
      <c r="AE152" s="63"/>
      <c r="AF152" s="482"/>
      <c r="AG152" s="63"/>
    </row>
    <row r="153" spans="1:33" ht="14.25" customHeight="1">
      <c r="A153" s="490" t="str">
        <f>A152</f>
        <v>Paul Fiddler</v>
      </c>
      <c r="B153" s="491" t="str">
        <f t="shared" si="16"/>
        <v>Spurs</v>
      </c>
      <c r="C153" s="586">
        <f>IF(J153="","",INDEX(Odds!C:C,MATCH(J153,Odds!G:G,0)))</f>
        <v>1</v>
      </c>
      <c r="D153" s="492">
        <f t="shared" si="17"/>
        <v>1.7</v>
      </c>
      <c r="E153" s="507" t="str">
        <f t="shared" si="18"/>
        <v>√</v>
      </c>
      <c r="F153" s="493"/>
      <c r="G153" s="504"/>
      <c r="H153" s="235"/>
      <c r="I153" s="412"/>
      <c r="J153" s="486" t="s">
        <v>453</v>
      </c>
      <c r="K153" s="218" t="str">
        <f>INDEX(Odds!H:H,MATCH(J153,Odds!G:G,0))</f>
        <v>7/10</v>
      </c>
      <c r="L153" s="495">
        <f>INDEX(Odds!I:I,MATCH(J153,Odds!G:G,0))</f>
        <v>1.7</v>
      </c>
      <c r="M153" s="488">
        <f>INDEX(Odds!J:J,MATCH(J153,Odds!G:G,0))</f>
        <v>1</v>
      </c>
      <c r="N153" s="489">
        <f t="shared" si="19"/>
        <v>1.7</v>
      </c>
      <c r="O153" s="658"/>
      <c r="P153" s="62"/>
      <c r="AB153" s="663" t="str">
        <f>IF(O153="","",INDEX(Odds!H:H,MATCH(O153,Odds!G:G,0)))</f>
        <v/>
      </c>
      <c r="AC153" s="695">
        <f>IF(J153="","",INDEX(Odds!K:K,MATCH(J153,Odds!G:G,0)))</f>
        <v>1</v>
      </c>
      <c r="AD153" s="63"/>
      <c r="AE153" s="63"/>
      <c r="AF153" s="482"/>
      <c r="AG153" s="63"/>
    </row>
    <row r="154" spans="1:33" ht="13.5" thickBot="1">
      <c r="A154" s="496" t="str">
        <f>A152</f>
        <v>Paul Fiddler</v>
      </c>
      <c r="B154" s="497" t="str">
        <f>IF(J154="","",J154)</f>
        <v>West Ham</v>
      </c>
      <c r="C154" s="587">
        <f>IF(J154="","",INDEX(Odds!C:C,MATCH(J154,Odds!G:G,0)))</f>
        <v>1</v>
      </c>
      <c r="D154" s="498">
        <f t="shared" si="17"/>
        <v>1.75</v>
      </c>
      <c r="E154" s="507" t="str">
        <f t="shared" si="18"/>
        <v>x</v>
      </c>
      <c r="F154" s="493"/>
      <c r="G154" s="504"/>
      <c r="H154" s="235"/>
      <c r="I154" s="412"/>
      <c r="J154" s="499" t="s">
        <v>452</v>
      </c>
      <c r="K154" s="219" t="str">
        <f>INDEX(Odds!H:H,MATCH(J154,Odds!G:G,0))</f>
        <v>3/4</v>
      </c>
      <c r="L154" s="500">
        <f>INDEX(Odds!I:I,MATCH(J154,Odds!G:G,0))</f>
        <v>1.75</v>
      </c>
      <c r="M154" s="488">
        <f>INDEX(Odds!J:J,MATCH(J154,Odds!G:G,0))</f>
        <v>0</v>
      </c>
      <c r="N154" s="501">
        <f t="shared" si="19"/>
        <v>0</v>
      </c>
      <c r="O154" s="659"/>
      <c r="P154" s="62"/>
      <c r="AB154" s="664" t="str">
        <f>IF(O154="","",INDEX(Odds!H:H,MATCH(O154,Odds!G:G,0)))</f>
        <v/>
      </c>
      <c r="AC154" s="695">
        <f>IF(J154="","",INDEX(Odds!K:K,MATCH(J154,Odds!G:G,0)))</f>
        <v>1</v>
      </c>
      <c r="AD154" s="63"/>
      <c r="AE154" s="63"/>
      <c r="AF154" s="482"/>
      <c r="AG154" s="63"/>
    </row>
    <row r="155" spans="1:33" ht="13.9" thickTop="1" thickBot="1">
      <c r="A155" s="484" t="str">
        <f>Results!B155</f>
        <v>Pete Baron</v>
      </c>
      <c r="B155" s="502" t="str">
        <f t="shared" si="16"/>
        <v>Man C draw</v>
      </c>
      <c r="C155" s="586">
        <f>IF(J155="","",INDEX(Odds!C:C,MATCH(J155,Odds!G:G,0)))</f>
        <v>1</v>
      </c>
      <c r="D155" s="485">
        <f t="shared" si="17"/>
        <v>6.5</v>
      </c>
      <c r="E155" s="508" t="str">
        <f t="shared" si="18"/>
        <v>x</v>
      </c>
      <c r="F155" s="415">
        <f>IF(J155="",-10,INDEX(Results!T:T,MATCH(A155,Results!V:V,0)))</f>
        <v>-7</v>
      </c>
      <c r="G155" s="216">
        <f>IF(J155="","",INDEX(Results!AI:AI,MATCH(A155,Results!V:V,0)))</f>
        <v>287.79999999999995</v>
      </c>
      <c r="H155" s="235">
        <f>IF(G155="",0,1)</f>
        <v>1</v>
      </c>
      <c r="I155" s="411">
        <f>INDEX(Picks!AG:AG,MATCH(A155,Picks!AD:AD,0))</f>
        <v>50</v>
      </c>
      <c r="J155" s="486" t="s">
        <v>649</v>
      </c>
      <c r="K155" s="217" t="str">
        <f>INDEX(Odds!H:H,MATCH(J155,Odds!G:G,0))</f>
        <v>11/2</v>
      </c>
      <c r="L155" s="487">
        <f>INDEX(Odds!I:I,MATCH(J155,Odds!G:G,0))</f>
        <v>6.5</v>
      </c>
      <c r="M155" s="503">
        <f>INDEX(Odds!J:J,MATCH(J155,Odds!G:G,0))</f>
        <v>0</v>
      </c>
      <c r="N155" s="489">
        <f t="shared" si="19"/>
        <v>0</v>
      </c>
      <c r="O155" s="658"/>
      <c r="P155" s="62"/>
      <c r="AB155" s="663" t="str">
        <f>IF(O155="","",INDEX(Odds!H:H,MATCH(O155,Odds!G:G,0)))</f>
        <v/>
      </c>
      <c r="AC155" s="695">
        <f>IF(J155="","",INDEX(Odds!K:K,MATCH(J155,Odds!G:G,0)))</f>
        <v>1</v>
      </c>
      <c r="AD155" s="63"/>
      <c r="AE155" s="63"/>
      <c r="AF155" s="482"/>
      <c r="AG155" s="63"/>
    </row>
    <row r="156" spans="1:33">
      <c r="A156" s="490" t="str">
        <f>A155</f>
        <v>Pete Baron</v>
      </c>
      <c r="B156" s="491" t="str">
        <f t="shared" si="16"/>
        <v>Villa</v>
      </c>
      <c r="C156" s="586">
        <f>IF(J156="","",INDEX(Odds!C:C,MATCH(J156,Odds!G:G,0)))</f>
        <v>1</v>
      </c>
      <c r="D156" s="492">
        <f t="shared" si="17"/>
        <v>5.8</v>
      </c>
      <c r="E156" s="507" t="str">
        <f t="shared" si="18"/>
        <v>x</v>
      </c>
      <c r="F156" s="493"/>
      <c r="G156" s="504"/>
      <c r="H156" s="235"/>
      <c r="I156" s="412"/>
      <c r="J156" s="486" t="s">
        <v>450</v>
      </c>
      <c r="K156" s="218" t="str">
        <f>INDEX(Odds!H:H,MATCH(J156,Odds!G:G,0))</f>
        <v>24/5</v>
      </c>
      <c r="L156" s="495">
        <f>INDEX(Odds!I:I,MATCH(J156,Odds!G:G,0))</f>
        <v>5.8</v>
      </c>
      <c r="M156" s="488">
        <f>INDEX(Odds!J:J,MATCH(J156,Odds!G:G,0))</f>
        <v>0</v>
      </c>
      <c r="N156" s="489">
        <f t="shared" si="19"/>
        <v>0</v>
      </c>
      <c r="O156" s="658"/>
      <c r="P156" s="62"/>
      <c r="AB156" s="663" t="str">
        <f>IF(O156="","",INDEX(Odds!H:H,MATCH(O156,Odds!G:G,0)))</f>
        <v/>
      </c>
      <c r="AC156" s="695">
        <f>IF(J156="","",INDEX(Odds!K:K,MATCH(J156,Odds!G:G,0)))</f>
        <v>1</v>
      </c>
      <c r="AD156" s="63"/>
      <c r="AE156" s="63"/>
      <c r="AF156" s="482"/>
      <c r="AG156" s="63"/>
    </row>
    <row r="157" spans="1:33" ht="13.5" thickBot="1">
      <c r="A157" s="496" t="str">
        <f>A155</f>
        <v>Pete Baron</v>
      </c>
      <c r="B157" s="497" t="str">
        <f t="shared" si="16"/>
        <v>Palace</v>
      </c>
      <c r="C157" s="587">
        <f>IF(J157="","",INDEX(Odds!C:C,MATCH(J157,Odds!G:G,0)))</f>
        <v>1</v>
      </c>
      <c r="D157" s="498">
        <f t="shared" si="17"/>
        <v>4.8</v>
      </c>
      <c r="E157" s="712" t="str">
        <f t="shared" si="18"/>
        <v>x</v>
      </c>
      <c r="F157" s="713"/>
      <c r="G157" s="714"/>
      <c r="H157" s="235"/>
      <c r="I157" s="412"/>
      <c r="J157" s="499" t="s">
        <v>609</v>
      </c>
      <c r="K157" s="219" t="str">
        <f>INDEX(Odds!H:H,MATCH(J157,Odds!G:G,0))</f>
        <v>19/5</v>
      </c>
      <c r="L157" s="500">
        <f>INDEX(Odds!I:I,MATCH(J157,Odds!G:G,0))</f>
        <v>4.8</v>
      </c>
      <c r="M157" s="488">
        <f>INDEX(Odds!J:J,MATCH(J157,Odds!G:G,0))</f>
        <v>0</v>
      </c>
      <c r="N157" s="501">
        <f t="shared" si="19"/>
        <v>0</v>
      </c>
      <c r="O157" s="659"/>
      <c r="P157" s="62"/>
      <c r="AB157" s="664" t="str">
        <f>IF(O157="","",INDEX(Odds!H:H,MATCH(O157,Odds!G:G,0)))</f>
        <v/>
      </c>
      <c r="AC157" s="695">
        <f>IF(J157="","",INDEX(Odds!K:K,MATCH(J157,Odds!G:G,0)))</f>
        <v>1</v>
      </c>
      <c r="AD157" s="63"/>
      <c r="AE157" s="63"/>
      <c r="AF157" s="482"/>
      <c r="AG157" s="63"/>
    </row>
    <row r="158" spans="1:33" ht="13.9" thickTop="1" thickBot="1">
      <c r="A158" s="484" t="str">
        <f>Results!B158</f>
        <v>Phil Miller</v>
      </c>
      <c r="B158" s="502" t="str">
        <f t="shared" si="16"/>
        <v>Spurs</v>
      </c>
      <c r="C158" s="586">
        <f>IF(J158="","",INDEX(Odds!C:C,MATCH(J158,Odds!G:G,0)))</f>
        <v>1</v>
      </c>
      <c r="D158" s="485">
        <f t="shared" si="17"/>
        <v>1.7</v>
      </c>
      <c r="E158" s="507" t="str">
        <f t="shared" si="18"/>
        <v>√</v>
      </c>
      <c r="F158" s="710">
        <f>IF(J158="",-10,INDEX(Results!T:T,MATCH(A158,Results!V:V,0)))</f>
        <v>-0.93846153846153868</v>
      </c>
      <c r="G158" s="711">
        <f>IF(J158="","",INDEX(Results!AI:AI,MATCH(A158,Results!V:V,0)))</f>
        <v>11.419230769230769</v>
      </c>
      <c r="H158" s="235">
        <f>IF(G158="",0,1)</f>
        <v>1</v>
      </c>
      <c r="I158" s="411">
        <f>INDEX(Picks!AG:AG,MATCH(A158,Picks!AD:AD,0))</f>
        <v>25</v>
      </c>
      <c r="J158" s="486" t="s">
        <v>453</v>
      </c>
      <c r="K158" s="217" t="str">
        <f>INDEX(Odds!H:H,MATCH(J158,Odds!G:G,0))</f>
        <v>7/10</v>
      </c>
      <c r="L158" s="487">
        <f>INDEX(Odds!I:I,MATCH(J158,Odds!G:G,0))</f>
        <v>1.7</v>
      </c>
      <c r="M158" s="503">
        <f>INDEX(Odds!J:J,MATCH(J158,Odds!G:G,0))</f>
        <v>1</v>
      </c>
      <c r="N158" s="489">
        <f t="shared" si="19"/>
        <v>1.7</v>
      </c>
      <c r="O158" s="658"/>
      <c r="P158" s="62"/>
      <c r="AB158" s="663" t="str">
        <f>IF(O158="","",INDEX(Odds!H:H,MATCH(O158,Odds!G:G,0)))</f>
        <v/>
      </c>
      <c r="AC158" s="695">
        <f>IF(J158="","",INDEX(Odds!K:K,MATCH(J158,Odds!G:G,0)))</f>
        <v>1</v>
      </c>
      <c r="AD158" s="63"/>
      <c r="AE158" s="63"/>
      <c r="AF158" s="482"/>
      <c r="AG158" s="63"/>
    </row>
    <row r="159" spans="1:33">
      <c r="A159" s="490" t="str">
        <f>A158</f>
        <v>Phil Miller</v>
      </c>
      <c r="B159" s="491" t="str">
        <f t="shared" si="16"/>
        <v>West Ham</v>
      </c>
      <c r="C159" s="586">
        <f>IF(J159="","",INDEX(Odds!C:C,MATCH(J159,Odds!G:G,0)))</f>
        <v>1</v>
      </c>
      <c r="D159" s="492">
        <f t="shared" si="17"/>
        <v>1.75</v>
      </c>
      <c r="E159" s="507" t="str">
        <f t="shared" si="18"/>
        <v>x</v>
      </c>
      <c r="F159" s="493"/>
      <c r="G159" s="504"/>
      <c r="H159" s="235"/>
      <c r="I159" s="412"/>
      <c r="J159" s="486" t="s">
        <v>452</v>
      </c>
      <c r="K159" s="218" t="str">
        <f>INDEX(Odds!H:H,MATCH(J159,Odds!G:G,0))</f>
        <v>3/4</v>
      </c>
      <c r="L159" s="495">
        <f>INDEX(Odds!I:I,MATCH(J159,Odds!G:G,0))</f>
        <v>1.75</v>
      </c>
      <c r="M159" s="488">
        <f>INDEX(Odds!J:J,MATCH(J159,Odds!G:G,0))</f>
        <v>0</v>
      </c>
      <c r="N159" s="489">
        <f t="shared" si="19"/>
        <v>0</v>
      </c>
      <c r="O159" s="658"/>
      <c r="P159" s="62"/>
      <c r="AB159" s="663" t="str">
        <f>IF(O159="","",INDEX(Odds!H:H,MATCH(O159,Odds!G:G,0)))</f>
        <v/>
      </c>
      <c r="AC159" s="695">
        <f>IF(J159="","",INDEX(Odds!K:K,MATCH(J159,Odds!G:G,0)))</f>
        <v>1</v>
      </c>
      <c r="AD159" s="63"/>
      <c r="AE159" s="63"/>
      <c r="AF159" s="482"/>
      <c r="AG159" s="63"/>
    </row>
    <row r="160" spans="1:33" ht="13.5" thickBot="1">
      <c r="A160" s="496" t="str">
        <f>A158</f>
        <v>Phil Miller</v>
      </c>
      <c r="B160" s="497" t="str">
        <f t="shared" si="16"/>
        <v>Chelsea</v>
      </c>
      <c r="C160" s="587">
        <f>IF(J160="","",INDEX(Odds!C:C,MATCH(J160,Odds!G:G,0)))</f>
        <v>1</v>
      </c>
      <c r="D160" s="498">
        <f t="shared" si="17"/>
        <v>1.6153846153846154</v>
      </c>
      <c r="E160" s="507" t="str">
        <f t="shared" si="18"/>
        <v>√</v>
      </c>
      <c r="F160" s="493"/>
      <c r="G160" s="504"/>
      <c r="H160" s="235"/>
      <c r="I160" s="412"/>
      <c r="J160" s="499" t="s">
        <v>571</v>
      </c>
      <c r="K160" s="219" t="str">
        <f>INDEX(Odds!H:H,MATCH(J160,Odds!G:G,0))</f>
        <v>8/13</v>
      </c>
      <c r="L160" s="500">
        <f>INDEX(Odds!I:I,MATCH(J160,Odds!G:G,0))</f>
        <v>1.6153846153846154</v>
      </c>
      <c r="M160" s="488">
        <f>INDEX(Odds!J:J,MATCH(J160,Odds!G:G,0))</f>
        <v>1</v>
      </c>
      <c r="N160" s="501">
        <f t="shared" si="19"/>
        <v>1.6153846153846154</v>
      </c>
      <c r="O160" s="659"/>
      <c r="P160" s="62"/>
      <c r="AB160" s="664" t="str">
        <f>IF(O160="","",INDEX(Odds!H:H,MATCH(O160,Odds!G:G,0)))</f>
        <v/>
      </c>
      <c r="AC160" s="695">
        <f>IF(J160="","",INDEX(Odds!K:K,MATCH(J160,Odds!G:G,0)))</f>
        <v>1</v>
      </c>
      <c r="AD160" s="63"/>
      <c r="AE160" s="63"/>
      <c r="AF160" s="482"/>
      <c r="AG160" s="63"/>
    </row>
    <row r="161" spans="1:33" ht="13.9" thickTop="1" thickBot="1">
      <c r="A161" s="484" t="str">
        <f>Results!B161</f>
        <v>Rob England</v>
      </c>
      <c r="B161" s="502" t="str">
        <f t="shared" si="16"/>
        <v>Arsenal</v>
      </c>
      <c r="C161" s="586">
        <f>IF(J161="","",INDEX(Odds!C:C,MATCH(J161,Odds!G:G,0)))</f>
        <v>1</v>
      </c>
      <c r="D161" s="485">
        <f t="shared" si="17"/>
        <v>1.4444444444444444</v>
      </c>
      <c r="E161" s="508" t="str">
        <f t="shared" si="18"/>
        <v>√</v>
      </c>
      <c r="F161" s="415">
        <f>IF(J161="",-10,INDEX(Results!T:T,MATCH(A161,Results!V:V,0)))</f>
        <v>15.466666666666669</v>
      </c>
      <c r="G161" s="216">
        <f>IF(J161="","",INDEX(Results!AI:AI,MATCH(A161,Results!V:V,0)))</f>
        <v>15.466666666666669</v>
      </c>
      <c r="H161" s="235">
        <f>IF(G161="",0,1)</f>
        <v>1</v>
      </c>
      <c r="I161" s="411">
        <f>INDEX(Picks!AG:AG,MATCH(A161,Picks!AD:AD,0))</f>
        <v>3</v>
      </c>
      <c r="J161" s="486" t="s">
        <v>594</v>
      </c>
      <c r="K161" s="217" t="str">
        <f>INDEX(Odds!H:H,MATCH(J161,Odds!G:G,0))</f>
        <v>4/9</v>
      </c>
      <c r="L161" s="487">
        <f>INDEX(Odds!I:I,MATCH(J161,Odds!G:G,0))</f>
        <v>1.4444444444444444</v>
      </c>
      <c r="M161" s="503">
        <f>INDEX(Odds!J:J,MATCH(J161,Odds!G:G,0))</f>
        <v>1</v>
      </c>
      <c r="N161" s="489">
        <f t="shared" si="19"/>
        <v>1.4444444444444444</v>
      </c>
      <c r="O161" s="658"/>
      <c r="P161" s="62"/>
      <c r="AB161" s="663" t="str">
        <f>IF(O161="","",INDEX(Odds!H:H,MATCH(O161,Odds!G:G,0)))</f>
        <v/>
      </c>
      <c r="AC161" s="695">
        <f>IF(J161="","",INDEX(Odds!K:K,MATCH(J161,Odds!G:G,0)))</f>
        <v>1</v>
      </c>
      <c r="AD161" s="63"/>
      <c r="AE161" s="63"/>
      <c r="AF161" s="482"/>
      <c r="AG161" s="63"/>
    </row>
    <row r="162" spans="1:33">
      <c r="A162" s="490" t="str">
        <f>A161</f>
        <v>Rob England</v>
      </c>
      <c r="B162" s="491" t="str">
        <f t="shared" si="16"/>
        <v>Mansfield</v>
      </c>
      <c r="C162" s="586">
        <f>IF(J162="","",INDEX(Odds!C:C,MATCH(J162,Odds!G:G,0)))</f>
        <v>1</v>
      </c>
      <c r="D162" s="492">
        <f t="shared" si="17"/>
        <v>1.9090909090909092</v>
      </c>
      <c r="E162" s="507" t="str">
        <f t="shared" si="18"/>
        <v>√</v>
      </c>
      <c r="F162" s="493"/>
      <c r="G162" s="504"/>
      <c r="H162" s="235"/>
      <c r="I162" s="412"/>
      <c r="J162" s="486" t="s">
        <v>631</v>
      </c>
      <c r="K162" s="218" t="str">
        <f>INDEX(Odds!H:H,MATCH(J162,Odds!G:G,0))</f>
        <v>10/11</v>
      </c>
      <c r="L162" s="495">
        <f>INDEX(Odds!I:I,MATCH(J162,Odds!G:G,0))</f>
        <v>1.9090909090909092</v>
      </c>
      <c r="M162" s="488">
        <f>INDEX(Odds!J:J,MATCH(J162,Odds!G:G,0))</f>
        <v>1</v>
      </c>
      <c r="N162" s="489">
        <f t="shared" si="19"/>
        <v>1.9090909090909092</v>
      </c>
      <c r="O162" s="658"/>
      <c r="P162" s="62"/>
      <c r="AB162" s="663" t="str">
        <f>IF(O162="","",INDEX(Odds!H:H,MATCH(O162,Odds!G:G,0)))</f>
        <v/>
      </c>
      <c r="AC162" s="695">
        <f>IF(J162="","",INDEX(Odds!K:K,MATCH(J162,Odds!G:G,0)))</f>
        <v>1</v>
      </c>
      <c r="AD162" s="63"/>
      <c r="AE162" s="63"/>
      <c r="AF162" s="482"/>
      <c r="AG162" s="63"/>
    </row>
    <row r="163" spans="1:33" ht="13.5" thickBot="1">
      <c r="A163" s="496" t="str">
        <f>A161</f>
        <v>Rob England</v>
      </c>
      <c r="B163" s="497" t="str">
        <f t="shared" si="16"/>
        <v>Plymouth</v>
      </c>
      <c r="C163" s="587">
        <f>IF(J163="","",INDEX(Odds!C:C,MATCH(J163,Odds!G:G,0)))</f>
        <v>1</v>
      </c>
      <c r="D163" s="498">
        <f t="shared" si="17"/>
        <v>2.2999999999999998</v>
      </c>
      <c r="E163" s="507" t="str">
        <f t="shared" si="18"/>
        <v>√</v>
      </c>
      <c r="F163" s="493"/>
      <c r="G163" s="504"/>
      <c r="H163" s="235"/>
      <c r="I163" s="412"/>
      <c r="J163" s="499" t="s">
        <v>562</v>
      </c>
      <c r="K163" s="219" t="str">
        <f>INDEX(Odds!H:H,MATCH(J163,Odds!G:G,0))</f>
        <v>13/10</v>
      </c>
      <c r="L163" s="500">
        <f>INDEX(Odds!I:I,MATCH(J163,Odds!G:G,0))</f>
        <v>2.2999999999999998</v>
      </c>
      <c r="M163" s="488">
        <f>INDEX(Odds!J:J,MATCH(J163,Odds!G:G,0))</f>
        <v>1</v>
      </c>
      <c r="N163" s="501">
        <f t="shared" si="19"/>
        <v>2.2999999999999998</v>
      </c>
      <c r="O163" s="659"/>
      <c r="P163" s="62"/>
      <c r="AB163" s="664" t="str">
        <f>IF(O163="","",INDEX(Odds!H:H,MATCH(O163,Odds!G:G,0)))</f>
        <v/>
      </c>
      <c r="AC163" s="695">
        <f>IF(J163="","",INDEX(Odds!K:K,MATCH(J163,Odds!G:G,0)))</f>
        <v>1</v>
      </c>
      <c r="AD163" s="63"/>
      <c r="AE163" s="63"/>
      <c r="AF163" s="482"/>
      <c r="AG163" s="63"/>
    </row>
    <row r="164" spans="1:33" ht="13.9" thickTop="1" thickBot="1">
      <c r="A164" s="484" t="str">
        <f>Results!B164</f>
        <v>Sally Williams</v>
      </c>
      <c r="B164" s="502" t="str">
        <f t="shared" ref="B164:B175" si="20">IF(J164="","",J164)</f>
        <v>Brighton draw</v>
      </c>
      <c r="C164" s="586">
        <f>IF(J164="","",INDEX(Odds!C:C,MATCH(J164,Odds!G:G,0)))</f>
        <v>1</v>
      </c>
      <c r="D164" s="485">
        <f t="shared" ref="D164:D175" si="21">IF(J164="","",L164)</f>
        <v>3.5</v>
      </c>
      <c r="E164" s="508" t="str">
        <f t="shared" si="18"/>
        <v>x</v>
      </c>
      <c r="F164" s="415">
        <f>IF(J164="",-10,INDEX(Results!T:T,MATCH(A164,Results!V:V,0)))</f>
        <v>-7</v>
      </c>
      <c r="G164" s="216">
        <f>IF(J164="","",INDEX(Results!AI:AI,MATCH(A164,Results!V:V,0)))</f>
        <v>73.27000000000001</v>
      </c>
      <c r="H164" s="235">
        <f>IF(G164="",0,1)</f>
        <v>1</v>
      </c>
      <c r="I164" s="411">
        <f>INDEX(Picks!AG:AG,MATCH(A164,Picks!AD:AD,0))</f>
        <v>50</v>
      </c>
      <c r="J164" s="486" t="s">
        <v>646</v>
      </c>
      <c r="K164" s="217" t="str">
        <f>INDEX(Odds!H:H,MATCH(J164,Odds!G:G,0))</f>
        <v>5/2</v>
      </c>
      <c r="L164" s="487">
        <f>INDEX(Odds!I:I,MATCH(J164,Odds!G:G,0))</f>
        <v>3.5</v>
      </c>
      <c r="M164" s="503">
        <f>INDEX(Odds!J:J,MATCH(J164,Odds!G:G,0))</f>
        <v>0</v>
      </c>
      <c r="N164" s="489">
        <f t="shared" si="19"/>
        <v>0</v>
      </c>
      <c r="O164" s="658"/>
      <c r="P164" s="62"/>
      <c r="AB164" s="663" t="str">
        <f>IF(O164="","",INDEX(Odds!H:H,MATCH(O164,Odds!G:G,0)))</f>
        <v/>
      </c>
      <c r="AC164" s="695">
        <f>IF(J164="","",INDEX(Odds!K:K,MATCH(J164,Odds!G:G,0)))</f>
        <v>1</v>
      </c>
      <c r="AD164" s="63"/>
      <c r="AE164" s="63"/>
      <c r="AF164" s="482"/>
      <c r="AG164" s="63"/>
    </row>
    <row r="165" spans="1:33">
      <c r="A165" s="490" t="str">
        <f>A164</f>
        <v>Sally Williams</v>
      </c>
      <c r="B165" s="491" t="str">
        <f t="shared" si="20"/>
        <v>Huddersfield draw</v>
      </c>
      <c r="C165" s="586">
        <f>IF(J165="","",INDEX(Odds!C:C,MATCH(J165,Odds!G:G,0)))</f>
        <v>1</v>
      </c>
      <c r="D165" s="492">
        <f t="shared" si="21"/>
        <v>3.3</v>
      </c>
      <c r="E165" s="507" t="str">
        <f t="shared" si="18"/>
        <v>x</v>
      </c>
      <c r="F165" s="493"/>
      <c r="G165" s="504"/>
      <c r="H165" s="235"/>
      <c r="I165" s="412"/>
      <c r="J165" s="486" t="s">
        <v>657</v>
      </c>
      <c r="K165" s="218" t="str">
        <f>INDEX(Odds!H:H,MATCH(J165,Odds!G:G,0))</f>
        <v>23/10</v>
      </c>
      <c r="L165" s="495">
        <f>INDEX(Odds!I:I,MATCH(J165,Odds!G:G,0))</f>
        <v>3.3</v>
      </c>
      <c r="M165" s="488">
        <f>INDEX(Odds!J:J,MATCH(J165,Odds!G:G,0))</f>
        <v>0</v>
      </c>
      <c r="N165" s="489">
        <f t="shared" si="19"/>
        <v>0</v>
      </c>
      <c r="O165" s="658"/>
      <c r="P165" s="62"/>
      <c r="AB165" s="663" t="str">
        <f>IF(O165="","",INDEX(Odds!H:H,MATCH(O165,Odds!G:G,0)))</f>
        <v/>
      </c>
      <c r="AC165" s="695">
        <f>IF(J165="","",INDEX(Odds!K:K,MATCH(J165,Odds!G:G,0)))</f>
        <v>1</v>
      </c>
      <c r="AD165" s="63"/>
      <c r="AE165" s="63"/>
      <c r="AF165" s="482"/>
      <c r="AG165" s="63"/>
    </row>
    <row r="166" spans="1:33" ht="13.5" thickBot="1">
      <c r="A166" s="496" t="str">
        <f>A164</f>
        <v>Sally Williams</v>
      </c>
      <c r="B166" s="497" t="str">
        <f t="shared" si="20"/>
        <v>Middlesbro draw</v>
      </c>
      <c r="C166" s="587">
        <f>IF(J166="","",INDEX(Odds!C:C,MATCH(J166,Odds!G:G,0)))</f>
        <v>1</v>
      </c>
      <c r="D166" s="498">
        <f t="shared" si="21"/>
        <v>3.2</v>
      </c>
      <c r="E166" s="507" t="str">
        <f t="shared" si="18"/>
        <v>x</v>
      </c>
      <c r="F166" s="493"/>
      <c r="G166" s="504"/>
      <c r="H166" s="235"/>
      <c r="I166" s="412"/>
      <c r="J166" s="499" t="s">
        <v>606</v>
      </c>
      <c r="K166" s="219" t="str">
        <f>INDEX(Odds!H:H,MATCH(J166,Odds!G:G,0))</f>
        <v>11/5</v>
      </c>
      <c r="L166" s="500">
        <f>INDEX(Odds!I:I,MATCH(J166,Odds!G:G,0))</f>
        <v>3.2</v>
      </c>
      <c r="M166" s="488">
        <f>INDEX(Odds!J:J,MATCH(J166,Odds!G:G,0))</f>
        <v>0</v>
      </c>
      <c r="N166" s="501">
        <f t="shared" si="19"/>
        <v>0</v>
      </c>
      <c r="O166" s="659"/>
      <c r="P166" s="62"/>
      <c r="AB166" s="664" t="str">
        <f>IF(O166="","",INDEX(Odds!H:H,MATCH(O166,Odds!G:G,0)))</f>
        <v/>
      </c>
      <c r="AC166" s="695">
        <f>IF(J166="","",INDEX(Odds!K:K,MATCH(J166,Odds!G:G,0)))</f>
        <v>1</v>
      </c>
      <c r="AD166" s="63"/>
      <c r="AE166" s="63"/>
      <c r="AF166" s="482"/>
      <c r="AG166" s="63"/>
    </row>
    <row r="167" spans="1:33" ht="13.5" customHeight="1" thickTop="1" thickBot="1">
      <c r="A167" s="484" t="str">
        <f>Results!B167</f>
        <v>Simon Greenhalgh</v>
      </c>
      <c r="B167" s="502" t="str">
        <f t="shared" si="20"/>
        <v>Oldham</v>
      </c>
      <c r="C167" s="586">
        <f>IF(J167="","",INDEX(Odds!C:C,MATCH(J167,Odds!G:G,0)))</f>
        <v>1</v>
      </c>
      <c r="D167" s="485">
        <f t="shared" si="21"/>
        <v>2.2000000000000002</v>
      </c>
      <c r="E167" s="508" t="str">
        <f t="shared" si="18"/>
        <v>x</v>
      </c>
      <c r="F167" s="415">
        <f>IF(J167="",-10,INDEX(Results!T:T,MATCH(A167,Results!V:V,0)))</f>
        <v>2.3949999999999996</v>
      </c>
      <c r="G167" s="216">
        <f>IF(J167="","",INDEX(Results!AI:AI,MATCH(A167,Results!V:V,0)))</f>
        <v>25.264000000000003</v>
      </c>
      <c r="H167" s="235">
        <f>IF(G167="",0,1)</f>
        <v>1</v>
      </c>
      <c r="I167" s="411">
        <f>INDEX(Picks!AG:AG,MATCH(A167,Picks!AD:AD,0))</f>
        <v>11</v>
      </c>
      <c r="J167" s="486" t="s">
        <v>599</v>
      </c>
      <c r="K167" s="217" t="str">
        <f>INDEX(Odds!H:H,MATCH(J167,Odds!G:G,0))</f>
        <v>6/5</v>
      </c>
      <c r="L167" s="487">
        <f>INDEX(Odds!I:I,MATCH(J167,Odds!G:G,0))</f>
        <v>2.2000000000000002</v>
      </c>
      <c r="M167" s="503">
        <f>INDEX(Odds!J:J,MATCH(J167,Odds!G:G,0))</f>
        <v>0</v>
      </c>
      <c r="N167" s="489">
        <f t="shared" si="19"/>
        <v>0</v>
      </c>
      <c r="O167" s="658"/>
      <c r="P167" s="62"/>
      <c r="AB167" s="663" t="str">
        <f>IF(O167="","",INDEX(Odds!H:H,MATCH(O167,Odds!G:G,0)))</f>
        <v/>
      </c>
      <c r="AC167" s="695">
        <f>IF(J167="","",INDEX(Odds!K:K,MATCH(J167,Odds!G:G,0)))</f>
        <v>1</v>
      </c>
      <c r="AD167" s="63"/>
      <c r="AE167" s="63"/>
      <c r="AF167" s="482"/>
      <c r="AG167" s="63"/>
    </row>
    <row r="168" spans="1:33">
      <c r="A168" s="490" t="str">
        <f>A167</f>
        <v>Simon Greenhalgh</v>
      </c>
      <c r="B168" s="491" t="str">
        <f t="shared" si="20"/>
        <v>Plymouth</v>
      </c>
      <c r="C168" s="586">
        <f>IF(J168="","",INDEX(Odds!C:C,MATCH(J168,Odds!G:G,0)))</f>
        <v>1</v>
      </c>
      <c r="D168" s="492">
        <f t="shared" si="21"/>
        <v>2.2999999999999998</v>
      </c>
      <c r="E168" s="507" t="str">
        <f t="shared" si="18"/>
        <v>√</v>
      </c>
      <c r="F168" s="493"/>
      <c r="G168" s="504"/>
      <c r="H168" s="235"/>
      <c r="I168" s="412"/>
      <c r="J168" s="486" t="s">
        <v>562</v>
      </c>
      <c r="K168" s="218" t="str">
        <f>INDEX(Odds!H:H,MATCH(J168,Odds!G:G,0))</f>
        <v>13/10</v>
      </c>
      <c r="L168" s="495">
        <f>INDEX(Odds!I:I,MATCH(J168,Odds!G:G,0))</f>
        <v>2.2999999999999998</v>
      </c>
      <c r="M168" s="488">
        <f>INDEX(Odds!J:J,MATCH(J168,Odds!G:G,0))</f>
        <v>1</v>
      </c>
      <c r="N168" s="489">
        <f t="shared" si="19"/>
        <v>2.2999999999999998</v>
      </c>
      <c r="O168" s="658"/>
      <c r="P168" s="62"/>
      <c r="AB168" s="663" t="str">
        <f>IF(O168="","",INDEX(Odds!H:H,MATCH(O168,Odds!G:G,0)))</f>
        <v/>
      </c>
      <c r="AC168" s="695">
        <f>IF(J168="","",INDEX(Odds!K:K,MATCH(J168,Odds!G:G,0)))</f>
        <v>1</v>
      </c>
      <c r="AD168" s="63"/>
      <c r="AE168" s="63"/>
      <c r="AF168" s="482"/>
      <c r="AG168" s="63"/>
    </row>
    <row r="169" spans="1:33" ht="13.5" thickBot="1">
      <c r="A169" s="496" t="str">
        <f>A167</f>
        <v>Simon Greenhalgh</v>
      </c>
      <c r="B169" s="497" t="str">
        <f t="shared" si="20"/>
        <v>Tranmere</v>
      </c>
      <c r="C169" s="587">
        <f>IF(J169="","",INDEX(Odds!C:C,MATCH(J169,Odds!G:G,0)))</f>
        <v>1</v>
      </c>
      <c r="D169" s="498">
        <f t="shared" si="21"/>
        <v>2.15</v>
      </c>
      <c r="E169" s="507" t="str">
        <f t="shared" si="18"/>
        <v>√</v>
      </c>
      <c r="F169" s="493"/>
      <c r="G169" s="504"/>
      <c r="H169" s="235"/>
      <c r="I169" s="412"/>
      <c r="J169" s="499" t="s">
        <v>559</v>
      </c>
      <c r="K169" s="219" t="str">
        <f>INDEX(Odds!H:H,MATCH(J169,Odds!G:G,0))</f>
        <v>23/20</v>
      </c>
      <c r="L169" s="500">
        <f>INDEX(Odds!I:I,MATCH(J169,Odds!G:G,0))</f>
        <v>2.15</v>
      </c>
      <c r="M169" s="488">
        <f>INDEX(Odds!J:J,MATCH(J169,Odds!G:G,0))</f>
        <v>1</v>
      </c>
      <c r="N169" s="501">
        <f t="shared" si="19"/>
        <v>2.15</v>
      </c>
      <c r="O169" s="659"/>
      <c r="P169" s="62"/>
      <c r="AB169" s="664" t="str">
        <f>IF(O169="","",INDEX(Odds!H:H,MATCH(O169,Odds!G:G,0)))</f>
        <v/>
      </c>
      <c r="AC169" s="695">
        <f>IF(J169="","",INDEX(Odds!K:K,MATCH(J169,Odds!G:G,0)))</f>
        <v>1</v>
      </c>
      <c r="AD169" s="63"/>
      <c r="AE169" s="63"/>
      <c r="AF169" s="482"/>
      <c r="AG169" s="63"/>
    </row>
    <row r="170" spans="1:33" ht="13.9" thickTop="1" thickBot="1">
      <c r="A170" s="484" t="str">
        <f>Results!B170</f>
        <v>Stephen Barr</v>
      </c>
      <c r="B170" s="502" t="str">
        <f t="shared" si="20"/>
        <v>West ham</v>
      </c>
      <c r="C170" s="586">
        <f>IF(J170="","",INDEX(Odds!C:C,MATCH(J170,Odds!G:G,0)))</f>
        <v>1</v>
      </c>
      <c r="D170" s="485">
        <f t="shared" si="21"/>
        <v>1.75</v>
      </c>
      <c r="E170" s="508" t="str">
        <f t="shared" si="18"/>
        <v>x</v>
      </c>
      <c r="F170" s="415">
        <f>IF(J170="",-10,INDEX(Results!T:T,MATCH(A170,Results!V:V,0)))</f>
        <v>-1.4000000000000004</v>
      </c>
      <c r="G170" s="216">
        <f>IF(J170="","",INDEX(Results!AI:AI,MATCH(A170,Results!V:V,0)))</f>
        <v>10.149999999999999</v>
      </c>
      <c r="H170" s="235">
        <f>IF(G170="",0,1)</f>
        <v>1</v>
      </c>
      <c r="I170" s="411">
        <f>INDEX(Picks!AG:AG,MATCH(A170,Picks!AD:AD,0))</f>
        <v>32</v>
      </c>
      <c r="J170" s="486" t="s">
        <v>654</v>
      </c>
      <c r="K170" s="217" t="str">
        <f>INDEX(Odds!H:H,MATCH(J170,Odds!G:G,0))</f>
        <v>3/4</v>
      </c>
      <c r="L170" s="487">
        <f>INDEX(Odds!I:I,MATCH(J170,Odds!G:G,0))</f>
        <v>1.75</v>
      </c>
      <c r="M170" s="503">
        <f>INDEX(Odds!J:J,MATCH(J170,Odds!G:G,0))</f>
        <v>0</v>
      </c>
      <c r="N170" s="489">
        <f t="shared" si="19"/>
        <v>0</v>
      </c>
      <c r="O170" s="658"/>
      <c r="P170" s="62"/>
      <c r="AB170" s="663" t="str">
        <f>IF(O170="","",INDEX(Odds!H:H,MATCH(O170,Odds!G:G,0)))</f>
        <v/>
      </c>
      <c r="AC170" s="695">
        <f>IF(J170="","",INDEX(Odds!K:K,MATCH(J170,Odds!G:G,0)))</f>
        <v>1</v>
      </c>
      <c r="AD170" s="63"/>
      <c r="AE170" s="63"/>
      <c r="AF170" s="482"/>
      <c r="AG170" s="63"/>
    </row>
    <row r="171" spans="1:33">
      <c r="A171" s="490" t="str">
        <f>A170</f>
        <v>Stephen Barr</v>
      </c>
      <c r="B171" s="491" t="str">
        <f t="shared" si="20"/>
        <v>Spurs</v>
      </c>
      <c r="C171" s="586">
        <f>IF(J171="","",INDEX(Odds!C:C,MATCH(J171,Odds!G:G,0)))</f>
        <v>1</v>
      </c>
      <c r="D171" s="492">
        <f t="shared" si="21"/>
        <v>1.7</v>
      </c>
      <c r="E171" s="507" t="str">
        <f t="shared" si="18"/>
        <v>√</v>
      </c>
      <c r="F171" s="493"/>
      <c r="G171" s="504"/>
      <c r="H171" s="235"/>
      <c r="I171" s="412"/>
      <c r="J171" s="486" t="s">
        <v>453</v>
      </c>
      <c r="K171" s="218" t="str">
        <f>INDEX(Odds!H:H,MATCH(J171,Odds!G:G,0))</f>
        <v>7/10</v>
      </c>
      <c r="L171" s="495">
        <f>INDEX(Odds!I:I,MATCH(J171,Odds!G:G,0))</f>
        <v>1.7</v>
      </c>
      <c r="M171" s="488">
        <f>INDEX(Odds!J:J,MATCH(J171,Odds!G:G,0))</f>
        <v>1</v>
      </c>
      <c r="N171" s="489">
        <f t="shared" si="19"/>
        <v>1.7</v>
      </c>
      <c r="O171" s="658"/>
      <c r="P171" s="62"/>
      <c r="AB171" s="663" t="str">
        <f>IF(O171="","",INDEX(Odds!H:H,MATCH(O171,Odds!G:G,0)))</f>
        <v/>
      </c>
      <c r="AC171" s="695">
        <f>IF(J171="","",INDEX(Odds!K:K,MATCH(J171,Odds!G:G,0)))</f>
        <v>1</v>
      </c>
      <c r="AD171" s="63"/>
      <c r="AE171" s="63"/>
      <c r="AF171" s="482"/>
      <c r="AG171" s="63"/>
    </row>
    <row r="172" spans="1:33" ht="13.5" thickBot="1">
      <c r="A172" s="496" t="str">
        <f>A170</f>
        <v>Stephen Barr</v>
      </c>
      <c r="B172" s="497" t="str">
        <f t="shared" si="20"/>
        <v>Arsenal</v>
      </c>
      <c r="C172" s="587">
        <f>IF(J172="","",INDEX(Odds!C:C,MATCH(J172,Odds!G:G,0)))</f>
        <v>1</v>
      </c>
      <c r="D172" s="498">
        <f t="shared" si="21"/>
        <v>1.4444444444444444</v>
      </c>
      <c r="E172" s="507" t="str">
        <f t="shared" si="18"/>
        <v>√</v>
      </c>
      <c r="F172" s="493"/>
      <c r="G172" s="504"/>
      <c r="H172" s="235"/>
      <c r="I172" s="412"/>
      <c r="J172" s="499" t="s">
        <v>594</v>
      </c>
      <c r="K172" s="219" t="str">
        <f>INDEX(Odds!H:H,MATCH(J172,Odds!G:G,0))</f>
        <v>4/9</v>
      </c>
      <c r="L172" s="500">
        <f>INDEX(Odds!I:I,MATCH(J172,Odds!G:G,0))</f>
        <v>1.4444444444444444</v>
      </c>
      <c r="M172" s="488">
        <f>INDEX(Odds!J:J,MATCH(J172,Odds!G:G,0))</f>
        <v>1</v>
      </c>
      <c r="N172" s="501">
        <f t="shared" si="19"/>
        <v>1.4444444444444444</v>
      </c>
      <c r="O172" s="659"/>
      <c r="P172" s="62"/>
      <c r="AB172" s="664" t="str">
        <f>IF(O172="","",INDEX(Odds!H:H,MATCH(O172,Odds!G:G,0)))</f>
        <v/>
      </c>
      <c r="AC172" s="695">
        <f>IF(J172="","",INDEX(Odds!K:K,MATCH(J172,Odds!G:G,0)))</f>
        <v>1</v>
      </c>
      <c r="AD172" s="63"/>
      <c r="AE172" s="63"/>
      <c r="AF172" s="482"/>
      <c r="AG172" s="63"/>
    </row>
    <row r="173" spans="1:33" ht="13.9" thickTop="1" thickBot="1">
      <c r="A173" s="484" t="str">
        <f>Results!B173</f>
        <v>Stephen Troop</v>
      </c>
      <c r="B173" s="502" t="str">
        <f t="shared" si="20"/>
        <v>Villa draw</v>
      </c>
      <c r="C173" s="586">
        <f>IF(J173="","",INDEX(Odds!C:C,MATCH(J173,Odds!G:G,0)))</f>
        <v>1</v>
      </c>
      <c r="D173" s="485">
        <f t="shared" si="21"/>
        <v>3.75</v>
      </c>
      <c r="E173" s="508" t="str">
        <f t="shared" si="18"/>
        <v>x</v>
      </c>
      <c r="F173" s="415">
        <f>IF(J173="",-10,INDEX(Results!T:T,MATCH(A173,Results!V:V,0)))</f>
        <v>-7</v>
      </c>
      <c r="G173" s="216">
        <f>IF(J173="","",INDEX(Results!AI:AI,MATCH(A173,Results!V:V,0)))</f>
        <v>174.875</v>
      </c>
      <c r="H173" s="235">
        <f>IF(G173="",0,1)</f>
        <v>1</v>
      </c>
      <c r="I173" s="411">
        <f>INDEX(Picks!AG:AG,MATCH(A173,Picks!AD:AD,0))</f>
        <v>50</v>
      </c>
      <c r="J173" s="486" t="s">
        <v>648</v>
      </c>
      <c r="K173" s="217" t="str">
        <f>INDEX(Odds!H:H,MATCH(J173,Odds!G:G,0))</f>
        <v>11/4</v>
      </c>
      <c r="L173" s="487">
        <f>INDEX(Odds!I:I,MATCH(J173,Odds!G:G,0))</f>
        <v>3.75</v>
      </c>
      <c r="M173" s="503">
        <f>INDEX(Odds!J:J,MATCH(J173,Odds!G:G,0))</f>
        <v>0</v>
      </c>
      <c r="N173" s="489">
        <f t="shared" si="19"/>
        <v>0</v>
      </c>
      <c r="O173" s="658"/>
      <c r="P173" s="62"/>
      <c r="AB173" s="663" t="str">
        <f>IF(O173="","",INDEX(Odds!H:H,MATCH(O173,Odds!G:G,0)))</f>
        <v/>
      </c>
      <c r="AC173" s="695">
        <f>IF(J173="","",INDEX(Odds!K:K,MATCH(J173,Odds!G:G,0)))</f>
        <v>1</v>
      </c>
      <c r="AD173" s="63"/>
      <c r="AE173" s="63"/>
      <c r="AF173" s="482"/>
      <c r="AG173" s="63"/>
    </row>
    <row r="174" spans="1:33">
      <c r="A174" s="490" t="str">
        <f>A173</f>
        <v>Stephen Troop</v>
      </c>
      <c r="B174" s="491" t="str">
        <f t="shared" si="20"/>
        <v>West Ham</v>
      </c>
      <c r="C174" s="586">
        <f>IF(J174="","",INDEX(Odds!C:C,MATCH(J174,Odds!G:G,0)))</f>
        <v>1</v>
      </c>
      <c r="D174" s="492">
        <f t="shared" si="21"/>
        <v>1.75</v>
      </c>
      <c r="E174" s="507" t="str">
        <f t="shared" si="18"/>
        <v>x</v>
      </c>
      <c r="F174" s="493"/>
      <c r="G174" s="504"/>
      <c r="H174" s="235"/>
      <c r="I174" s="412"/>
      <c r="J174" s="486" t="s">
        <v>452</v>
      </c>
      <c r="K174" s="218" t="str">
        <f>INDEX(Odds!H:H,MATCH(J174,Odds!G:G,0))</f>
        <v>3/4</v>
      </c>
      <c r="L174" s="495">
        <f>INDEX(Odds!I:I,MATCH(J174,Odds!G:G,0))</f>
        <v>1.75</v>
      </c>
      <c r="M174" s="488">
        <f>INDEX(Odds!J:J,MATCH(J174,Odds!G:G,0))</f>
        <v>0</v>
      </c>
      <c r="N174" s="489">
        <f t="shared" si="19"/>
        <v>0</v>
      </c>
      <c r="O174" s="658"/>
      <c r="P174" s="62"/>
      <c r="AB174" s="663" t="str">
        <f>IF(O174="","",INDEX(Odds!H:H,MATCH(O174,Odds!G:G,0)))</f>
        <v/>
      </c>
      <c r="AC174" s="695">
        <f>IF(J174="","",INDEX(Odds!K:K,MATCH(J174,Odds!G:G,0)))</f>
        <v>1</v>
      </c>
    </row>
    <row r="175" spans="1:33" ht="13.5" thickBot="1">
      <c r="A175" s="496" t="str">
        <f>A173</f>
        <v>Stephen Troop</v>
      </c>
      <c r="B175" s="497" t="str">
        <f t="shared" si="20"/>
        <v>Leicester</v>
      </c>
      <c r="C175" s="587">
        <f>IF(J175="","",INDEX(Odds!C:C,MATCH(J175,Odds!G:G,0)))</f>
        <v>1</v>
      </c>
      <c r="D175" s="498">
        <f t="shared" si="21"/>
        <v>13</v>
      </c>
      <c r="E175" s="527" t="str">
        <f t="shared" si="18"/>
        <v>x</v>
      </c>
      <c r="F175" s="528"/>
      <c r="G175" s="529"/>
      <c r="H175" s="235"/>
      <c r="I175" s="412"/>
      <c r="J175" s="499" t="s">
        <v>570</v>
      </c>
      <c r="K175" s="219" t="str">
        <f>INDEX(Odds!H:H,MATCH(J175,Odds!G:G,0))</f>
        <v>12/1</v>
      </c>
      <c r="L175" s="500">
        <f>INDEX(Odds!I:I,MATCH(J175,Odds!G:G,0))</f>
        <v>13</v>
      </c>
      <c r="M175" s="488">
        <f>INDEX(Odds!J:J,MATCH(J175,Odds!G:G,0))</f>
        <v>0</v>
      </c>
      <c r="N175" s="501">
        <f t="shared" si="19"/>
        <v>0</v>
      </c>
      <c r="O175" s="659"/>
      <c r="P175" s="62"/>
      <c r="AB175" s="664" t="str">
        <f>IF(O175="","",INDEX(Odds!H:H,MATCH(O175,Odds!G:G,0)))</f>
        <v/>
      </c>
      <c r="AC175" s="695">
        <f>IF(J175="","",INDEX(Odds!K:K,MATCH(J175,Odds!G:G,0)))</f>
        <v>1</v>
      </c>
    </row>
    <row r="176" spans="1:33" ht="13.9" thickTop="1" thickBot="1">
      <c r="A176" s="484" t="str">
        <f>Results!B176</f>
        <v>Steve Baxter</v>
      </c>
      <c r="B176" s="502" t="str">
        <f t="shared" ref="B176:B187" si="22">IF(J176="","",J176)</f>
        <v>Arsenal</v>
      </c>
      <c r="C176" s="586">
        <f>IF(J176="","",INDEX(Odds!C:C,MATCH(J176,Odds!G:G,0)))</f>
        <v>1</v>
      </c>
      <c r="D176" s="485">
        <f t="shared" ref="D176:D187" si="23">IF(J176="","",L176)</f>
        <v>1.4444444444444444</v>
      </c>
      <c r="E176" s="508" t="str">
        <f t="shared" ref="E176:E187" si="24">IF(J176="","",IF(M176=1,"√","x"))</f>
        <v>√</v>
      </c>
      <c r="F176" s="415">
        <f>IF(J176="",-10,INDEX(Results!T:T,MATCH(A176,Results!V:V,0)))</f>
        <v>11.818803418803419</v>
      </c>
      <c r="G176" s="216">
        <f>IF(J176="","",INDEX(Results!AI:AI,MATCH(A176,Results!V:V,0)))</f>
        <v>11.818803418803419</v>
      </c>
      <c r="H176" s="235">
        <f>IF(G176="",0,1)</f>
        <v>1</v>
      </c>
      <c r="I176" s="411">
        <f>INDEX(Picks!AG:AG,MATCH(A176,Picks!AD:AD,0))</f>
        <v>6</v>
      </c>
      <c r="J176" s="486" t="s">
        <v>594</v>
      </c>
      <c r="K176" s="217" t="str">
        <f>INDEX(Odds!H:H,MATCH(J176,Odds!G:G,0))</f>
        <v>4/9</v>
      </c>
      <c r="L176" s="487">
        <f>INDEX(Odds!I:I,MATCH(J176,Odds!G:G,0))</f>
        <v>1.4444444444444444</v>
      </c>
      <c r="M176" s="503">
        <f>INDEX(Odds!J:J,MATCH(J176,Odds!G:G,0))</f>
        <v>1</v>
      </c>
      <c r="N176" s="489">
        <f t="shared" ref="N176:N187" si="25">L176*M176</f>
        <v>1.4444444444444444</v>
      </c>
      <c r="O176" s="658"/>
      <c r="P176" s="98"/>
      <c r="Q176" s="98"/>
      <c r="AB176" s="663" t="str">
        <f>IF(O176="","",INDEX(Odds!H:H,MATCH(O176,Odds!G:G,0)))</f>
        <v/>
      </c>
      <c r="AC176" s="695">
        <f>IF(J176="","",INDEX(Odds!K:K,MATCH(J176,Odds!G:G,0)))</f>
        <v>1</v>
      </c>
    </row>
    <row r="177" spans="1:29">
      <c r="A177" s="490" t="str">
        <f>A176</f>
        <v>Steve Baxter</v>
      </c>
      <c r="B177" s="491" t="str">
        <f t="shared" si="22"/>
        <v>Chelsea</v>
      </c>
      <c r="C177" s="586">
        <f>IF(J177="","",INDEX(Odds!C:C,MATCH(J177,Odds!G:G,0)))</f>
        <v>1</v>
      </c>
      <c r="D177" s="492">
        <f t="shared" si="23"/>
        <v>1.6153846153846154</v>
      </c>
      <c r="E177" s="507" t="str">
        <f t="shared" si="24"/>
        <v>√</v>
      </c>
      <c r="F177" s="493"/>
      <c r="G177" s="504"/>
      <c r="J177" s="486" t="s">
        <v>571</v>
      </c>
      <c r="K177" s="218" t="str">
        <f>INDEX(Odds!H:H,MATCH(J177,Odds!G:G,0))</f>
        <v>8/13</v>
      </c>
      <c r="L177" s="495">
        <f>INDEX(Odds!I:I,MATCH(J177,Odds!G:G,0))</f>
        <v>1.6153846153846154</v>
      </c>
      <c r="M177" s="488">
        <f>INDEX(Odds!J:J,MATCH(J177,Odds!G:G,0))</f>
        <v>1</v>
      </c>
      <c r="N177" s="489">
        <f t="shared" si="25"/>
        <v>1.6153846153846154</v>
      </c>
      <c r="O177" s="658"/>
      <c r="P177" s="98"/>
      <c r="Q177" s="98"/>
      <c r="AB177" s="663" t="str">
        <f>IF(O177="","",INDEX(Odds!H:H,MATCH(O177,Odds!G:G,0)))</f>
        <v/>
      </c>
      <c r="AC177" s="695">
        <f>IF(J177="","",INDEX(Odds!K:K,MATCH(J177,Odds!G:G,0)))</f>
        <v>1</v>
      </c>
    </row>
    <row r="178" spans="1:29" ht="13.5" thickBot="1">
      <c r="A178" s="496" t="str">
        <f>A176</f>
        <v>Steve Baxter</v>
      </c>
      <c r="B178" s="497" t="str">
        <f t="shared" si="22"/>
        <v>Huddersfield</v>
      </c>
      <c r="C178" s="587">
        <f>IF(J178="","",INDEX(Odds!C:C,MATCH(J178,Odds!G:G,0)))</f>
        <v>1</v>
      </c>
      <c r="D178" s="498">
        <f t="shared" si="23"/>
        <v>2.1</v>
      </c>
      <c r="E178" s="527" t="str">
        <f t="shared" si="24"/>
        <v>√</v>
      </c>
      <c r="F178" s="528"/>
      <c r="G178" s="529"/>
      <c r="J178" s="499" t="s">
        <v>579</v>
      </c>
      <c r="K178" s="219" t="str">
        <f>INDEX(Odds!H:H,MATCH(J178,Odds!G:G,0))</f>
        <v>11/10</v>
      </c>
      <c r="L178" s="500">
        <f>INDEX(Odds!I:I,MATCH(J178,Odds!G:G,0))</f>
        <v>2.1</v>
      </c>
      <c r="M178" s="488">
        <f>INDEX(Odds!J:J,MATCH(J178,Odds!G:G,0))</f>
        <v>1</v>
      </c>
      <c r="N178" s="501">
        <f t="shared" si="25"/>
        <v>2.1</v>
      </c>
      <c r="O178" s="659"/>
      <c r="P178" s="98"/>
      <c r="Q178" s="98"/>
      <c r="AB178" s="664" t="str">
        <f>IF(O178="","",INDEX(Odds!H:H,MATCH(O178,Odds!G:G,0)))</f>
        <v/>
      </c>
      <c r="AC178" s="695">
        <f>IF(J178="","",INDEX(Odds!K:K,MATCH(J178,Odds!G:G,0)))</f>
        <v>1</v>
      </c>
    </row>
    <row r="179" spans="1:29" ht="13.9" thickTop="1" thickBot="1">
      <c r="A179" s="484" t="str">
        <f>Results!B179</f>
        <v>Steve Carter</v>
      </c>
      <c r="B179" s="502" t="str">
        <f t="shared" si="22"/>
        <v>Huddersfield</v>
      </c>
      <c r="C179" s="586">
        <f>IF(J179="","",INDEX(Odds!C:C,MATCH(J179,Odds!G:G,0)))</f>
        <v>1</v>
      </c>
      <c r="D179" s="485">
        <f t="shared" si="23"/>
        <v>2.1</v>
      </c>
      <c r="E179" s="508" t="str">
        <f t="shared" si="24"/>
        <v>√</v>
      </c>
      <c r="F179" s="415">
        <f>IF(J179="",-10,INDEX(Results!T:T,MATCH(A179,Results!V:V,0)))</f>
        <v>1.7650000000000006</v>
      </c>
      <c r="G179" s="216">
        <f>IF(J179="","",INDEX(Results!AI:AI,MATCH(A179,Results!V:V,0)))</f>
        <v>35.942499999999995</v>
      </c>
      <c r="H179" s="235">
        <f>IF(G179="",0,1)</f>
        <v>1</v>
      </c>
      <c r="I179" s="411">
        <f>INDEX(Picks!AG:AG,MATCH(A179,Picks!AD:AD,0))</f>
        <v>12</v>
      </c>
      <c r="J179" s="486" t="s">
        <v>579</v>
      </c>
      <c r="K179" s="217" t="str">
        <f>INDEX(Odds!H:H,MATCH(J179,Odds!G:G,0))</f>
        <v>11/10</v>
      </c>
      <c r="L179" s="487">
        <f>INDEX(Odds!I:I,MATCH(J179,Odds!G:G,0))</f>
        <v>2.1</v>
      </c>
      <c r="M179" s="503">
        <f>INDEX(Odds!J:J,MATCH(J179,Odds!G:G,0))</f>
        <v>1</v>
      </c>
      <c r="N179" s="489">
        <f t="shared" si="25"/>
        <v>2.1</v>
      </c>
      <c r="O179" s="658"/>
      <c r="P179" s="98"/>
      <c r="Q179" s="98"/>
      <c r="AB179" s="663" t="str">
        <f>IF(O179="","",INDEX(Odds!H:H,MATCH(O179,Odds!G:G,0)))</f>
        <v/>
      </c>
      <c r="AC179" s="695">
        <f>IF(J179="","",INDEX(Odds!K:K,MATCH(J179,Odds!G:G,0)))</f>
        <v>1</v>
      </c>
    </row>
    <row r="180" spans="1:29">
      <c r="A180" s="490" t="str">
        <f>A179</f>
        <v>Steve Carter</v>
      </c>
      <c r="B180" s="491" t="str">
        <f t="shared" si="22"/>
        <v>Brighton draw</v>
      </c>
      <c r="C180" s="586">
        <f>IF(J180="","",INDEX(Odds!C:C,MATCH(J180,Odds!G:G,0)))</f>
        <v>1</v>
      </c>
      <c r="D180" s="492">
        <f t="shared" si="23"/>
        <v>3.5</v>
      </c>
      <c r="E180" s="507" t="str">
        <f t="shared" si="24"/>
        <v>x</v>
      </c>
      <c r="F180" s="493"/>
      <c r="G180" s="504"/>
      <c r="J180" s="486" t="s">
        <v>646</v>
      </c>
      <c r="K180" s="218" t="str">
        <f>INDEX(Odds!H:H,MATCH(J180,Odds!G:G,0))</f>
        <v>5/2</v>
      </c>
      <c r="L180" s="495">
        <f>INDEX(Odds!I:I,MATCH(J180,Odds!G:G,0))</f>
        <v>3.5</v>
      </c>
      <c r="M180" s="488">
        <f>INDEX(Odds!J:J,MATCH(J180,Odds!G:G,0))</f>
        <v>0</v>
      </c>
      <c r="N180" s="489">
        <f t="shared" si="25"/>
        <v>0</v>
      </c>
      <c r="O180" s="658"/>
      <c r="P180" s="98"/>
      <c r="Q180" s="98"/>
      <c r="AB180" s="663" t="str">
        <f>IF(O180="","",INDEX(Odds!H:H,MATCH(O180,Odds!G:G,0)))</f>
        <v/>
      </c>
      <c r="AC180" s="695">
        <f>IF(J180="","",INDEX(Odds!K:K,MATCH(J180,Odds!G:G,0)))</f>
        <v>1</v>
      </c>
    </row>
    <row r="181" spans="1:29" ht="13.5" thickBot="1">
      <c r="A181" s="496" t="str">
        <f>A179</f>
        <v>Steve Carter</v>
      </c>
      <c r="B181" s="497" t="str">
        <f t="shared" si="22"/>
        <v>Tranmere</v>
      </c>
      <c r="C181" s="587">
        <f>IF(J181="","",INDEX(Odds!C:C,MATCH(J181,Odds!G:G,0)))</f>
        <v>1</v>
      </c>
      <c r="D181" s="498">
        <f t="shared" si="23"/>
        <v>2.15</v>
      </c>
      <c r="E181" s="527" t="str">
        <f t="shared" si="24"/>
        <v>√</v>
      </c>
      <c r="F181" s="528"/>
      <c r="G181" s="529"/>
      <c r="J181" s="499" t="s">
        <v>559</v>
      </c>
      <c r="K181" s="219" t="str">
        <f>INDEX(Odds!H:H,MATCH(J181,Odds!G:G,0))</f>
        <v>23/20</v>
      </c>
      <c r="L181" s="500">
        <f>INDEX(Odds!I:I,MATCH(J181,Odds!G:G,0))</f>
        <v>2.15</v>
      </c>
      <c r="M181" s="488">
        <f>INDEX(Odds!J:J,MATCH(J181,Odds!G:G,0))</f>
        <v>1</v>
      </c>
      <c r="N181" s="501">
        <f t="shared" si="25"/>
        <v>2.15</v>
      </c>
      <c r="O181" s="659"/>
      <c r="P181" s="98"/>
      <c r="Q181" s="98"/>
      <c r="AB181" s="664" t="str">
        <f>IF(O181="","",INDEX(Odds!H:H,MATCH(O181,Odds!G:G,0)))</f>
        <v/>
      </c>
      <c r="AC181" s="695">
        <f>IF(J181="","",INDEX(Odds!K:K,MATCH(J181,Odds!G:G,0)))</f>
        <v>1</v>
      </c>
    </row>
    <row r="182" spans="1:29" ht="13.9" thickTop="1" thickBot="1">
      <c r="A182" s="484" t="str">
        <f>Results!B182</f>
        <v>Tom Robinson</v>
      </c>
      <c r="B182" s="502" t="str">
        <f t="shared" si="22"/>
        <v>Spurs</v>
      </c>
      <c r="C182" s="586">
        <f>IF(J182="","",INDEX(Odds!C:C,MATCH(J182,Odds!G:G,0)))</f>
        <v>1</v>
      </c>
      <c r="D182" s="485">
        <f t="shared" si="23"/>
        <v>1.7</v>
      </c>
      <c r="E182" s="508" t="str">
        <f t="shared" si="24"/>
        <v>√</v>
      </c>
      <c r="F182" s="415">
        <f>IF(J182="",-10,INDEX(Results!T:T,MATCH(A182,Results!V:V,0)))</f>
        <v>-0.64999999999999947</v>
      </c>
      <c r="G182" s="216">
        <f>IF(J182="","",INDEX(Results!AI:AI,MATCH(A182,Results!V:V,0)))</f>
        <v>15.520000000000003</v>
      </c>
      <c r="H182" s="235">
        <f>IF(G182="",0,1)</f>
        <v>1</v>
      </c>
      <c r="I182" s="411">
        <f>INDEX(Picks!AG:AG,MATCH(A182,Picks!AD:AD,0))</f>
        <v>24</v>
      </c>
      <c r="J182" s="486" t="s">
        <v>453</v>
      </c>
      <c r="K182" s="217" t="str">
        <f>INDEX(Odds!H:H,MATCH(J182,Odds!G:G,0))</f>
        <v>7/10</v>
      </c>
      <c r="L182" s="487">
        <f>INDEX(Odds!I:I,MATCH(J182,Odds!G:G,0))</f>
        <v>1.7</v>
      </c>
      <c r="M182" s="503">
        <f>INDEX(Odds!J:J,MATCH(J182,Odds!G:G,0))</f>
        <v>1</v>
      </c>
      <c r="N182" s="489">
        <f t="shared" si="25"/>
        <v>1.7</v>
      </c>
      <c r="O182" s="658"/>
      <c r="P182" s="98"/>
      <c r="Q182" s="98"/>
      <c r="AB182" s="663" t="str">
        <f>IF(O182="","",INDEX(Odds!H:H,MATCH(O182,Odds!G:G,0)))</f>
        <v/>
      </c>
      <c r="AC182" s="695">
        <f>IF(J182="","",INDEX(Odds!K:K,MATCH(J182,Odds!G:G,0)))</f>
        <v>1</v>
      </c>
    </row>
    <row r="183" spans="1:29">
      <c r="A183" s="490" t="str">
        <f>A182</f>
        <v>Tom Robinson</v>
      </c>
      <c r="B183" s="491" t="str">
        <f t="shared" si="22"/>
        <v>Stockport</v>
      </c>
      <c r="C183" s="586">
        <f>IF(J183="","",INDEX(Odds!C:C,MATCH(J183,Odds!G:G,0)))</f>
        <v>1</v>
      </c>
      <c r="D183" s="492">
        <f t="shared" si="23"/>
        <v>1.7222222222222223</v>
      </c>
      <c r="E183" s="507" t="str">
        <f t="shared" si="24"/>
        <v>√</v>
      </c>
      <c r="F183" s="493"/>
      <c r="G183" s="504"/>
      <c r="J183" s="486" t="s">
        <v>602</v>
      </c>
      <c r="K183" s="218" t="str">
        <f>INDEX(Odds!H:H,MATCH(J183,Odds!G:G,0))</f>
        <v>13/18</v>
      </c>
      <c r="L183" s="495">
        <f>INDEX(Odds!I:I,MATCH(J183,Odds!G:G,0))</f>
        <v>1.7222222222222223</v>
      </c>
      <c r="M183" s="488">
        <f>INDEX(Odds!J:J,MATCH(J183,Odds!G:G,0))</f>
        <v>1</v>
      </c>
      <c r="N183" s="489">
        <f t="shared" si="25"/>
        <v>1.7222222222222223</v>
      </c>
      <c r="O183" s="658"/>
      <c r="P183" s="98"/>
      <c r="Q183" s="98"/>
      <c r="AB183" s="663" t="str">
        <f>IF(O183="","",INDEX(Odds!H:H,MATCH(O183,Odds!G:G,0)))</f>
        <v/>
      </c>
      <c r="AC183" s="695">
        <f>IF(J183="","",INDEX(Odds!K:K,MATCH(J183,Odds!G:G,0)))</f>
        <v>1</v>
      </c>
    </row>
    <row r="184" spans="1:29" ht="13.5" thickBot="1">
      <c r="A184" s="496" t="str">
        <f>A182</f>
        <v>Tom Robinson</v>
      </c>
      <c r="B184" s="497" t="str">
        <f t="shared" si="22"/>
        <v>Oldham</v>
      </c>
      <c r="C184" s="587">
        <f>IF(J184="","",INDEX(Odds!C:C,MATCH(J184,Odds!G:G,0)))</f>
        <v>1</v>
      </c>
      <c r="D184" s="498">
        <f t="shared" si="23"/>
        <v>2.2000000000000002</v>
      </c>
      <c r="E184" s="527" t="str">
        <f t="shared" si="24"/>
        <v>x</v>
      </c>
      <c r="F184" s="528"/>
      <c r="G184" s="529"/>
      <c r="J184" s="499" t="s">
        <v>599</v>
      </c>
      <c r="K184" s="219" t="str">
        <f>INDEX(Odds!H:H,MATCH(J184,Odds!G:G,0))</f>
        <v>6/5</v>
      </c>
      <c r="L184" s="500">
        <f>INDEX(Odds!I:I,MATCH(J184,Odds!G:G,0))</f>
        <v>2.2000000000000002</v>
      </c>
      <c r="M184" s="488">
        <f>INDEX(Odds!J:J,MATCH(J184,Odds!G:G,0))</f>
        <v>0</v>
      </c>
      <c r="N184" s="501">
        <f t="shared" si="25"/>
        <v>0</v>
      </c>
      <c r="O184" s="659"/>
      <c r="P184" s="98"/>
      <c r="Q184" s="98"/>
      <c r="AB184" s="664" t="str">
        <f>IF(O184="","",INDEX(Odds!H:H,MATCH(O184,Odds!G:G,0)))</f>
        <v/>
      </c>
      <c r="AC184" s="695">
        <f>IF(J184="","",INDEX(Odds!K:K,MATCH(J184,Odds!G:G,0)))</f>
        <v>1</v>
      </c>
    </row>
    <row r="185" spans="1:29" ht="13.9" thickTop="1" thickBot="1">
      <c r="A185" s="484" t="str">
        <f>Results!B185</f>
        <v>Vinny Topping</v>
      </c>
      <c r="B185" s="502" t="str">
        <f t="shared" si="22"/>
        <v>Fleetwood</v>
      </c>
      <c r="C185" s="586">
        <f>IF(J185="","",INDEX(Odds!C:C,MATCH(J185,Odds!G:G,0)))</f>
        <v>1</v>
      </c>
      <c r="D185" s="485">
        <f t="shared" si="23"/>
        <v>2.2000000000000002</v>
      </c>
      <c r="E185" s="508" t="str">
        <f t="shared" si="24"/>
        <v>x</v>
      </c>
      <c r="F185" s="415">
        <f>IF(J185="",-10,INDEX(Results!T:T,MATCH(A185,Results!V:V,0)))</f>
        <v>1.163636363636364</v>
      </c>
      <c r="G185" s="216">
        <f>IF(J185="","",INDEX(Results!AI:AI,MATCH(A185,Results!V:V,0)))</f>
        <v>21.323636363636368</v>
      </c>
      <c r="H185" s="235">
        <f>IF(G185="",0,1)</f>
        <v>1</v>
      </c>
      <c r="I185" s="411">
        <f>INDEX(Picks!AG:AG,MATCH(A185,Picks!AD:AD,0))</f>
        <v>13</v>
      </c>
      <c r="J185" s="486" t="s">
        <v>589</v>
      </c>
      <c r="K185" s="217" t="str">
        <f>INDEX(Odds!H:H,MATCH(J185,Odds!G:G,0))</f>
        <v>6/5</v>
      </c>
      <c r="L185" s="487">
        <f>INDEX(Odds!I:I,MATCH(J185,Odds!G:G,0))</f>
        <v>2.2000000000000002</v>
      </c>
      <c r="M185" s="503">
        <f>INDEX(Odds!J:J,MATCH(J185,Odds!G:G,0))</f>
        <v>0</v>
      </c>
      <c r="N185" s="489">
        <f t="shared" si="25"/>
        <v>0</v>
      </c>
      <c r="O185" s="658"/>
      <c r="P185" s="98"/>
      <c r="Q185" s="98"/>
      <c r="AB185" s="663" t="str">
        <f>IF(O185="","",INDEX(Odds!H:H,MATCH(O185,Odds!G:G,0)))</f>
        <v/>
      </c>
      <c r="AC185" s="695">
        <f>IF(J185="","",INDEX(Odds!K:K,MATCH(J185,Odds!G:G,0)))</f>
        <v>1</v>
      </c>
    </row>
    <row r="186" spans="1:29">
      <c r="A186" s="490" t="str">
        <f>A185</f>
        <v>Vinny Topping</v>
      </c>
      <c r="B186" s="491" t="str">
        <f t="shared" si="22"/>
        <v>Mansfield</v>
      </c>
      <c r="C186" s="586">
        <f>IF(J186="","",INDEX(Odds!C:C,MATCH(J186,Odds!G:G,0)))</f>
        <v>1</v>
      </c>
      <c r="D186" s="492">
        <f t="shared" si="23"/>
        <v>1.9090909090909092</v>
      </c>
      <c r="E186" s="507" t="str">
        <f t="shared" si="24"/>
        <v>√</v>
      </c>
      <c r="F186" s="493"/>
      <c r="G186" s="504"/>
      <c r="J186" s="486" t="s">
        <v>631</v>
      </c>
      <c r="K186" s="218" t="str">
        <f>INDEX(Odds!H:H,MATCH(J186,Odds!G:G,0))</f>
        <v>10/11</v>
      </c>
      <c r="L186" s="495">
        <f>INDEX(Odds!I:I,MATCH(J186,Odds!G:G,0))</f>
        <v>1.9090909090909092</v>
      </c>
      <c r="M186" s="488">
        <f>INDEX(Odds!J:J,MATCH(J186,Odds!G:G,0))</f>
        <v>1</v>
      </c>
      <c r="N186" s="489">
        <f t="shared" si="25"/>
        <v>1.9090909090909092</v>
      </c>
      <c r="O186" s="658"/>
      <c r="P186" s="98"/>
      <c r="Q186" s="98"/>
      <c r="AB186" s="663" t="str">
        <f>IF(O186="","",INDEX(Odds!H:H,MATCH(O186,Odds!G:G,0)))</f>
        <v/>
      </c>
      <c r="AC186" s="695">
        <f>IF(J186="","",INDEX(Odds!K:K,MATCH(J186,Odds!G:G,0)))</f>
        <v>1</v>
      </c>
    </row>
    <row r="187" spans="1:29" ht="13.5" thickBot="1">
      <c r="A187" s="496" t="str">
        <f>A185</f>
        <v>Vinny Topping</v>
      </c>
      <c r="B187" s="497" t="str">
        <f t="shared" si="22"/>
        <v>Tranmere</v>
      </c>
      <c r="C187" s="587">
        <f>IF(J187="","",INDEX(Odds!C:C,MATCH(J187,Odds!G:G,0)))</f>
        <v>1</v>
      </c>
      <c r="D187" s="498">
        <f t="shared" si="23"/>
        <v>2.15</v>
      </c>
      <c r="E187" s="527" t="str">
        <f t="shared" si="24"/>
        <v>√</v>
      </c>
      <c r="F187" s="528"/>
      <c r="G187" s="529"/>
      <c r="J187" s="499" t="s">
        <v>559</v>
      </c>
      <c r="K187" s="219" t="str">
        <f>INDEX(Odds!H:H,MATCH(J187,Odds!G:G,0))</f>
        <v>23/20</v>
      </c>
      <c r="L187" s="500">
        <f>INDEX(Odds!I:I,MATCH(J187,Odds!G:G,0))</f>
        <v>2.15</v>
      </c>
      <c r="M187" s="488">
        <f>INDEX(Odds!J:J,MATCH(J187,Odds!G:G,0))</f>
        <v>1</v>
      </c>
      <c r="N187" s="501">
        <f t="shared" si="25"/>
        <v>2.15</v>
      </c>
      <c r="O187" s="659"/>
      <c r="P187" s="98"/>
      <c r="Q187" s="98"/>
      <c r="AB187" s="664" t="str">
        <f>IF(O187="","",INDEX(Odds!H:H,MATCH(O187,Odds!G:G,0)))</f>
        <v/>
      </c>
      <c r="AC187" s="695">
        <f>IF(J187="","",INDEX(Odds!K:K,MATCH(J187,Odds!G:G,0)))</f>
        <v>1</v>
      </c>
    </row>
    <row r="188" spans="1:29" ht="13.5" thickTop="1">
      <c r="AB188" s="20" t="str">
        <f>IF(O188="","",INDEX(Odds!H:H,MATCH(O188,Odds!G:G,0)))</f>
        <v/>
      </c>
      <c r="AC188" s="20"/>
    </row>
    <row r="189" spans="1:29">
      <c r="AB189" s="20" t="str">
        <f>IF(O189="","",INDEX(Odds!H:H,MATCH(O189,Odds!G:G,0)))</f>
        <v/>
      </c>
      <c r="AC189" s="20"/>
    </row>
    <row r="190" spans="1:29">
      <c r="AB190" s="20" t="str">
        <f>IF(O190="","",INDEX(Odds!H:H,MATCH(O190,Odds!G:G,0)))</f>
        <v/>
      </c>
      <c r="AC190" s="20"/>
    </row>
    <row r="191" spans="1:29">
      <c r="AB191" s="20" t="str">
        <f>IF(O191="","",INDEX(Odds!H:H,MATCH(O191,Odds!G:G,0)))</f>
        <v/>
      </c>
      <c r="AC191" s="20"/>
    </row>
    <row r="192" spans="1:29">
      <c r="AB192" s="20" t="str">
        <f>IF(O192="","",INDEX(Odds!H:H,MATCH(O192,Odds!G:G,0)))</f>
        <v/>
      </c>
      <c r="AC192" s="20"/>
    </row>
    <row r="193" spans="28:29">
      <c r="AB193" s="20" t="str">
        <f>IF(O193="","",INDEX(Odds!H:H,MATCH(O193,Odds!G:G,0)))</f>
        <v/>
      </c>
      <c r="AC193" s="20"/>
    </row>
    <row r="194" spans="28:29">
      <c r="AB194" s="20" t="str">
        <f>IF(O194="","",INDEX(Odds!H:H,MATCH(O194,Odds!G:G,0)))</f>
        <v/>
      </c>
      <c r="AC194" s="20"/>
    </row>
    <row r="195" spans="28:29">
      <c r="AB195" s="20" t="str">
        <f>IF(O195="","",INDEX(Odds!H:H,MATCH(O195,Odds!G:G,0)))</f>
        <v/>
      </c>
      <c r="AC195" s="20"/>
    </row>
    <row r="196" spans="28:29">
      <c r="AB196" s="20" t="str">
        <f>IF(O196="","",INDEX(Odds!H:H,MATCH(O196,Odds!G:G,0)))</f>
        <v/>
      </c>
      <c r="AC196" s="20"/>
    </row>
    <row r="197" spans="28:29">
      <c r="AB197" s="20" t="str">
        <f>IF(O197="","",INDEX(Odds!H:H,MATCH(O197,Odds!G:G,0)))</f>
        <v/>
      </c>
      <c r="AC197" s="20"/>
    </row>
    <row r="198" spans="28:29">
      <c r="AB198" s="20" t="str">
        <f>IF(O198="","",INDEX(Odds!H:H,MATCH(O198,Odds!G:G,0)))</f>
        <v/>
      </c>
      <c r="AC198" s="20"/>
    </row>
    <row r="199" spans="28:29">
      <c r="AB199" s="20" t="str">
        <f>IF(O199="","",INDEX(Odds!H:H,MATCH(O199,Odds!G:G,0)))</f>
        <v/>
      </c>
      <c r="AC199" s="20"/>
    </row>
    <row r="200" spans="28:29">
      <c r="AB200" s="20" t="str">
        <f>IF(O200="","",INDEX(Odds!H:H,MATCH(O200,Odds!G:G,0)))</f>
        <v/>
      </c>
      <c r="AC200" s="20"/>
    </row>
    <row r="201" spans="28:29">
      <c r="AB201" s="20" t="str">
        <f>IF(O201="","",INDEX(Odds!H:H,MATCH(O201,Odds!G:G,0)))</f>
        <v/>
      </c>
      <c r="AC201" s="20"/>
    </row>
    <row r="202" spans="28:29">
      <c r="AB202" s="20" t="str">
        <f>IF(O202="","",INDEX(Odds!H:H,MATCH(O202,Odds!G:G,0)))</f>
        <v/>
      </c>
      <c r="AC202" s="20"/>
    </row>
    <row r="203" spans="28:29">
      <c r="AB203" s="20" t="str">
        <f>IF(O203="","",INDEX(Odds!H:H,MATCH(O203,Odds!G:G,0)))</f>
        <v/>
      </c>
      <c r="AC203" s="20"/>
    </row>
    <row r="204" spans="28:29">
      <c r="AB204" s="20" t="str">
        <f>IF(O204="","",INDEX(Odds!H:H,MATCH(O204,Odds!G:G,0)))</f>
        <v/>
      </c>
      <c r="AC204" s="20"/>
    </row>
    <row r="205" spans="28:29">
      <c r="AB205" s="20" t="str">
        <f>IF(O205="","",INDEX(Odds!H:H,MATCH(O205,Odds!G:G,0)))</f>
        <v/>
      </c>
      <c r="AC205" s="20"/>
    </row>
    <row r="206" spans="28:29">
      <c r="AB206" s="20" t="str">
        <f>IF(O206="","",INDEX(Odds!H:H,MATCH(O206,Odds!G:G,0)))</f>
        <v/>
      </c>
      <c r="AC206" s="20"/>
    </row>
    <row r="207" spans="28:29">
      <c r="AB207" s="20" t="str">
        <f>IF(O207="","",INDEX(Odds!H:H,MATCH(O207,Odds!G:G,0)))</f>
        <v/>
      </c>
      <c r="AC207" s="20"/>
    </row>
    <row r="208" spans="28:29">
      <c r="AB208" s="20" t="str">
        <f>IF(O208="","",INDEX(Odds!H:H,MATCH(O208,Odds!G:G,0)))</f>
        <v/>
      </c>
      <c r="AC208" s="20"/>
    </row>
    <row r="209" spans="28:29">
      <c r="AB209" s="20" t="str">
        <f>IF(O209="","",INDEX(Odds!H:H,MATCH(O209,Odds!G:G,0)))</f>
        <v/>
      </c>
      <c r="AC209" s="20"/>
    </row>
    <row r="210" spans="28:29">
      <c r="AB210" s="20" t="str">
        <f>IF(O210="","",INDEX(Odds!H:H,MATCH(O210,Odds!G:G,0)))</f>
        <v/>
      </c>
      <c r="AC210" s="20"/>
    </row>
    <row r="211" spans="28:29">
      <c r="AB211" s="20" t="str">
        <f>IF(O211="","",INDEX(Odds!H:H,MATCH(O211,Odds!G:G,0)))</f>
        <v/>
      </c>
      <c r="AC211" s="20"/>
    </row>
    <row r="212" spans="28:29">
      <c r="AB212" s="20" t="str">
        <f>IF(O212="","",INDEX(Odds!H:H,MATCH(O212,Odds!G:G,0)))</f>
        <v/>
      </c>
      <c r="AC212" s="20"/>
    </row>
    <row r="213" spans="28:29">
      <c r="AB213" s="20" t="str">
        <f>IF(O213="","",INDEX(Odds!H:H,MATCH(O213,Odds!G:G,0)))</f>
        <v/>
      </c>
      <c r="AC213" s="20"/>
    </row>
    <row r="214" spans="28:29">
      <c r="AB214" s="20" t="str">
        <f>IF(O214="","",INDEX(Odds!H:H,MATCH(O214,Odds!G:G,0)))</f>
        <v/>
      </c>
      <c r="AC214" s="20"/>
    </row>
    <row r="215" spans="28:29">
      <c r="AB215" s="20" t="str">
        <f>IF(O215="","",INDEX(Odds!H:H,MATCH(O215,Odds!G:G,0)))</f>
        <v/>
      </c>
      <c r="AC215" s="20"/>
    </row>
    <row r="216" spans="28:29">
      <c r="AB216" s="20" t="str">
        <f>IF(O216="","",INDEX(Odds!H:H,MATCH(O216,Odds!G:G,0)))</f>
        <v/>
      </c>
      <c r="AC216" s="20"/>
    </row>
    <row r="217" spans="28:29">
      <c r="AB217" s="20" t="str">
        <f>IF(O217="","",INDEX(Odds!H:H,MATCH(O217,Odds!G:G,0)))</f>
        <v/>
      </c>
      <c r="AC217" s="20"/>
    </row>
    <row r="218" spans="28:29">
      <c r="AB218" s="20" t="str">
        <f>IF(O218="","",INDEX(Odds!H:H,MATCH(O218,Odds!G:G,0)))</f>
        <v/>
      </c>
      <c r="AC218" s="20"/>
    </row>
    <row r="219" spans="28:29">
      <c r="AB219" s="20" t="str">
        <f>IF(O219="","",INDEX(Odds!H:H,MATCH(O219,Odds!G:G,0)))</f>
        <v/>
      </c>
      <c r="AC219" s="20"/>
    </row>
    <row r="220" spans="28:29">
      <c r="AB220" s="20" t="str">
        <f>IF(O220="","",INDEX(Odds!H:H,MATCH(O220,Odds!G:G,0)))</f>
        <v/>
      </c>
      <c r="AC220" s="20"/>
    </row>
    <row r="221" spans="28:29">
      <c r="AB221" s="20" t="str">
        <f>IF(O221="","",INDEX(Odds!H:H,MATCH(O221,Odds!G:G,0)))</f>
        <v/>
      </c>
      <c r="AC221" s="20"/>
    </row>
    <row r="222" spans="28:29">
      <c r="AB222" s="20" t="str">
        <f>IF(O222="","",INDEX(Odds!H:H,MATCH(O222,Odds!G:G,0)))</f>
        <v/>
      </c>
      <c r="AC222" s="20"/>
    </row>
    <row r="223" spans="28:29">
      <c r="AB223" s="20" t="str">
        <f>IF(O223="","",INDEX(Odds!H:H,MATCH(O223,Odds!G:G,0)))</f>
        <v/>
      </c>
      <c r="AC223" s="20"/>
    </row>
    <row r="224" spans="28:29">
      <c r="AB224" s="20" t="str">
        <f>IF(O224="","",INDEX(Odds!H:H,MATCH(O224,Odds!G:G,0)))</f>
        <v/>
      </c>
      <c r="AC224" s="20"/>
    </row>
    <row r="225" spans="28:29">
      <c r="AB225" s="20" t="str">
        <f>IF(O225="","",INDEX(Odds!H:H,MATCH(O225,Odds!G:G,0)))</f>
        <v/>
      </c>
      <c r="AC225" s="20"/>
    </row>
    <row r="226" spans="28:29">
      <c r="AB226" s="20" t="str">
        <f>IF(O226="","",INDEX(Odds!H:H,MATCH(O226,Odds!G:G,0)))</f>
        <v/>
      </c>
      <c r="AC226" s="20"/>
    </row>
    <row r="227" spans="28:29">
      <c r="AB227" s="20" t="str">
        <f>IF(O227="","",INDEX(Odds!H:H,MATCH(O227,Odds!G:G,0)))</f>
        <v/>
      </c>
      <c r="AC227" s="20"/>
    </row>
    <row r="228" spans="28:29">
      <c r="AB228" s="20" t="str">
        <f>IF(O228="","",INDEX(Odds!H:H,MATCH(O228,Odds!G:G,0)))</f>
        <v/>
      </c>
      <c r="AC228" s="20"/>
    </row>
    <row r="229" spans="28:29">
      <c r="AB229" s="20" t="str">
        <f>IF(O229="","",INDEX(Odds!H:H,MATCH(O229,Odds!G:G,0)))</f>
        <v/>
      </c>
      <c r="AC229" s="20"/>
    </row>
    <row r="230" spans="28:29">
      <c r="AB230" s="20" t="str">
        <f>IF(O230="","",INDEX(Odds!H:H,MATCH(O230,Odds!G:G,0)))</f>
        <v/>
      </c>
      <c r="AC230" s="20"/>
    </row>
    <row r="231" spans="28:29">
      <c r="AB231" s="20" t="str">
        <f>IF(O231="","",INDEX(Odds!H:H,MATCH(O231,Odds!G:G,0)))</f>
        <v/>
      </c>
      <c r="AC231" s="20"/>
    </row>
    <row r="232" spans="28:29">
      <c r="AB232" s="20" t="str">
        <f>IF(O232="","",INDEX(Odds!H:H,MATCH(O232,Odds!G:G,0)))</f>
        <v/>
      </c>
      <c r="AC232" s="20"/>
    </row>
    <row r="233" spans="28:29">
      <c r="AB233" s="20" t="str">
        <f>IF(O233="","",INDEX(Odds!H:H,MATCH(O233,Odds!G:G,0)))</f>
        <v/>
      </c>
      <c r="AC233" s="20"/>
    </row>
    <row r="234" spans="28:29">
      <c r="AB234" s="20" t="str">
        <f>IF(O234="","",INDEX(Odds!H:H,MATCH(O234,Odds!G:G,0)))</f>
        <v/>
      </c>
      <c r="AC234" s="20"/>
    </row>
    <row r="235" spans="28:29">
      <c r="AB235" s="20" t="str">
        <f>IF(O235="","",INDEX(Odds!H:H,MATCH(O235,Odds!G:G,0)))</f>
        <v/>
      </c>
      <c r="AC235" s="20"/>
    </row>
    <row r="236" spans="28:29">
      <c r="AB236" s="20" t="str">
        <f>IF(O236="","",INDEX(Odds!H:H,MATCH(O236,Odds!G:G,0)))</f>
        <v/>
      </c>
      <c r="AC236" s="20"/>
    </row>
    <row r="237" spans="28:29">
      <c r="AB237" s="20" t="str">
        <f>IF(O237="","",INDEX(Odds!H:H,MATCH(O237,Odds!G:G,0)))</f>
        <v/>
      </c>
      <c r="AC237" s="20"/>
    </row>
    <row r="238" spans="28:29">
      <c r="AB238" s="20" t="str">
        <f>IF(O238="","",INDEX(Odds!H:H,MATCH(O238,Odds!G:G,0)))</f>
        <v/>
      </c>
      <c r="AC238" s="20"/>
    </row>
    <row r="239" spans="28:29">
      <c r="AB239" s="20" t="str">
        <f>IF(O239="","",INDEX(Odds!H:H,MATCH(O239,Odds!G:G,0)))</f>
        <v/>
      </c>
      <c r="AC239" s="20"/>
    </row>
    <row r="240" spans="28:29">
      <c r="AB240" s="20" t="str">
        <f>IF(O240="","",INDEX(Odds!H:H,MATCH(O240,Odds!G:G,0)))</f>
        <v/>
      </c>
      <c r="AC240" s="20"/>
    </row>
    <row r="241" spans="28:29">
      <c r="AB241" s="20" t="str">
        <f>IF(O241="","",INDEX(Odds!H:H,MATCH(O241,Odds!G:G,0)))</f>
        <v/>
      </c>
      <c r="AC241" s="20"/>
    </row>
    <row r="242" spans="28:29">
      <c r="AB242" s="20" t="str">
        <f>IF(O242="","",INDEX(Odds!H:H,MATCH(O242,Odds!G:G,0)))</f>
        <v/>
      </c>
      <c r="AC242" s="20"/>
    </row>
    <row r="243" spans="28:29">
      <c r="AB243" s="20" t="str">
        <f>IF(O243="","",INDEX(Odds!H:H,MATCH(O243,Odds!G:G,0)))</f>
        <v/>
      </c>
      <c r="AC243" s="20"/>
    </row>
    <row r="244" spans="28:29">
      <c r="AB244" s="20" t="str">
        <f>IF(O244="","",INDEX(Odds!H:H,MATCH(O244,Odds!G:G,0)))</f>
        <v/>
      </c>
      <c r="AC244" s="20"/>
    </row>
    <row r="245" spans="28:29">
      <c r="AB245" s="20" t="str">
        <f>IF(O245="","",INDEX(Odds!H:H,MATCH(O245,Odds!G:G,0)))</f>
        <v/>
      </c>
      <c r="AC245" s="20"/>
    </row>
    <row r="246" spans="28:29">
      <c r="AB246" s="20" t="str">
        <f>IF(O246="","",INDEX(Odds!H:H,MATCH(O246,Odds!G:G,0)))</f>
        <v/>
      </c>
      <c r="AC246" s="20"/>
    </row>
    <row r="247" spans="28:29">
      <c r="AB247" s="20" t="str">
        <f>IF(O247="","",INDEX(Odds!H:H,MATCH(O247,Odds!G:G,0)))</f>
        <v/>
      </c>
      <c r="AC247" s="20"/>
    </row>
    <row r="248" spans="28:29">
      <c r="AB248" s="20" t="str">
        <f>IF(O248="","",INDEX(Odds!H:H,MATCH(O248,Odds!G:G,0)))</f>
        <v/>
      </c>
      <c r="AC248" s="20"/>
    </row>
    <row r="249" spans="28:29">
      <c r="AB249" s="20" t="str">
        <f>IF(O249="","",INDEX(Odds!H:H,MATCH(O249,Odds!G:G,0)))</f>
        <v/>
      </c>
      <c r="AC249" s="20"/>
    </row>
    <row r="250" spans="28:29">
      <c r="AB250" s="20" t="str">
        <f>IF(O250="","",INDEX(Odds!H:H,MATCH(O250,Odds!G:G,0)))</f>
        <v/>
      </c>
      <c r="AC250" s="20"/>
    </row>
    <row r="251" spans="28:29">
      <c r="AB251" s="20" t="str">
        <f>IF(O251="","",INDEX(Odds!H:H,MATCH(O251,Odds!G:G,0)))</f>
        <v/>
      </c>
      <c r="AC251" s="20"/>
    </row>
    <row r="252" spans="28:29">
      <c r="AB252" s="20" t="str">
        <f>IF(O252="","",INDEX(Odds!H:H,MATCH(O252,Odds!G:G,0)))</f>
        <v/>
      </c>
      <c r="AC252" s="20"/>
    </row>
    <row r="253" spans="28:29">
      <c r="AB253" s="20" t="str">
        <f>IF(O253="","",INDEX(Odds!H:H,MATCH(O253,Odds!G:G,0)))</f>
        <v/>
      </c>
      <c r="AC253" s="20"/>
    </row>
    <row r="254" spans="28:29">
      <c r="AB254" s="20" t="str">
        <f>IF(O254="","",INDEX(Odds!H:H,MATCH(O254,Odds!G:G,0)))</f>
        <v/>
      </c>
      <c r="AC254" s="20"/>
    </row>
    <row r="255" spans="28:29">
      <c r="AB255" s="20" t="str">
        <f>IF(O255="","",INDEX(Odds!H:H,MATCH(O255,Odds!G:G,0)))</f>
        <v/>
      </c>
      <c r="AC255" s="20"/>
    </row>
    <row r="256" spans="28:29">
      <c r="AB256" s="20" t="str">
        <f>IF(O256="","",INDEX(Odds!H:H,MATCH(O256,Odds!G:G,0)))</f>
        <v/>
      </c>
      <c r="AC256" s="20"/>
    </row>
    <row r="257" spans="28:29">
      <c r="AB257" s="20" t="str">
        <f>IF(O257="","",INDEX(Odds!H:H,MATCH(O257,Odds!G:G,0)))</f>
        <v/>
      </c>
      <c r="AC257" s="20"/>
    </row>
    <row r="258" spans="28:29">
      <c r="AB258" s="20" t="str">
        <f>IF(O258="","",INDEX(Odds!H:H,MATCH(O258,Odds!G:G,0)))</f>
        <v/>
      </c>
      <c r="AC258" s="20"/>
    </row>
    <row r="259" spans="28:29">
      <c r="AB259" s="20" t="str">
        <f>IF(O259="","",INDEX(Odds!H:H,MATCH(O259,Odds!G:G,0)))</f>
        <v/>
      </c>
      <c r="AC259" s="20"/>
    </row>
    <row r="260" spans="28:29">
      <c r="AB260" s="20" t="str">
        <f>IF(O260="","",INDEX(Odds!H:H,MATCH(O260,Odds!G:G,0)))</f>
        <v/>
      </c>
      <c r="AC260" s="20"/>
    </row>
    <row r="261" spans="28:29">
      <c r="AB261" s="20" t="str">
        <f>IF(O261="","",INDEX(Odds!H:H,MATCH(O261,Odds!G:G,0)))</f>
        <v/>
      </c>
      <c r="AC261" s="20"/>
    </row>
    <row r="262" spans="28:29">
      <c r="AB262" s="20" t="str">
        <f>IF(O262="","",INDEX(Odds!H:H,MATCH(O262,Odds!G:G,0)))</f>
        <v/>
      </c>
      <c r="AC262" s="20"/>
    </row>
    <row r="263" spans="28:29">
      <c r="AB263" s="20" t="str">
        <f>IF(O263="","",INDEX(Odds!H:H,MATCH(O263,Odds!G:G,0)))</f>
        <v/>
      </c>
      <c r="AC263" s="20"/>
    </row>
    <row r="264" spans="28:29">
      <c r="AB264" s="20" t="str">
        <f>IF(O264="","",INDEX(Odds!H:H,MATCH(O264,Odds!G:G,0)))</f>
        <v/>
      </c>
      <c r="AC264" s="20"/>
    </row>
    <row r="265" spans="28:29">
      <c r="AB265" s="20" t="str">
        <f>IF(O265="","",INDEX(Odds!H:H,MATCH(O265,Odds!G:G,0)))</f>
        <v/>
      </c>
      <c r="AC265" s="20"/>
    </row>
    <row r="266" spans="28:29">
      <c r="AB266" s="20" t="str">
        <f>IF(O266="","",INDEX(Odds!H:H,MATCH(O266,Odds!G:G,0)))</f>
        <v/>
      </c>
      <c r="AC266" s="20"/>
    </row>
    <row r="267" spans="28:29">
      <c r="AB267" s="20" t="str">
        <f>IF(O267="","",INDEX(Odds!H:H,MATCH(O267,Odds!G:G,0)))</f>
        <v/>
      </c>
      <c r="AC267" s="20"/>
    </row>
    <row r="268" spans="28:29">
      <c r="AB268" s="20" t="str">
        <f>IF(O268="","",INDEX(Odds!H:H,MATCH(O268,Odds!G:G,0)))</f>
        <v/>
      </c>
      <c r="AC268" s="20"/>
    </row>
    <row r="269" spans="28:29">
      <c r="AB269" s="20" t="str">
        <f>IF(O269="","",INDEX(Odds!H:H,MATCH(O269,Odds!G:G,0)))</f>
        <v/>
      </c>
      <c r="AC269" s="20"/>
    </row>
    <row r="270" spans="28:29">
      <c r="AB270" s="20" t="str">
        <f>IF(O270="","",INDEX(Odds!H:H,MATCH(O270,Odds!G:G,0)))</f>
        <v/>
      </c>
      <c r="AC270" s="20"/>
    </row>
    <row r="271" spans="28:29">
      <c r="AB271" s="20" t="str">
        <f>IF(O271="","",INDEX(Odds!H:H,MATCH(O271,Odds!G:G,0)))</f>
        <v/>
      </c>
      <c r="AC271" s="20"/>
    </row>
    <row r="272" spans="28:29">
      <c r="AB272" s="20" t="str">
        <f>IF(O272="","",INDEX(Odds!H:H,MATCH(O272,Odds!G:G,0)))</f>
        <v/>
      </c>
      <c r="AC272" s="20"/>
    </row>
    <row r="273" spans="28:29">
      <c r="AB273" s="20" t="str">
        <f>IF(O273="","",INDEX(Odds!H:H,MATCH(O273,Odds!G:G,0)))</f>
        <v/>
      </c>
      <c r="AC273" s="20"/>
    </row>
    <row r="274" spans="28:29">
      <c r="AB274" s="20" t="str">
        <f>IF(O274="","",INDEX(Odds!H:H,MATCH(O274,Odds!G:G,0)))</f>
        <v/>
      </c>
      <c r="AC274" s="20"/>
    </row>
    <row r="275" spans="28:29">
      <c r="AB275" s="20" t="str">
        <f>IF(O275="","",INDEX(Odds!H:H,MATCH(O275,Odds!G:G,0)))</f>
        <v/>
      </c>
      <c r="AC275" s="20"/>
    </row>
    <row r="276" spans="28:29">
      <c r="AB276" s="20" t="str">
        <f>IF(O276="","",INDEX(Odds!H:H,MATCH(O276,Odds!G:G,0)))</f>
        <v/>
      </c>
      <c r="AC276" s="20"/>
    </row>
    <row r="277" spans="28:29">
      <c r="AB277" s="20" t="str">
        <f>IF(O277="","",INDEX(Odds!H:H,MATCH(O277,Odds!G:G,0)))</f>
        <v/>
      </c>
      <c r="AC277" s="20"/>
    </row>
    <row r="278" spans="28:29">
      <c r="AB278" s="20" t="str">
        <f>IF(O278="","",INDEX(Odds!H:H,MATCH(O278,Odds!G:G,0)))</f>
        <v/>
      </c>
      <c r="AC278" s="20"/>
    </row>
    <row r="279" spans="28:29">
      <c r="AB279" s="20" t="str">
        <f>IF(O279="","",INDEX(Odds!H:H,MATCH(O279,Odds!G:G,0)))</f>
        <v/>
      </c>
      <c r="AC279" s="20"/>
    </row>
    <row r="280" spans="28:29">
      <c r="AB280" s="20" t="str">
        <f>IF(O280="","",INDEX(Odds!H:H,MATCH(O280,Odds!G:G,0)))</f>
        <v/>
      </c>
      <c r="AC280" s="20"/>
    </row>
    <row r="281" spans="28:29">
      <c r="AB281" s="20" t="str">
        <f>IF(O281="","",INDEX(Odds!H:H,MATCH(O281,Odds!G:G,0)))</f>
        <v/>
      </c>
      <c r="AC281" s="20"/>
    </row>
    <row r="282" spans="28:29">
      <c r="AB282" s="20" t="str">
        <f>IF(O282="","",INDEX(Odds!H:H,MATCH(O282,Odds!G:G,0)))</f>
        <v/>
      </c>
      <c r="AC282" s="20"/>
    </row>
    <row r="283" spans="28:29">
      <c r="AB283" s="20" t="str">
        <f>IF(O283="","",INDEX(Odds!H:H,MATCH(O283,Odds!G:G,0)))</f>
        <v/>
      </c>
      <c r="AC283" s="20"/>
    </row>
    <row r="284" spans="28:29">
      <c r="AB284" s="20" t="str">
        <f>IF(O284="","",INDEX(Odds!H:H,MATCH(O284,Odds!G:G,0)))</f>
        <v/>
      </c>
      <c r="AC284" s="20"/>
    </row>
    <row r="285" spans="28:29">
      <c r="AB285" s="20" t="str">
        <f>IF(O285="","",INDEX(Odds!H:H,MATCH(O285,Odds!G:G,0)))</f>
        <v/>
      </c>
      <c r="AC285" s="20"/>
    </row>
    <row r="286" spans="28:29">
      <c r="AB286" s="20" t="str">
        <f>IF(O286="","",INDEX(Odds!H:H,MATCH(O286,Odds!G:G,0)))</f>
        <v/>
      </c>
      <c r="AC286" s="20"/>
    </row>
    <row r="287" spans="28:29">
      <c r="AB287" s="20" t="str">
        <f>IF(O287="","",INDEX(Odds!H:H,MATCH(O287,Odds!G:G,0)))</f>
        <v/>
      </c>
      <c r="AC287" s="20"/>
    </row>
    <row r="288" spans="28:29">
      <c r="AB288" s="20" t="str">
        <f>IF(O288="","",INDEX(Odds!H:H,MATCH(O288,Odds!G:G,0)))</f>
        <v/>
      </c>
      <c r="AC288" s="20"/>
    </row>
    <row r="289" spans="28:29">
      <c r="AB289" s="20" t="str">
        <f>IF(O289="","",INDEX(Odds!H:H,MATCH(O289,Odds!G:G,0)))</f>
        <v/>
      </c>
      <c r="AC289" s="20"/>
    </row>
  </sheetData>
  <autoFilter ref="A1:AN187" xr:uid="{CE4DE976-F766-4348-B813-63E9BA2F0CAD}"/>
  <sortState xmlns:xlrd2="http://schemas.microsoft.com/office/spreadsheetml/2017/richdata2" ref="AI2:AL69">
    <sortCondition descending="1" ref="AJ2:AJ69"/>
  </sortState>
  <phoneticPr fontId="0" type="noConversion"/>
  <conditionalFormatting sqref="B2">
    <cfRule type="expression" dxfId="118" priority="16">
      <formula>AC2=0</formula>
    </cfRule>
  </conditionalFormatting>
  <conditionalFormatting sqref="B3:B4">
    <cfRule type="expression" dxfId="117" priority="15">
      <formula>AC3=0</formula>
    </cfRule>
  </conditionalFormatting>
  <conditionalFormatting sqref="B5 B8 B11 B14 B17 B20 B23 B26 B29 B32 B35 B38 B41 B44 B47 B50 B53 B56 B59 B62 B65 B68 B71 B74 B77 B80 B83 B86 B89 B92 B95 B98 B101 B104 B107 B110 B113 B116 B119 B122 B125 B128 B131 B134 B137 B140 B143 B146 B149 B152 B155 B158 B161 B164 B167 B170 B173">
    <cfRule type="expression" dxfId="116" priority="10">
      <formula>AC5=0</formula>
    </cfRule>
  </conditionalFormatting>
  <conditionalFormatting sqref="B6:B7 B9:B10 B12:B13 B15:B16 B18:B19 B21:B22 B24:B25 B27:B28 B30:B31 B33:B34 B36:B37 B39:B40 B42:B43 B45:B46 B48:B49 B51:B52 B54:B55 B57:B58 B60:B61 B63:B64 B66:B67 B69:B70 B72:B73 B75:B76 B78:B79 B81:B82 B84:B85 B87:B88 B90:B91 B93:B94 B96:B97 B99:B100 B102:B103 B105:B106 B108:B109 B111:B112 B114:B115 B117:B118 B120:B121 B123:B124 B126:B127 B129:B130 B132:B133 B135:B136 B138:B139 B141:B142 B144:B145 B147:B148 B150:B151 B153:B154 B156:B157 B159:B160 B162:B163 B165:B166 B168:B169 B171:B172 B174:B175">
    <cfRule type="expression" dxfId="115" priority="9">
      <formula>AC6=0</formula>
    </cfRule>
  </conditionalFormatting>
  <conditionalFormatting sqref="B176">
    <cfRule type="expression" dxfId="114" priority="8">
      <formula>AC176=0</formula>
    </cfRule>
  </conditionalFormatting>
  <conditionalFormatting sqref="B177:B178">
    <cfRule type="expression" dxfId="113" priority="7">
      <formula>AC177=0</formula>
    </cfRule>
  </conditionalFormatting>
  <conditionalFormatting sqref="B179">
    <cfRule type="expression" dxfId="112" priority="6">
      <formula>AC179=0</formula>
    </cfRule>
  </conditionalFormatting>
  <conditionalFormatting sqref="B180:B181">
    <cfRule type="expression" dxfId="111" priority="5">
      <formula>AC180=0</formula>
    </cfRule>
  </conditionalFormatting>
  <conditionalFormatting sqref="B182">
    <cfRule type="expression" dxfId="110" priority="4">
      <formula>AC182=0</formula>
    </cfRule>
  </conditionalFormatting>
  <conditionalFormatting sqref="B183:B184">
    <cfRule type="expression" dxfId="109" priority="3">
      <formula>AC183=0</formula>
    </cfRule>
  </conditionalFormatting>
  <conditionalFormatting sqref="B185">
    <cfRule type="expression" dxfId="108" priority="2">
      <formula>AC185=0</formula>
    </cfRule>
  </conditionalFormatting>
  <conditionalFormatting sqref="B186:B187">
    <cfRule type="expression" dxfId="107" priority="1">
      <formula>AC186=0</formula>
    </cfRule>
  </conditionalFormatting>
  <dataValidations count="1">
    <dataValidation type="list" allowBlank="1" showInputMessage="1" showErrorMessage="1" sqref="J2:J187" xr:uid="{00000000-0002-0000-0A00-000000000000}">
      <formula1>choices</formula1>
    </dataValidation>
  </dataValidations>
  <hyperlinks>
    <hyperlink ref="A1" location="Menu!A1" display="Player" xr:uid="{00000000-0004-0000-0A00-000000000000}"/>
  </hyperlinks>
  <printOptions horizontalCentered="1" verticalCentered="1" gridLines="1"/>
  <pageMargins left="0" right="0" top="0" bottom="0" header="0" footer="0"/>
  <pageSetup paperSize="9" scale="61" fitToHeight="5" orientation="portrait" r:id="rId1"/>
  <headerFooter alignWithMargins="0"/>
  <rowBreaks count="4" manualBreakCount="4">
    <brk id="1" max="16383" man="1"/>
    <brk id="49" max="16383" man="1"/>
    <brk id="97" max="16383" man="1"/>
    <brk id="145"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pageSetUpPr fitToPage="1"/>
  </sheetPr>
  <dimension ref="A1:BY189"/>
  <sheetViews>
    <sheetView topLeftCell="F1" zoomScaleNormal="100" workbookViewId="0">
      <pane ySplit="1" topLeftCell="A31" activePane="bottomLeft" state="frozen"/>
      <selection activeCell="I2" sqref="I2"/>
      <selection pane="bottomLeft" activeCell="T2" sqref="T2:U63"/>
    </sheetView>
  </sheetViews>
  <sheetFormatPr defaultRowHeight="12.75"/>
  <cols>
    <col min="1" max="1" width="9.1328125" style="3" customWidth="1"/>
    <col min="2" max="2" width="21.3984375" style="1" customWidth="1"/>
    <col min="3" max="3" width="19.73046875" style="1" customWidth="1"/>
    <col min="4" max="4" width="9.1328125" style="2" customWidth="1"/>
    <col min="5" max="5" width="7.59765625" style="3" customWidth="1"/>
    <col min="6" max="6" width="9.265625" style="1" customWidth="1"/>
    <col min="7" max="7" width="6.265625" style="1" customWidth="1"/>
    <col min="8" max="8" width="9.1328125" style="3" customWidth="1"/>
    <col min="9" max="9" width="16.1328125" style="220" customWidth="1"/>
    <col min="10" max="12" width="8.59765625" style="3" customWidth="1"/>
    <col min="13" max="18" width="8.59765625" style="1" customWidth="1"/>
    <col min="19" max="19" width="8.59765625" style="3" customWidth="1"/>
    <col min="20" max="20" width="8.59765625" style="3" bestFit="1" customWidth="1"/>
    <col min="21" max="21" width="6.59765625" style="1" bestFit="1" customWidth="1"/>
    <col min="22" max="22" width="22.1328125" style="1" bestFit="1" customWidth="1"/>
    <col min="23" max="27" width="9.1328125" style="1" customWidth="1"/>
    <col min="28" max="35" width="8.73046875" style="1" customWidth="1"/>
    <col min="36" max="36" width="22.1328125" style="1" customWidth="1"/>
    <col min="37" max="77" width="9.1328125" style="1" customWidth="1"/>
  </cols>
  <sheetData>
    <row r="1" spans="1:77" s="247" customFormat="1" ht="16.5" customHeight="1">
      <c r="A1" s="403" t="s">
        <v>29</v>
      </c>
      <c r="B1" s="238"/>
      <c r="C1" s="233" t="s">
        <v>7</v>
      </c>
      <c r="D1" s="239" t="s">
        <v>8</v>
      </c>
      <c r="E1" s="237" t="s">
        <v>9</v>
      </c>
      <c r="F1" s="152" t="s">
        <v>15</v>
      </c>
      <c r="G1" s="238" t="s">
        <v>11</v>
      </c>
      <c r="H1" s="237" t="s">
        <v>10</v>
      </c>
      <c r="I1" s="240" t="s">
        <v>132</v>
      </c>
      <c r="J1" s="241" t="s">
        <v>166</v>
      </c>
      <c r="K1" s="241" t="s">
        <v>167</v>
      </c>
      <c r="L1" s="241" t="s">
        <v>168</v>
      </c>
      <c r="M1" s="242" t="s">
        <v>0</v>
      </c>
      <c r="N1" s="242" t="s">
        <v>1</v>
      </c>
      <c r="O1" s="242" t="s">
        <v>2</v>
      </c>
      <c r="P1" s="242" t="s">
        <v>3</v>
      </c>
      <c r="Q1" s="242" t="s">
        <v>4</v>
      </c>
      <c r="R1" s="242" t="s">
        <v>5</v>
      </c>
      <c r="S1" s="243" t="s">
        <v>12</v>
      </c>
      <c r="T1" s="243" t="s">
        <v>6</v>
      </c>
      <c r="U1" s="242" t="s">
        <v>14</v>
      </c>
      <c r="V1" s="130" t="s">
        <v>132</v>
      </c>
      <c r="W1" s="244" t="s">
        <v>15</v>
      </c>
      <c r="X1" s="245" t="s">
        <v>169</v>
      </c>
      <c r="Y1" s="246" t="s">
        <v>170</v>
      </c>
      <c r="Z1" s="246" t="s">
        <v>171</v>
      </c>
      <c r="AA1" s="246" t="s">
        <v>172</v>
      </c>
      <c r="AB1" s="242" t="s">
        <v>0</v>
      </c>
      <c r="AC1" s="242" t="s">
        <v>1</v>
      </c>
      <c r="AD1" s="242" t="s">
        <v>2</v>
      </c>
      <c r="AE1" s="242" t="s">
        <v>3</v>
      </c>
      <c r="AF1" s="242" t="s">
        <v>4</v>
      </c>
      <c r="AG1" s="242" t="s">
        <v>5</v>
      </c>
      <c r="AH1" s="243" t="s">
        <v>12</v>
      </c>
      <c r="AI1" s="243" t="s">
        <v>6</v>
      </c>
      <c r="AJ1" s="238"/>
      <c r="AK1" s="238" t="s">
        <v>524</v>
      </c>
      <c r="AL1" s="238"/>
      <c r="AM1" s="238"/>
      <c r="AN1" s="238"/>
      <c r="AO1" s="238"/>
      <c r="AP1" s="238"/>
      <c r="AQ1" s="238"/>
      <c r="AR1" s="238"/>
      <c r="AS1" s="238"/>
      <c r="AT1" s="238"/>
      <c r="AU1" s="238"/>
      <c r="AV1" s="238"/>
      <c r="AW1" s="238"/>
      <c r="AX1" s="238"/>
      <c r="AY1" s="238"/>
      <c r="AZ1" s="238"/>
      <c r="BA1" s="238"/>
      <c r="BB1" s="238"/>
      <c r="BC1" s="238"/>
      <c r="BD1" s="238"/>
      <c r="BE1" s="238"/>
      <c r="BF1" s="238"/>
      <c r="BG1" s="238"/>
      <c r="BH1" s="238"/>
      <c r="BI1" s="238"/>
      <c r="BJ1" s="238"/>
      <c r="BK1" s="238"/>
      <c r="BL1" s="238"/>
      <c r="BM1" s="238"/>
      <c r="BN1" s="238"/>
      <c r="BO1" s="238"/>
      <c r="BP1" s="238"/>
      <c r="BQ1" s="238"/>
      <c r="BR1" s="238"/>
      <c r="BS1" s="238"/>
      <c r="BT1" s="238"/>
      <c r="BU1" s="238"/>
      <c r="BV1" s="238"/>
      <c r="BW1" s="238"/>
      <c r="BX1" s="238"/>
      <c r="BY1" s="238"/>
    </row>
    <row r="2" spans="1:77">
      <c r="A2" s="3">
        <v>1</v>
      </c>
      <c r="B2" s="207" t="str">
        <f>$V2</f>
        <v>Alan Bond</v>
      </c>
      <c r="C2" s="206" t="str">
        <f>Picks!B2</f>
        <v>Brighton</v>
      </c>
      <c r="D2" s="207">
        <f>Picks!C2</f>
        <v>1</v>
      </c>
      <c r="E2" s="207">
        <f>Picks!D2</f>
        <v>1.85</v>
      </c>
      <c r="F2" s="208">
        <f>IF(C2="","",INDEX(Odds!K:K,MATCH(C2,Odds!G:G,0)))</f>
        <v>1</v>
      </c>
      <c r="G2" s="206">
        <f>IF(C2="","",Picks!M2)</f>
        <v>1</v>
      </c>
      <c r="H2" s="207">
        <f>IF(C2="","",+((E2-1)*G2*F2*A$2))</f>
        <v>0.85000000000000009</v>
      </c>
      <c r="I2" s="221" t="str">
        <f>IF(V2="","",V2)</f>
        <v>Alan Bond</v>
      </c>
      <c r="J2" s="204">
        <f>H2</f>
        <v>0.85000000000000009</v>
      </c>
      <c r="K2" s="204">
        <f>H3</f>
        <v>0</v>
      </c>
      <c r="L2" s="204">
        <f>H4</f>
        <v>0</v>
      </c>
      <c r="M2" s="204">
        <f t="shared" ref="M2:M31" si="0">IF(J2=0,0,1)+J2</f>
        <v>1.85</v>
      </c>
      <c r="N2" s="204">
        <f t="shared" ref="N2:N31" si="1">IF(K2=0,0,1)+K2</f>
        <v>0</v>
      </c>
      <c r="O2" s="204">
        <f t="shared" ref="O2:O59" si="2">IF(L2=0,0,1)+L2</f>
        <v>0</v>
      </c>
      <c r="P2" s="204">
        <f>IF(K2=0,0,(M2*K2)+M2)</f>
        <v>0</v>
      </c>
      <c r="Q2" s="204">
        <f>IF(L2=0,0,(N2*L2)+N2)</f>
        <v>0</v>
      </c>
      <c r="R2" s="204">
        <f>IF(J2=0,0,(O2*J2)+O2)</f>
        <v>0</v>
      </c>
      <c r="S2" s="204">
        <f>IF(L2=0,0,(P2*L2)+P2)</f>
        <v>0</v>
      </c>
      <c r="T2" s="204">
        <f>SUM(M2:S2)-(IF(W2=1,A$2*1,0))-(IF(W2=2,A$2*3,0))-(IF(W2=3,A$2*7,0))</f>
        <v>-5.15</v>
      </c>
      <c r="U2" s="203">
        <f>SUM(G2:G4)</f>
        <v>1</v>
      </c>
      <c r="V2" s="135" t="s">
        <v>549</v>
      </c>
      <c r="W2" s="205">
        <f>SUM(F2:F4)</f>
        <v>3</v>
      </c>
      <c r="X2" s="207">
        <f t="shared" ref="X2:X33" si="3">+((E2-1)*F2*A$2)</f>
        <v>0.85000000000000009</v>
      </c>
      <c r="Y2" s="204">
        <f>X2</f>
        <v>0.85000000000000009</v>
      </c>
      <c r="Z2" s="204">
        <f>X3</f>
        <v>0.75</v>
      </c>
      <c r="AA2" s="204">
        <f>X4</f>
        <v>1.2000000000000002</v>
      </c>
      <c r="AB2" s="204">
        <f>IF(Y2=0,0,1)+Y2</f>
        <v>1.85</v>
      </c>
      <c r="AC2" s="214">
        <f>IF(Z2=0,0,1)+Z2</f>
        <v>1.75</v>
      </c>
      <c r="AD2" s="204">
        <f>IF(AA2=0,0,1)+AA2</f>
        <v>2.2000000000000002</v>
      </c>
      <c r="AE2" s="204">
        <f>IF(Z2=0,0,(AB2*Z2)+AB2)</f>
        <v>3.2375000000000003</v>
      </c>
      <c r="AF2" s="204">
        <f>IF(AA2=0,0,(AC2*AA2)+AC2)</f>
        <v>3.8500000000000005</v>
      </c>
      <c r="AG2" s="204">
        <f>IF(Y2=0,0,(AD2*Y2)+AD2)</f>
        <v>4.07</v>
      </c>
      <c r="AH2" s="204">
        <f>IF(AA2=0,0,(AE2*AA2)+AE2)</f>
        <v>7.1225000000000005</v>
      </c>
      <c r="AI2" s="204">
        <f>SUM(AB2:AH2)-AK2</f>
        <v>17.080000000000005</v>
      </c>
      <c r="AJ2" s="222" t="str">
        <f>$V2</f>
        <v>Alan Bond</v>
      </c>
      <c r="AK2" s="1">
        <f>IF(W2=3,7,IF(W2=2,3,1))</f>
        <v>7</v>
      </c>
    </row>
    <row r="3" spans="1:77">
      <c r="B3" s="209"/>
      <c r="C3" s="209" t="str">
        <f>Picks!B3</f>
        <v>West ham</v>
      </c>
      <c r="D3" s="210">
        <f>Picks!C3</f>
        <v>1</v>
      </c>
      <c r="E3" s="207">
        <f>Picks!D3</f>
        <v>1.75</v>
      </c>
      <c r="F3" s="208">
        <f>IF(C3="","",INDEX(Odds!K:K,MATCH(C3,Odds!G:G,0)))</f>
        <v>1</v>
      </c>
      <c r="G3" s="206">
        <f>IF(C3="","",Picks!M3)</f>
        <v>0</v>
      </c>
      <c r="H3" s="207">
        <f t="shared" ref="H3:H66" si="4">IF(C3="","",+((E3-1)*G3*F3*A$2))</f>
        <v>0</v>
      </c>
      <c r="I3" s="221" t="str">
        <f t="shared" ref="I3:I59" si="5">IF(V3="","",V3)</f>
        <v>Alan Rogers</v>
      </c>
      <c r="J3" s="215">
        <f>H5</f>
        <v>0</v>
      </c>
      <c r="K3" s="215">
        <f>H6</f>
        <v>0</v>
      </c>
      <c r="L3" s="215">
        <f>H7</f>
        <v>0</v>
      </c>
      <c r="M3" s="204">
        <f t="shared" si="0"/>
        <v>0</v>
      </c>
      <c r="N3" s="204">
        <f t="shared" si="1"/>
        <v>0</v>
      </c>
      <c r="O3" s="204">
        <f t="shared" si="2"/>
        <v>0</v>
      </c>
      <c r="P3" s="204">
        <f t="shared" ref="P3:P59" si="6">IF(K3=0,0,(M3*K3)+M3)</f>
        <v>0</v>
      </c>
      <c r="Q3" s="204">
        <f t="shared" ref="Q3:Q59" si="7">IF(L3=0,0,(N3*L3)+N3)</f>
        <v>0</v>
      </c>
      <c r="R3" s="204">
        <f t="shared" ref="R3:R59" si="8">IF(J3=0,0,(O3*J3)+O3)</f>
        <v>0</v>
      </c>
      <c r="S3" s="204">
        <f>IF(L3=0,0,(P3*L3)+P3)</f>
        <v>0</v>
      </c>
      <c r="T3" s="204">
        <f t="shared" ref="T3:T59" si="9">SUM(M3:S3)-(IF(W3=1,A$2*1,0))-(IF(W3=2,A$2*3,0))-(IF(W3=3,A$2*7,0))</f>
        <v>-3</v>
      </c>
      <c r="U3" s="203">
        <f>SUM(G5:G7)</f>
        <v>0</v>
      </c>
      <c r="V3" s="135" t="s">
        <v>306</v>
      </c>
      <c r="W3" s="205">
        <f>SUM(F5:F7)</f>
        <v>2</v>
      </c>
      <c r="X3" s="207">
        <f t="shared" si="3"/>
        <v>0.75</v>
      </c>
      <c r="Y3" s="204">
        <f>X5</f>
        <v>3.2</v>
      </c>
      <c r="Z3" s="204">
        <f>X6</f>
        <v>2.2999999999999998</v>
      </c>
      <c r="AA3" s="204">
        <f>X7</f>
        <v>0</v>
      </c>
      <c r="AB3" s="204">
        <f t="shared" ref="AB3:AB59" si="10">IF(Y3=0,0,1)+Y3</f>
        <v>4.2</v>
      </c>
      <c r="AC3" s="214">
        <f t="shared" ref="AC3:AC59" si="11">IF(Z3=0,0,1)+Z3</f>
        <v>3.3</v>
      </c>
      <c r="AD3" s="204">
        <f t="shared" ref="AD3:AD59" si="12">IF(AA3=0,0,1)+AA3</f>
        <v>0</v>
      </c>
      <c r="AE3" s="204">
        <f>IF(Z3=0,0,(AB3*Z3)+AB3)</f>
        <v>13.86</v>
      </c>
      <c r="AF3" s="204">
        <f>IF(AA3=0,0,(AC3*AA3)+AC3)</f>
        <v>0</v>
      </c>
      <c r="AG3" s="204">
        <f>IF(Y3=0,0,(AD3*Y3)+AD3)</f>
        <v>0</v>
      </c>
      <c r="AH3" s="204">
        <f>IF(AA3=0,0,(AE3*AA3)+AE3)</f>
        <v>0</v>
      </c>
      <c r="AI3" s="215">
        <f t="shared" ref="AI3:AI59" si="13">SUM(AB3:AH3)-AK3</f>
        <v>18.36</v>
      </c>
      <c r="AJ3" s="222" t="str">
        <f t="shared" ref="AJ3:AJ63" si="14">$V3</f>
        <v>Alan Rogers</v>
      </c>
      <c r="AK3" s="1">
        <f t="shared" ref="AK3:AK63" si="15">IF(W3=3,7,IF(W3=2,3,1))</f>
        <v>3</v>
      </c>
    </row>
    <row r="4" spans="1:77" ht="13.15" thickBot="1">
      <c r="B4" s="211"/>
      <c r="C4" s="211" t="str">
        <f>Picks!B4</f>
        <v>Oldham</v>
      </c>
      <c r="D4" s="212">
        <f>Picks!C4</f>
        <v>1</v>
      </c>
      <c r="E4" s="212">
        <f>Picks!D4</f>
        <v>2.2000000000000002</v>
      </c>
      <c r="F4" s="224">
        <f>IF(C4="","",INDEX(Odds!K:K,MATCH(C4,Odds!G:G,0)))</f>
        <v>1</v>
      </c>
      <c r="G4" s="211">
        <f>IF(C4="","",Picks!M4)</f>
        <v>0</v>
      </c>
      <c r="H4" s="212">
        <f t="shared" si="4"/>
        <v>0</v>
      </c>
      <c r="I4" s="221" t="str">
        <f t="shared" si="5"/>
        <v>Alan White</v>
      </c>
      <c r="J4" s="204">
        <f>H8</f>
        <v>0.90909090909090917</v>
      </c>
      <c r="K4" s="204">
        <f>H9</f>
        <v>1.1499999999999999</v>
      </c>
      <c r="L4" s="204">
        <f>H10</f>
        <v>0</v>
      </c>
      <c r="M4" s="204">
        <f t="shared" si="0"/>
        <v>1.9090909090909092</v>
      </c>
      <c r="N4" s="204">
        <f t="shared" si="1"/>
        <v>2.15</v>
      </c>
      <c r="O4" s="204">
        <f t="shared" si="2"/>
        <v>0</v>
      </c>
      <c r="P4" s="204">
        <f t="shared" si="6"/>
        <v>4.1045454545454545</v>
      </c>
      <c r="Q4" s="204">
        <f t="shared" si="7"/>
        <v>0</v>
      </c>
      <c r="R4" s="204">
        <f t="shared" si="8"/>
        <v>0</v>
      </c>
      <c r="S4" s="204">
        <f t="shared" ref="S4:S59" si="16">IF(L4=0,0,(P4*L4)+P4)</f>
        <v>0</v>
      </c>
      <c r="T4" s="204">
        <f t="shared" si="9"/>
        <v>1.163636363636364</v>
      </c>
      <c r="U4" s="203">
        <f>SUM(G8:G10)</f>
        <v>2</v>
      </c>
      <c r="V4" s="132" t="s">
        <v>461</v>
      </c>
      <c r="W4" s="205">
        <f>SUM(F8:F10)</f>
        <v>3</v>
      </c>
      <c r="X4" s="207">
        <f t="shared" si="3"/>
        <v>1.2000000000000002</v>
      </c>
      <c r="Y4" s="204">
        <f>X8</f>
        <v>0.90909090909090917</v>
      </c>
      <c r="Z4" s="204">
        <f>X9</f>
        <v>1.1499999999999999</v>
      </c>
      <c r="AA4" s="204">
        <f>X10</f>
        <v>1.4545454545454546</v>
      </c>
      <c r="AB4" s="204">
        <f t="shared" si="10"/>
        <v>1.9090909090909092</v>
      </c>
      <c r="AC4" s="214">
        <f t="shared" si="11"/>
        <v>2.15</v>
      </c>
      <c r="AD4" s="204">
        <f t="shared" si="12"/>
        <v>2.4545454545454546</v>
      </c>
      <c r="AE4" s="204">
        <f t="shared" ref="AE4:AE59" si="17">IF(Z4=0,0,(AB4*Z4)+AB4)</f>
        <v>4.1045454545454545</v>
      </c>
      <c r="AF4" s="204">
        <f t="shared" ref="AF4:AF59" si="18">IF(AA4=0,0,(AC4*AA4)+AC4)</f>
        <v>5.2772727272727273</v>
      </c>
      <c r="AG4" s="204">
        <f t="shared" ref="AG4:AG59" si="19">IF(Y4=0,0,(AD4*Y4)+AD4)</f>
        <v>4.6859504132231411</v>
      </c>
      <c r="AH4" s="204">
        <f t="shared" ref="AH4:AH59" si="20">IF(AA4=0,0,(AE4*AA4)+AE4)</f>
        <v>10.074793388429752</v>
      </c>
      <c r="AI4" s="215">
        <f t="shared" si="13"/>
        <v>23.656198347107441</v>
      </c>
      <c r="AJ4" s="222" t="str">
        <f t="shared" si="14"/>
        <v>Alan White</v>
      </c>
      <c r="AK4" s="1">
        <f t="shared" si="15"/>
        <v>7</v>
      </c>
    </row>
    <row r="5" spans="1:77">
      <c r="B5" s="206" t="str">
        <f>$V3</f>
        <v>Alan Rogers</v>
      </c>
      <c r="C5" s="206" t="str">
        <f>Picks!B5</f>
        <v>Brentford</v>
      </c>
      <c r="D5" s="207">
        <f>Picks!C5</f>
        <v>1</v>
      </c>
      <c r="E5" s="207">
        <f>Picks!D5</f>
        <v>4.2</v>
      </c>
      <c r="F5" s="208">
        <f>IF(C5="","",INDEX(Odds!K:K,MATCH(C5,Odds!G:G,0)))</f>
        <v>1</v>
      </c>
      <c r="G5" s="206">
        <f>IF(C5="","",Picks!M5)</f>
        <v>0</v>
      </c>
      <c r="H5" s="207">
        <f t="shared" si="4"/>
        <v>0</v>
      </c>
      <c r="I5" s="221" t="str">
        <f t="shared" si="5"/>
        <v>Alfie Davies</v>
      </c>
      <c r="J5" s="215">
        <f>H11</f>
        <v>0.44444444444444442</v>
      </c>
      <c r="K5" s="215">
        <f>H12</f>
        <v>0.61538461538461542</v>
      </c>
      <c r="L5" s="215">
        <f>H13</f>
        <v>0</v>
      </c>
      <c r="M5" s="204">
        <f t="shared" si="0"/>
        <v>1.4444444444444444</v>
      </c>
      <c r="N5" s="204">
        <f t="shared" si="1"/>
        <v>1.6153846153846154</v>
      </c>
      <c r="O5" s="204">
        <f t="shared" si="2"/>
        <v>0</v>
      </c>
      <c r="P5" s="204">
        <f t="shared" si="6"/>
        <v>2.3333333333333335</v>
      </c>
      <c r="Q5" s="204">
        <f t="shared" si="7"/>
        <v>0</v>
      </c>
      <c r="R5" s="204">
        <f t="shared" si="8"/>
        <v>0</v>
      </c>
      <c r="S5" s="204">
        <f t="shared" si="16"/>
        <v>0</v>
      </c>
      <c r="T5" s="204">
        <f t="shared" si="9"/>
        <v>-1.6068376068376065</v>
      </c>
      <c r="U5" s="203">
        <f>SUM(G11:G13)</f>
        <v>2</v>
      </c>
      <c r="V5" s="132" t="s">
        <v>388</v>
      </c>
      <c r="W5" s="205">
        <f>SUM(F11:F13)</f>
        <v>3</v>
      </c>
      <c r="X5" s="207">
        <f t="shared" si="3"/>
        <v>3.2</v>
      </c>
      <c r="Y5" s="204">
        <f>X11</f>
        <v>0.44444444444444442</v>
      </c>
      <c r="Z5" s="204">
        <f>X12</f>
        <v>0.61538461538461542</v>
      </c>
      <c r="AA5" s="204">
        <f>X13</f>
        <v>2.5</v>
      </c>
      <c r="AB5" s="204">
        <f t="shared" si="10"/>
        <v>1.4444444444444444</v>
      </c>
      <c r="AC5" s="214">
        <f t="shared" si="11"/>
        <v>1.6153846153846154</v>
      </c>
      <c r="AD5" s="204">
        <f t="shared" si="12"/>
        <v>3.5</v>
      </c>
      <c r="AE5" s="204">
        <f t="shared" si="17"/>
        <v>2.3333333333333335</v>
      </c>
      <c r="AF5" s="204">
        <f t="shared" si="18"/>
        <v>5.6538461538461533</v>
      </c>
      <c r="AG5" s="204">
        <f t="shared" si="19"/>
        <v>5.0555555555555554</v>
      </c>
      <c r="AH5" s="204">
        <f t="shared" si="20"/>
        <v>8.1666666666666679</v>
      </c>
      <c r="AI5" s="215">
        <f t="shared" si="13"/>
        <v>20.76923076923077</v>
      </c>
      <c r="AJ5" s="222" t="str">
        <f t="shared" si="14"/>
        <v>Alfie Davies</v>
      </c>
      <c r="AK5" s="1">
        <f t="shared" si="15"/>
        <v>7</v>
      </c>
    </row>
    <row r="6" spans="1:77">
      <c r="B6" s="206"/>
      <c r="C6" s="206" t="str">
        <f>Picks!B6</f>
        <v>Huddersfield draw</v>
      </c>
      <c r="D6" s="207">
        <f>Picks!C6</f>
        <v>1</v>
      </c>
      <c r="E6" s="207">
        <f>Picks!D6</f>
        <v>3.3</v>
      </c>
      <c r="F6" s="208">
        <f>IF(C6="","",INDEX(Odds!K:K,MATCH(C6,Odds!G:G,0)))</f>
        <v>1</v>
      </c>
      <c r="G6" s="206">
        <f>IF(C6="","",Picks!M6)</f>
        <v>0</v>
      </c>
      <c r="H6" s="207">
        <f t="shared" si="4"/>
        <v>0</v>
      </c>
      <c r="I6" s="221" t="str">
        <f t="shared" si="5"/>
        <v>Alick Rocca</v>
      </c>
      <c r="J6" s="215">
        <f>H14</f>
        <v>0</v>
      </c>
      <c r="K6" s="215">
        <f>H15</f>
        <v>0</v>
      </c>
      <c r="L6" s="215">
        <f>H16</f>
        <v>0</v>
      </c>
      <c r="M6" s="204">
        <f t="shared" si="0"/>
        <v>0</v>
      </c>
      <c r="N6" s="204">
        <f t="shared" si="1"/>
        <v>0</v>
      </c>
      <c r="O6" s="204">
        <f t="shared" si="2"/>
        <v>0</v>
      </c>
      <c r="P6" s="204">
        <f t="shared" si="6"/>
        <v>0</v>
      </c>
      <c r="Q6" s="204">
        <f t="shared" si="7"/>
        <v>0</v>
      </c>
      <c r="R6" s="204">
        <f t="shared" si="8"/>
        <v>0</v>
      </c>
      <c r="S6" s="204">
        <f t="shared" si="16"/>
        <v>0</v>
      </c>
      <c r="T6" s="204">
        <f t="shared" si="9"/>
        <v>-1</v>
      </c>
      <c r="U6" s="203">
        <f>SUM(G14:G16)</f>
        <v>2</v>
      </c>
      <c r="V6" s="135" t="s">
        <v>327</v>
      </c>
      <c r="W6" s="205">
        <f>SUM(F14:F16)</f>
        <v>1</v>
      </c>
      <c r="X6" s="207">
        <f t="shared" si="3"/>
        <v>2.2999999999999998</v>
      </c>
      <c r="Y6" s="204">
        <f>X14</f>
        <v>2.2999999999999998</v>
      </c>
      <c r="Z6" s="204">
        <f>X15</f>
        <v>0</v>
      </c>
      <c r="AA6" s="204">
        <f>X16</f>
        <v>0</v>
      </c>
      <c r="AB6" s="204">
        <f t="shared" si="10"/>
        <v>3.3</v>
      </c>
      <c r="AC6" s="214">
        <f t="shared" si="11"/>
        <v>0</v>
      </c>
      <c r="AD6" s="204">
        <f t="shared" si="12"/>
        <v>0</v>
      </c>
      <c r="AE6" s="204">
        <f t="shared" si="17"/>
        <v>0</v>
      </c>
      <c r="AF6" s="204">
        <f t="shared" si="18"/>
        <v>0</v>
      </c>
      <c r="AG6" s="204">
        <f t="shared" si="19"/>
        <v>0</v>
      </c>
      <c r="AH6" s="204">
        <f t="shared" si="20"/>
        <v>0</v>
      </c>
      <c r="AI6" s="215">
        <f t="shared" si="13"/>
        <v>2.2999999999999998</v>
      </c>
      <c r="AJ6" s="222" t="str">
        <f t="shared" si="14"/>
        <v>Alick Rocca</v>
      </c>
      <c r="AK6" s="1">
        <f t="shared" si="15"/>
        <v>1</v>
      </c>
    </row>
    <row r="7" spans="1:77" ht="13.15" thickBot="1">
      <c r="B7" s="211"/>
      <c r="C7" s="211" t="str">
        <f>Picks!B7</f>
        <v>Blackburn</v>
      </c>
      <c r="D7" s="212">
        <f>Picks!C7</f>
        <v>1</v>
      </c>
      <c r="E7" s="212">
        <f>Picks!D7</f>
        <v>2.4</v>
      </c>
      <c r="F7" s="224">
        <f>IF(C7="","",INDEX(Odds!K:K,MATCH(C7,Odds!G:G,0)))</f>
        <v>0</v>
      </c>
      <c r="G7" s="211">
        <f>IF(C7="","",Picks!M7)</f>
        <v>0</v>
      </c>
      <c r="H7" s="212">
        <f t="shared" si="4"/>
        <v>0</v>
      </c>
      <c r="I7" s="221" t="str">
        <f t="shared" si="5"/>
        <v>Andy Charleston</v>
      </c>
      <c r="J7" s="204">
        <f>H17</f>
        <v>0</v>
      </c>
      <c r="K7" s="204">
        <f>H18</f>
        <v>0</v>
      </c>
      <c r="L7" s="204">
        <f>H19</f>
        <v>0</v>
      </c>
      <c r="M7" s="204">
        <f t="shared" si="0"/>
        <v>0</v>
      </c>
      <c r="N7" s="204">
        <f t="shared" si="1"/>
        <v>0</v>
      </c>
      <c r="O7" s="204">
        <f t="shared" si="2"/>
        <v>0</v>
      </c>
      <c r="P7" s="204">
        <f t="shared" si="6"/>
        <v>0</v>
      </c>
      <c r="Q7" s="204">
        <f t="shared" si="7"/>
        <v>0</v>
      </c>
      <c r="R7" s="204">
        <f t="shared" si="8"/>
        <v>0</v>
      </c>
      <c r="S7" s="204">
        <f t="shared" si="16"/>
        <v>0</v>
      </c>
      <c r="T7" s="204">
        <f t="shared" si="9"/>
        <v>-3</v>
      </c>
      <c r="U7" s="203">
        <f>SUM(G17:G19)</f>
        <v>1</v>
      </c>
      <c r="V7" s="132" t="s">
        <v>300</v>
      </c>
      <c r="W7" s="205">
        <f>SUM(F17:F19)</f>
        <v>2</v>
      </c>
      <c r="X7" s="207">
        <f t="shared" si="3"/>
        <v>0</v>
      </c>
      <c r="Y7" s="204">
        <f>X17</f>
        <v>0</v>
      </c>
      <c r="Z7" s="204">
        <f>X18</f>
        <v>2.5</v>
      </c>
      <c r="AA7" s="204">
        <f>X19</f>
        <v>2.4</v>
      </c>
      <c r="AB7" s="204">
        <f t="shared" si="10"/>
        <v>0</v>
      </c>
      <c r="AC7" s="214">
        <f t="shared" si="11"/>
        <v>3.5</v>
      </c>
      <c r="AD7" s="204">
        <f t="shared" si="12"/>
        <v>3.4</v>
      </c>
      <c r="AE7" s="204">
        <f t="shared" si="17"/>
        <v>0</v>
      </c>
      <c r="AF7" s="204">
        <f t="shared" si="18"/>
        <v>11.9</v>
      </c>
      <c r="AG7" s="204">
        <f t="shared" si="19"/>
        <v>0</v>
      </c>
      <c r="AH7" s="204">
        <f t="shared" si="20"/>
        <v>0</v>
      </c>
      <c r="AI7" s="215">
        <f t="shared" si="13"/>
        <v>15.8</v>
      </c>
      <c r="AJ7" s="222" t="str">
        <f t="shared" si="14"/>
        <v>Andy Charleston</v>
      </c>
      <c r="AK7" s="1">
        <f t="shared" si="15"/>
        <v>3</v>
      </c>
    </row>
    <row r="8" spans="1:77">
      <c r="B8" s="209" t="str">
        <f>$V4</f>
        <v>Alan White</v>
      </c>
      <c r="C8" s="209" t="str">
        <f>Picks!B8</f>
        <v>Mansfield</v>
      </c>
      <c r="D8" s="210">
        <f>Picks!C8</f>
        <v>1</v>
      </c>
      <c r="E8" s="207">
        <f>Picks!D8</f>
        <v>1.9090909090909092</v>
      </c>
      <c r="F8" s="208">
        <f>IF(C8="","",INDEX(Odds!K:K,MATCH(C8,Odds!G:G,0)))</f>
        <v>1</v>
      </c>
      <c r="G8" s="206">
        <f>IF(C8="","",Picks!M8)</f>
        <v>1</v>
      </c>
      <c r="H8" s="207">
        <f t="shared" si="4"/>
        <v>0.90909090909090917</v>
      </c>
      <c r="I8" s="221" t="str">
        <f t="shared" si="5"/>
        <v>Andy Hargreaves</v>
      </c>
      <c r="J8" s="204" t="str">
        <f>H20</f>
        <v/>
      </c>
      <c r="K8" s="204" t="str">
        <f>H21</f>
        <v/>
      </c>
      <c r="L8" s="204" t="str">
        <f>H22</f>
        <v/>
      </c>
      <c r="M8" s="204" t="e">
        <f t="shared" si="0"/>
        <v>#VALUE!</v>
      </c>
      <c r="N8" s="204" t="e">
        <f t="shared" si="1"/>
        <v>#VALUE!</v>
      </c>
      <c r="O8" s="204" t="e">
        <f t="shared" si="2"/>
        <v>#VALUE!</v>
      </c>
      <c r="P8" s="204" t="e">
        <f t="shared" si="6"/>
        <v>#VALUE!</v>
      </c>
      <c r="Q8" s="204" t="e">
        <f t="shared" si="7"/>
        <v>#VALUE!</v>
      </c>
      <c r="R8" s="204" t="e">
        <f t="shared" si="8"/>
        <v>#VALUE!</v>
      </c>
      <c r="S8" s="204" t="e">
        <f t="shared" si="16"/>
        <v>#VALUE!</v>
      </c>
      <c r="T8" s="204" t="e">
        <f t="shared" si="9"/>
        <v>#VALUE!</v>
      </c>
      <c r="U8" s="203">
        <f>SUM(G20:G22)</f>
        <v>0</v>
      </c>
      <c r="V8" s="132" t="s">
        <v>547</v>
      </c>
      <c r="W8" s="205">
        <f>SUM(F20:F22)</f>
        <v>0</v>
      </c>
      <c r="X8" s="207">
        <f t="shared" si="3"/>
        <v>0.90909090909090917</v>
      </c>
      <c r="Y8" s="204" t="e">
        <f>X20</f>
        <v>#VALUE!</v>
      </c>
      <c r="Z8" s="204" t="e">
        <f>X21</f>
        <v>#VALUE!</v>
      </c>
      <c r="AA8" s="204" t="e">
        <f>X22</f>
        <v>#VALUE!</v>
      </c>
      <c r="AB8" s="204" t="e">
        <f t="shared" si="10"/>
        <v>#VALUE!</v>
      </c>
      <c r="AC8" s="214" t="e">
        <f t="shared" si="11"/>
        <v>#VALUE!</v>
      </c>
      <c r="AD8" s="204" t="e">
        <f t="shared" si="12"/>
        <v>#VALUE!</v>
      </c>
      <c r="AE8" s="204" t="e">
        <f t="shared" si="17"/>
        <v>#VALUE!</v>
      </c>
      <c r="AF8" s="204" t="e">
        <f t="shared" si="18"/>
        <v>#VALUE!</v>
      </c>
      <c r="AG8" s="204" t="e">
        <f t="shared" si="19"/>
        <v>#VALUE!</v>
      </c>
      <c r="AH8" s="204" t="e">
        <f t="shared" si="20"/>
        <v>#VALUE!</v>
      </c>
      <c r="AI8" s="215" t="e">
        <f t="shared" si="13"/>
        <v>#VALUE!</v>
      </c>
      <c r="AJ8" s="222" t="str">
        <f t="shared" si="14"/>
        <v>Andy Hargreaves</v>
      </c>
      <c r="AK8" s="1">
        <f t="shared" si="15"/>
        <v>1</v>
      </c>
    </row>
    <row r="9" spans="1:77">
      <c r="B9" s="206"/>
      <c r="C9" s="206" t="str">
        <f>Picks!B9</f>
        <v>Tranmere</v>
      </c>
      <c r="D9" s="207">
        <f>Picks!C9</f>
        <v>1</v>
      </c>
      <c r="E9" s="207">
        <f>Picks!D9</f>
        <v>2.15</v>
      </c>
      <c r="F9" s="208">
        <f>IF(C9="","",INDEX(Odds!K:K,MATCH(C9,Odds!G:G,0)))</f>
        <v>1</v>
      </c>
      <c r="G9" s="206">
        <f>IF(C9="","",Picks!M9)</f>
        <v>1</v>
      </c>
      <c r="H9" s="207">
        <f t="shared" si="4"/>
        <v>1.1499999999999999</v>
      </c>
      <c r="I9" s="221" t="str">
        <f t="shared" si="5"/>
        <v>Andy White</v>
      </c>
      <c r="J9" s="215">
        <f>H23</f>
        <v>0</v>
      </c>
      <c r="K9" s="215">
        <f>H24</f>
        <v>0.85000000000000009</v>
      </c>
      <c r="L9" s="215">
        <f>H25</f>
        <v>1.1000000000000001</v>
      </c>
      <c r="M9" s="204">
        <f t="shared" si="0"/>
        <v>0</v>
      </c>
      <c r="N9" s="204">
        <f t="shared" si="1"/>
        <v>1.85</v>
      </c>
      <c r="O9" s="204">
        <f t="shared" si="2"/>
        <v>2.1</v>
      </c>
      <c r="P9" s="204">
        <f t="shared" si="6"/>
        <v>0</v>
      </c>
      <c r="Q9" s="204">
        <f t="shared" si="7"/>
        <v>3.8850000000000002</v>
      </c>
      <c r="R9" s="204">
        <f t="shared" si="8"/>
        <v>0</v>
      </c>
      <c r="S9" s="204">
        <f t="shared" si="16"/>
        <v>0</v>
      </c>
      <c r="T9" s="204">
        <f t="shared" si="9"/>
        <v>0.83500000000000085</v>
      </c>
      <c r="U9" s="203">
        <f>SUM(G23:G25)</f>
        <v>2</v>
      </c>
      <c r="V9" s="132" t="s">
        <v>295</v>
      </c>
      <c r="W9" s="205">
        <f>SUM(F23:F25)</f>
        <v>3</v>
      </c>
      <c r="X9" s="207">
        <f t="shared" si="3"/>
        <v>1.1499999999999999</v>
      </c>
      <c r="Y9" s="204">
        <f>X23</f>
        <v>4.8</v>
      </c>
      <c r="Z9" s="204">
        <f>X24</f>
        <v>0.85000000000000009</v>
      </c>
      <c r="AA9" s="204">
        <f>X25</f>
        <v>1.1000000000000001</v>
      </c>
      <c r="AB9" s="204">
        <f t="shared" si="10"/>
        <v>5.8</v>
      </c>
      <c r="AC9" s="214">
        <f t="shared" si="11"/>
        <v>1.85</v>
      </c>
      <c r="AD9" s="204">
        <f t="shared" si="12"/>
        <v>2.1</v>
      </c>
      <c r="AE9" s="204">
        <f t="shared" si="17"/>
        <v>10.73</v>
      </c>
      <c r="AF9" s="204">
        <f t="shared" si="18"/>
        <v>3.8850000000000002</v>
      </c>
      <c r="AG9" s="204">
        <f t="shared" si="19"/>
        <v>12.18</v>
      </c>
      <c r="AH9" s="204">
        <f t="shared" si="20"/>
        <v>22.533000000000001</v>
      </c>
      <c r="AI9" s="215">
        <f t="shared" si="13"/>
        <v>52.078000000000003</v>
      </c>
      <c r="AJ9" s="222" t="str">
        <f t="shared" si="14"/>
        <v>Andy White</v>
      </c>
      <c r="AK9" s="1">
        <f t="shared" si="15"/>
        <v>7</v>
      </c>
    </row>
    <row r="10" spans="1:77" ht="13.15" thickBot="1">
      <c r="B10" s="211"/>
      <c r="C10" s="211" t="str">
        <f>Picks!B10</f>
        <v>Aldershot</v>
      </c>
      <c r="D10" s="212">
        <f>Picks!C10</f>
        <v>1</v>
      </c>
      <c r="E10" s="212">
        <f>Picks!D10</f>
        <v>2.4545454545454546</v>
      </c>
      <c r="F10" s="224">
        <f>IF(C10="","",INDEX(Odds!K:K,MATCH(C10,Odds!G:G,0)))</f>
        <v>1</v>
      </c>
      <c r="G10" s="211">
        <f>IF(C10="","",Picks!M10)</f>
        <v>0</v>
      </c>
      <c r="H10" s="212">
        <f t="shared" si="4"/>
        <v>0</v>
      </c>
      <c r="I10" s="221" t="str">
        <f t="shared" si="5"/>
        <v>Ashley Houghton</v>
      </c>
      <c r="J10" s="204">
        <f>H26</f>
        <v>0</v>
      </c>
      <c r="K10" s="204">
        <f>H27</f>
        <v>0</v>
      </c>
      <c r="L10" s="204">
        <f>H28</f>
        <v>0</v>
      </c>
      <c r="M10" s="204">
        <f t="shared" si="0"/>
        <v>0</v>
      </c>
      <c r="N10" s="204">
        <f t="shared" si="1"/>
        <v>0</v>
      </c>
      <c r="O10" s="204">
        <f t="shared" si="2"/>
        <v>0</v>
      </c>
      <c r="P10" s="204">
        <f t="shared" si="6"/>
        <v>0</v>
      </c>
      <c r="Q10" s="204">
        <f t="shared" si="7"/>
        <v>0</v>
      </c>
      <c r="R10" s="204">
        <f t="shared" si="8"/>
        <v>0</v>
      </c>
      <c r="S10" s="204">
        <f t="shared" si="16"/>
        <v>0</v>
      </c>
      <c r="T10" s="204">
        <f t="shared" si="9"/>
        <v>0</v>
      </c>
      <c r="U10" s="203">
        <f>SUM(G26:G28)</f>
        <v>0</v>
      </c>
      <c r="V10" s="132" t="s">
        <v>383</v>
      </c>
      <c r="W10" s="205">
        <f>SUM(F26:F28)</f>
        <v>0</v>
      </c>
      <c r="X10" s="207">
        <f t="shared" si="3"/>
        <v>1.4545454545454546</v>
      </c>
      <c r="Y10" s="204">
        <f>X26</f>
        <v>0</v>
      </c>
      <c r="Z10" s="204">
        <f>X27</f>
        <v>0</v>
      </c>
      <c r="AA10" s="204">
        <f>X28</f>
        <v>0</v>
      </c>
      <c r="AB10" s="204">
        <f t="shared" si="10"/>
        <v>0</v>
      </c>
      <c r="AC10" s="214">
        <f t="shared" si="11"/>
        <v>0</v>
      </c>
      <c r="AD10" s="204">
        <f t="shared" si="12"/>
        <v>0</v>
      </c>
      <c r="AE10" s="204">
        <f t="shared" si="17"/>
        <v>0</v>
      </c>
      <c r="AF10" s="204">
        <f t="shared" si="18"/>
        <v>0</v>
      </c>
      <c r="AG10" s="204">
        <f t="shared" si="19"/>
        <v>0</v>
      </c>
      <c r="AH10" s="204">
        <f t="shared" si="20"/>
        <v>0</v>
      </c>
      <c r="AI10" s="215">
        <f t="shared" si="13"/>
        <v>-1</v>
      </c>
      <c r="AJ10" s="222" t="str">
        <f t="shared" si="14"/>
        <v>Ashley Houghton</v>
      </c>
      <c r="AK10" s="1">
        <f t="shared" si="15"/>
        <v>1</v>
      </c>
    </row>
    <row r="11" spans="1:77">
      <c r="B11" s="209" t="str">
        <f>$V5</f>
        <v>Alfie Davies</v>
      </c>
      <c r="C11" s="209" t="str">
        <f>Picks!B11</f>
        <v>Arsenal</v>
      </c>
      <c r="D11" s="210">
        <f>Picks!C11</f>
        <v>1</v>
      </c>
      <c r="E11" s="207">
        <f>Picks!D11</f>
        <v>1.4444444444444444</v>
      </c>
      <c r="F11" s="208">
        <f>IF(C11="","",INDEX(Odds!K:K,MATCH(C11,Odds!G:G,0)))</f>
        <v>1</v>
      </c>
      <c r="G11" s="206">
        <f>IF(C11="","",Picks!M11)</f>
        <v>1</v>
      </c>
      <c r="H11" s="207">
        <f t="shared" si="4"/>
        <v>0.44444444444444442</v>
      </c>
      <c r="I11" s="221" t="str">
        <f t="shared" si="5"/>
        <v>Barry Birchall</v>
      </c>
      <c r="J11" s="204">
        <f>H29</f>
        <v>0</v>
      </c>
      <c r="K11" s="204">
        <f>H30</f>
        <v>2.2000000000000002</v>
      </c>
      <c r="L11" s="204">
        <f>H31</f>
        <v>2.1</v>
      </c>
      <c r="M11" s="204">
        <f t="shared" si="0"/>
        <v>0</v>
      </c>
      <c r="N11" s="204">
        <f t="shared" si="1"/>
        <v>3.2</v>
      </c>
      <c r="O11" s="204">
        <f t="shared" si="2"/>
        <v>3.1</v>
      </c>
      <c r="P11" s="204">
        <f t="shared" si="6"/>
        <v>0</v>
      </c>
      <c r="Q11" s="204">
        <f t="shared" si="7"/>
        <v>9.9200000000000017</v>
      </c>
      <c r="R11" s="204">
        <f t="shared" si="8"/>
        <v>0</v>
      </c>
      <c r="S11" s="204">
        <f t="shared" si="16"/>
        <v>0</v>
      </c>
      <c r="T11" s="204">
        <f t="shared" si="9"/>
        <v>9.2200000000000024</v>
      </c>
      <c r="U11" s="203">
        <f>SUM(G29:G31)</f>
        <v>2</v>
      </c>
      <c r="V11" s="132" t="s">
        <v>289</v>
      </c>
      <c r="W11" s="205">
        <f>SUM(F29:F31)</f>
        <v>3</v>
      </c>
      <c r="X11" s="207">
        <f t="shared" si="3"/>
        <v>0.44444444444444442</v>
      </c>
      <c r="Y11" s="204">
        <f>X29</f>
        <v>0.8</v>
      </c>
      <c r="Z11" s="204">
        <f>X30</f>
        <v>2.2000000000000002</v>
      </c>
      <c r="AA11" s="204">
        <f>X31</f>
        <v>2.1</v>
      </c>
      <c r="AB11" s="204">
        <f t="shared" si="10"/>
        <v>1.8</v>
      </c>
      <c r="AC11" s="214">
        <f t="shared" si="11"/>
        <v>3.2</v>
      </c>
      <c r="AD11" s="204">
        <f t="shared" si="12"/>
        <v>3.1</v>
      </c>
      <c r="AE11" s="204">
        <f t="shared" si="17"/>
        <v>5.7600000000000007</v>
      </c>
      <c r="AF11" s="204">
        <f t="shared" si="18"/>
        <v>9.9200000000000017</v>
      </c>
      <c r="AG11" s="204">
        <f t="shared" si="19"/>
        <v>5.58</v>
      </c>
      <c r="AH11" s="204">
        <f t="shared" si="20"/>
        <v>17.856000000000002</v>
      </c>
      <c r="AI11" s="215">
        <f t="shared" si="13"/>
        <v>40.216000000000001</v>
      </c>
      <c r="AJ11" s="222" t="str">
        <f t="shared" si="14"/>
        <v>Barry Birchall</v>
      </c>
      <c r="AK11" s="1">
        <f t="shared" si="15"/>
        <v>7</v>
      </c>
    </row>
    <row r="12" spans="1:77">
      <c r="B12" s="206"/>
      <c r="C12" s="206" t="str">
        <f>Picks!B12</f>
        <v>Chelsea</v>
      </c>
      <c r="D12" s="207">
        <f>Picks!C12</f>
        <v>1</v>
      </c>
      <c r="E12" s="207">
        <f>Picks!D12</f>
        <v>1.6153846153846154</v>
      </c>
      <c r="F12" s="208">
        <f>IF(C12="","",INDEX(Odds!K:K,MATCH(C12,Odds!G:G,0)))</f>
        <v>1</v>
      </c>
      <c r="G12" s="206">
        <f>IF(C12="","",Picks!M12)</f>
        <v>1</v>
      </c>
      <c r="H12" s="207">
        <f t="shared" si="4"/>
        <v>0.61538461538461542</v>
      </c>
      <c r="I12" s="221" t="str">
        <f t="shared" si="5"/>
        <v>Ben Rosser</v>
      </c>
      <c r="J12" s="204">
        <f>H32</f>
        <v>0</v>
      </c>
      <c r="K12" s="204">
        <f>H33</f>
        <v>0</v>
      </c>
      <c r="L12" s="204">
        <f>H34</f>
        <v>0</v>
      </c>
      <c r="M12" s="204">
        <f t="shared" si="0"/>
        <v>0</v>
      </c>
      <c r="N12" s="204">
        <f t="shared" si="1"/>
        <v>0</v>
      </c>
      <c r="O12" s="204">
        <f t="shared" si="2"/>
        <v>0</v>
      </c>
      <c r="P12" s="204">
        <f t="shared" si="6"/>
        <v>0</v>
      </c>
      <c r="Q12" s="204">
        <f t="shared" si="7"/>
        <v>0</v>
      </c>
      <c r="R12" s="204">
        <f t="shared" si="8"/>
        <v>0</v>
      </c>
      <c r="S12" s="204">
        <f t="shared" si="16"/>
        <v>0</v>
      </c>
      <c r="T12" s="204">
        <f t="shared" si="9"/>
        <v>-3</v>
      </c>
      <c r="U12" s="203">
        <f>SUM(G32:G34)</f>
        <v>1</v>
      </c>
      <c r="V12" s="132" t="s">
        <v>380</v>
      </c>
      <c r="W12" s="205">
        <f>SUM(F32:F34)</f>
        <v>2</v>
      </c>
      <c r="X12" s="207">
        <f t="shared" si="3"/>
        <v>0.61538461538461542</v>
      </c>
      <c r="Y12" s="204">
        <f>X32</f>
        <v>4.8</v>
      </c>
      <c r="Z12" s="204">
        <f>X33</f>
        <v>0</v>
      </c>
      <c r="AA12" s="204">
        <f>X34</f>
        <v>2.75</v>
      </c>
      <c r="AB12" s="204">
        <f t="shared" si="10"/>
        <v>5.8</v>
      </c>
      <c r="AC12" s="214">
        <f t="shared" si="11"/>
        <v>0</v>
      </c>
      <c r="AD12" s="204">
        <f t="shared" si="12"/>
        <v>3.75</v>
      </c>
      <c r="AE12" s="204">
        <f t="shared" si="17"/>
        <v>0</v>
      </c>
      <c r="AF12" s="204">
        <f t="shared" si="18"/>
        <v>0</v>
      </c>
      <c r="AG12" s="204">
        <f t="shared" si="19"/>
        <v>21.75</v>
      </c>
      <c r="AH12" s="204">
        <f t="shared" si="20"/>
        <v>0</v>
      </c>
      <c r="AI12" s="215">
        <f t="shared" si="13"/>
        <v>28.3</v>
      </c>
      <c r="AJ12" s="222" t="str">
        <f t="shared" si="14"/>
        <v>Ben Rosser</v>
      </c>
      <c r="AK12" s="1">
        <f t="shared" si="15"/>
        <v>3</v>
      </c>
    </row>
    <row r="13" spans="1:77" ht="13.15" thickBot="1">
      <c r="B13" s="211"/>
      <c r="C13" s="211" t="str">
        <f>Picks!B13</f>
        <v>Blackpool</v>
      </c>
      <c r="D13" s="212">
        <f>Picks!C13</f>
        <v>1</v>
      </c>
      <c r="E13" s="212">
        <f>Picks!D13</f>
        <v>3.5</v>
      </c>
      <c r="F13" s="224">
        <f>IF(C13="","",INDEX(Odds!K:K,MATCH(C13,Odds!G:G,0)))</f>
        <v>1</v>
      </c>
      <c r="G13" s="211">
        <f>IF(C13="","",Picks!M13)</f>
        <v>0</v>
      </c>
      <c r="H13" s="212">
        <f t="shared" si="4"/>
        <v>0</v>
      </c>
      <c r="I13" s="221" t="str">
        <f t="shared" si="5"/>
        <v>Bob Bailey</v>
      </c>
      <c r="J13" s="204">
        <f>H35</f>
        <v>0</v>
      </c>
      <c r="K13" s="204">
        <f>H36</f>
        <v>0</v>
      </c>
      <c r="L13" s="204">
        <f>H37</f>
        <v>0</v>
      </c>
      <c r="M13" s="204">
        <f t="shared" si="0"/>
        <v>0</v>
      </c>
      <c r="N13" s="204">
        <f t="shared" si="1"/>
        <v>0</v>
      </c>
      <c r="O13" s="204">
        <f t="shared" si="2"/>
        <v>0</v>
      </c>
      <c r="P13" s="204">
        <f t="shared" si="6"/>
        <v>0</v>
      </c>
      <c r="Q13" s="204">
        <f t="shared" si="7"/>
        <v>0</v>
      </c>
      <c r="R13" s="204">
        <f t="shared" si="8"/>
        <v>0</v>
      </c>
      <c r="S13" s="204">
        <f t="shared" si="16"/>
        <v>0</v>
      </c>
      <c r="T13" s="204">
        <f t="shared" si="9"/>
        <v>-1</v>
      </c>
      <c r="U13" s="203">
        <f>SUM(G35:G37)</f>
        <v>0</v>
      </c>
      <c r="V13" s="135" t="s">
        <v>551</v>
      </c>
      <c r="W13" s="205">
        <f>SUM(F35:F37)</f>
        <v>1</v>
      </c>
      <c r="X13" s="207">
        <f t="shared" si="3"/>
        <v>2.5</v>
      </c>
      <c r="Y13" s="204">
        <f>X35</f>
        <v>0</v>
      </c>
      <c r="Z13" s="204">
        <f>X36</f>
        <v>4.8</v>
      </c>
      <c r="AA13" s="204">
        <f>X37</f>
        <v>0</v>
      </c>
      <c r="AB13" s="204">
        <f t="shared" si="10"/>
        <v>0</v>
      </c>
      <c r="AC13" s="214">
        <f t="shared" si="11"/>
        <v>5.8</v>
      </c>
      <c r="AD13" s="204">
        <f t="shared" si="12"/>
        <v>0</v>
      </c>
      <c r="AE13" s="204">
        <f t="shared" si="17"/>
        <v>0</v>
      </c>
      <c r="AF13" s="204">
        <f t="shared" si="18"/>
        <v>0</v>
      </c>
      <c r="AG13" s="204">
        <f t="shared" si="19"/>
        <v>0</v>
      </c>
      <c r="AH13" s="204">
        <f t="shared" si="20"/>
        <v>0</v>
      </c>
      <c r="AI13" s="215">
        <f t="shared" si="13"/>
        <v>4.8</v>
      </c>
      <c r="AJ13" s="222" t="str">
        <f t="shared" si="14"/>
        <v>Bob Bailey</v>
      </c>
      <c r="AK13" s="1">
        <f t="shared" si="15"/>
        <v>1</v>
      </c>
    </row>
    <row r="14" spans="1:77">
      <c r="B14" s="206" t="str">
        <f>$V6</f>
        <v>Alick Rocca</v>
      </c>
      <c r="C14" s="206" t="str">
        <f>Picks!B14</f>
        <v>Cheltenham Draw</v>
      </c>
      <c r="D14" s="207">
        <f>Picks!C14</f>
        <v>1</v>
      </c>
      <c r="E14" s="207">
        <f>Picks!D14</f>
        <v>3.3</v>
      </c>
      <c r="F14" s="208">
        <f>IF(C14="","",INDEX(Odds!K:K,MATCH(C14,Odds!G:G,0)))</f>
        <v>1</v>
      </c>
      <c r="G14" s="206">
        <f>IF(C14="","",Picks!M14)</f>
        <v>0</v>
      </c>
      <c r="H14" s="207">
        <f t="shared" si="4"/>
        <v>0</v>
      </c>
      <c r="I14" s="221" t="str">
        <f t="shared" si="5"/>
        <v>Charlie Griffiths</v>
      </c>
      <c r="J14" s="204">
        <f>H38</f>
        <v>0</v>
      </c>
      <c r="K14" s="204">
        <f>H39</f>
        <v>0</v>
      </c>
      <c r="L14" s="204">
        <f>H40</f>
        <v>1.1000000000000001</v>
      </c>
      <c r="M14" s="204">
        <f t="shared" si="0"/>
        <v>0</v>
      </c>
      <c r="N14" s="204">
        <f t="shared" si="1"/>
        <v>0</v>
      </c>
      <c r="O14" s="204">
        <f t="shared" si="2"/>
        <v>2.1</v>
      </c>
      <c r="P14" s="204">
        <f t="shared" si="6"/>
        <v>0</v>
      </c>
      <c r="Q14" s="204">
        <f t="shared" si="7"/>
        <v>0</v>
      </c>
      <c r="R14" s="204">
        <f t="shared" si="8"/>
        <v>0</v>
      </c>
      <c r="S14" s="204">
        <f t="shared" si="16"/>
        <v>0</v>
      </c>
      <c r="T14" s="204">
        <f t="shared" si="9"/>
        <v>1.1000000000000001</v>
      </c>
      <c r="U14" s="203">
        <f>SUM(G38:G40)</f>
        <v>1</v>
      </c>
      <c r="V14" s="135" t="s">
        <v>317</v>
      </c>
      <c r="W14" s="205">
        <f>SUM(F38:F40)</f>
        <v>1</v>
      </c>
      <c r="X14" s="207">
        <f t="shared" si="3"/>
        <v>2.2999999999999998</v>
      </c>
      <c r="Y14" s="204">
        <f>X38</f>
        <v>0</v>
      </c>
      <c r="Z14" s="204">
        <f>X39</f>
        <v>0</v>
      </c>
      <c r="AA14" s="204">
        <f>X40</f>
        <v>1.1000000000000001</v>
      </c>
      <c r="AB14" s="204">
        <f t="shared" si="10"/>
        <v>0</v>
      </c>
      <c r="AC14" s="214">
        <f t="shared" si="11"/>
        <v>0</v>
      </c>
      <c r="AD14" s="204">
        <f t="shared" si="12"/>
        <v>2.1</v>
      </c>
      <c r="AE14" s="204">
        <f t="shared" si="17"/>
        <v>0</v>
      </c>
      <c r="AF14" s="204">
        <f t="shared" si="18"/>
        <v>0</v>
      </c>
      <c r="AG14" s="204">
        <f t="shared" si="19"/>
        <v>0</v>
      </c>
      <c r="AH14" s="204">
        <f t="shared" si="20"/>
        <v>0</v>
      </c>
      <c r="AI14" s="215">
        <f t="shared" si="13"/>
        <v>1.1000000000000001</v>
      </c>
      <c r="AJ14" s="222" t="str">
        <f t="shared" si="14"/>
        <v>Charlie Griffiths</v>
      </c>
      <c r="AK14" s="1">
        <f t="shared" si="15"/>
        <v>1</v>
      </c>
    </row>
    <row r="15" spans="1:77">
      <c r="B15" s="206"/>
      <c r="C15" s="206" t="str">
        <f>Picks!B15</f>
        <v>Carlisle Draw</v>
      </c>
      <c r="D15" s="207">
        <f>Picks!C15</f>
        <v>1</v>
      </c>
      <c r="E15" s="207">
        <f>Picks!D15</f>
        <v>3.25</v>
      </c>
      <c r="F15" s="208">
        <f>IF(C15="","",INDEX(Odds!K:K,MATCH(C15,Odds!G:G,0)))</f>
        <v>0</v>
      </c>
      <c r="G15" s="206">
        <f>IF(C15="","",Picks!M15)</f>
        <v>1</v>
      </c>
      <c r="H15" s="207">
        <f t="shared" si="4"/>
        <v>0</v>
      </c>
      <c r="I15" s="221" t="str">
        <f t="shared" si="5"/>
        <v>Chris Bow</v>
      </c>
      <c r="J15" s="204">
        <f>H41</f>
        <v>0</v>
      </c>
      <c r="K15" s="204">
        <f>H42</f>
        <v>3</v>
      </c>
      <c r="L15" s="204">
        <f>H43</f>
        <v>1.1499999999999999</v>
      </c>
      <c r="M15" s="204">
        <f t="shared" si="0"/>
        <v>0</v>
      </c>
      <c r="N15" s="204">
        <f t="shared" si="1"/>
        <v>4</v>
      </c>
      <c r="O15" s="204">
        <f t="shared" si="2"/>
        <v>2.15</v>
      </c>
      <c r="P15" s="204">
        <f t="shared" si="6"/>
        <v>0</v>
      </c>
      <c r="Q15" s="204">
        <f t="shared" si="7"/>
        <v>8.6</v>
      </c>
      <c r="R15" s="204">
        <f t="shared" si="8"/>
        <v>0</v>
      </c>
      <c r="S15" s="204">
        <f t="shared" si="16"/>
        <v>0</v>
      </c>
      <c r="T15" s="204">
        <f t="shared" si="9"/>
        <v>7.75</v>
      </c>
      <c r="U15" s="203">
        <f>SUM(G41:G43)</f>
        <v>2</v>
      </c>
      <c r="V15" s="132" t="s">
        <v>323</v>
      </c>
      <c r="W15" s="205">
        <f>SUM(F41:F43)</f>
        <v>3</v>
      </c>
      <c r="X15" s="207">
        <f t="shared" si="3"/>
        <v>0</v>
      </c>
      <c r="Y15" s="204">
        <f>X41</f>
        <v>4.8</v>
      </c>
      <c r="Z15" s="204">
        <f>X42</f>
        <v>3</v>
      </c>
      <c r="AA15" s="204">
        <f>X43</f>
        <v>1.1499999999999999</v>
      </c>
      <c r="AB15" s="204">
        <f t="shared" si="10"/>
        <v>5.8</v>
      </c>
      <c r="AC15" s="214">
        <f t="shared" si="11"/>
        <v>4</v>
      </c>
      <c r="AD15" s="204">
        <f t="shared" si="12"/>
        <v>2.15</v>
      </c>
      <c r="AE15" s="204">
        <f t="shared" si="17"/>
        <v>23.2</v>
      </c>
      <c r="AF15" s="204">
        <f t="shared" si="18"/>
        <v>8.6</v>
      </c>
      <c r="AG15" s="204">
        <f t="shared" si="19"/>
        <v>12.469999999999999</v>
      </c>
      <c r="AH15" s="204">
        <f t="shared" si="20"/>
        <v>49.879999999999995</v>
      </c>
      <c r="AI15" s="215">
        <f t="shared" si="13"/>
        <v>99.1</v>
      </c>
      <c r="AJ15" s="222" t="str">
        <f t="shared" si="14"/>
        <v>Chris Bow</v>
      </c>
      <c r="AK15" s="1">
        <f t="shared" si="15"/>
        <v>7</v>
      </c>
    </row>
    <row r="16" spans="1:77" ht="13.15" thickBot="1">
      <c r="B16" s="211"/>
      <c r="C16" s="211" t="str">
        <f>Picks!B16</f>
        <v>Colchester Draw</v>
      </c>
      <c r="D16" s="212">
        <f>Picks!C16</f>
        <v>1</v>
      </c>
      <c r="E16" s="212">
        <f>Picks!D16</f>
        <v>3.4</v>
      </c>
      <c r="F16" s="224">
        <f>IF(C16="","",INDEX(Odds!K:K,MATCH(C16,Odds!G:G,0)))</f>
        <v>0</v>
      </c>
      <c r="G16" s="211">
        <f>IF(C16="","",Picks!M16)</f>
        <v>1</v>
      </c>
      <c r="H16" s="212">
        <f t="shared" si="4"/>
        <v>0</v>
      </c>
      <c r="I16" s="221" t="str">
        <f t="shared" si="5"/>
        <v>Chris Griffin</v>
      </c>
      <c r="J16" s="204">
        <f>H44</f>
        <v>1.1499999999999999</v>
      </c>
      <c r="K16" s="204">
        <f>H45</f>
        <v>0</v>
      </c>
      <c r="L16" s="204">
        <f>H46</f>
        <v>0</v>
      </c>
      <c r="M16" s="204">
        <f t="shared" si="0"/>
        <v>2.15</v>
      </c>
      <c r="N16" s="204">
        <f t="shared" si="1"/>
        <v>0</v>
      </c>
      <c r="O16" s="204">
        <f t="shared" si="2"/>
        <v>0</v>
      </c>
      <c r="P16" s="204">
        <f t="shared" si="6"/>
        <v>0</v>
      </c>
      <c r="Q16" s="204">
        <f t="shared" si="7"/>
        <v>0</v>
      </c>
      <c r="R16" s="204">
        <f t="shared" si="8"/>
        <v>0</v>
      </c>
      <c r="S16" s="204">
        <f t="shared" si="16"/>
        <v>0</v>
      </c>
      <c r="T16" s="204">
        <f t="shared" si="9"/>
        <v>-4.8499999999999996</v>
      </c>
      <c r="U16" s="203">
        <f>SUM(G44:G46)</f>
        <v>1</v>
      </c>
      <c r="V16" s="135" t="s">
        <v>316</v>
      </c>
      <c r="W16" s="205">
        <f>SUM(F44:F46)</f>
        <v>3</v>
      </c>
      <c r="X16" s="207">
        <f t="shared" si="3"/>
        <v>0</v>
      </c>
      <c r="Y16" s="204">
        <f>X44</f>
        <v>1.1499999999999999</v>
      </c>
      <c r="Z16" s="204">
        <f>X45</f>
        <v>0.75</v>
      </c>
      <c r="AA16" s="204">
        <f>X46</f>
        <v>2.5</v>
      </c>
      <c r="AB16" s="204">
        <f t="shared" si="10"/>
        <v>2.15</v>
      </c>
      <c r="AC16" s="214">
        <f t="shared" si="11"/>
        <v>1.75</v>
      </c>
      <c r="AD16" s="204">
        <f t="shared" si="12"/>
        <v>3.5</v>
      </c>
      <c r="AE16" s="204">
        <f t="shared" si="17"/>
        <v>3.7624999999999997</v>
      </c>
      <c r="AF16" s="204">
        <f t="shared" si="18"/>
        <v>6.125</v>
      </c>
      <c r="AG16" s="204">
        <f t="shared" si="19"/>
        <v>7.5249999999999995</v>
      </c>
      <c r="AH16" s="204">
        <f t="shared" si="20"/>
        <v>13.168749999999999</v>
      </c>
      <c r="AI16" s="215">
        <f t="shared" si="13"/>
        <v>30.981250000000003</v>
      </c>
      <c r="AJ16" s="222" t="str">
        <f t="shared" si="14"/>
        <v>Chris Griffin</v>
      </c>
      <c r="AK16" s="1">
        <f t="shared" si="15"/>
        <v>7</v>
      </c>
    </row>
    <row r="17" spans="2:37">
      <c r="B17" s="209" t="str">
        <f>$V7</f>
        <v>Andy Charleston</v>
      </c>
      <c r="C17" s="209" t="str">
        <f>Picks!B17</f>
        <v>Hull draw</v>
      </c>
      <c r="D17" s="210">
        <f>Picks!C17</f>
        <v>1</v>
      </c>
      <c r="E17" s="207">
        <f>Picks!D17</f>
        <v>3.25</v>
      </c>
      <c r="F17" s="208">
        <f>IF(C17="","",INDEX(Odds!K:K,MATCH(C17,Odds!G:G,0)))</f>
        <v>0</v>
      </c>
      <c r="G17" s="206">
        <f>IF(C17="","",Picks!M17)</f>
        <v>1</v>
      </c>
      <c r="H17" s="207">
        <f t="shared" si="4"/>
        <v>0</v>
      </c>
      <c r="I17" s="221" t="str">
        <f t="shared" si="5"/>
        <v>Chris Luck</v>
      </c>
      <c r="J17" s="204">
        <f>H47</f>
        <v>0</v>
      </c>
      <c r="K17" s="204">
        <f>H48</f>
        <v>0</v>
      </c>
      <c r="L17" s="204">
        <f>H49</f>
        <v>0</v>
      </c>
      <c r="M17" s="204">
        <f t="shared" si="0"/>
        <v>0</v>
      </c>
      <c r="N17" s="204">
        <f t="shared" si="1"/>
        <v>0</v>
      </c>
      <c r="O17" s="204">
        <f t="shared" si="2"/>
        <v>0</v>
      </c>
      <c r="P17" s="204">
        <f t="shared" si="6"/>
        <v>0</v>
      </c>
      <c r="Q17" s="204">
        <f t="shared" si="7"/>
        <v>0</v>
      </c>
      <c r="R17" s="204">
        <f t="shared" si="8"/>
        <v>0</v>
      </c>
      <c r="S17" s="204">
        <f t="shared" si="16"/>
        <v>0</v>
      </c>
      <c r="T17" s="204">
        <f t="shared" si="9"/>
        <v>-7</v>
      </c>
      <c r="U17" s="203">
        <f>SUM(G47:G49)</f>
        <v>0</v>
      </c>
      <c r="V17" s="132" t="s">
        <v>324</v>
      </c>
      <c r="W17" s="205">
        <f>SUM(F47:F49)</f>
        <v>3</v>
      </c>
      <c r="X17" s="207">
        <f t="shared" si="3"/>
        <v>0</v>
      </c>
      <c r="Y17" s="204">
        <f>X47</f>
        <v>2.5</v>
      </c>
      <c r="Z17" s="204">
        <f>X48</f>
        <v>5.5</v>
      </c>
      <c r="AA17" s="204">
        <f>X49</f>
        <v>2.75</v>
      </c>
      <c r="AB17" s="204">
        <f t="shared" si="10"/>
        <v>3.5</v>
      </c>
      <c r="AC17" s="214">
        <f t="shared" si="11"/>
        <v>6.5</v>
      </c>
      <c r="AD17" s="204">
        <f t="shared" si="12"/>
        <v>3.75</v>
      </c>
      <c r="AE17" s="204">
        <f t="shared" si="17"/>
        <v>22.75</v>
      </c>
      <c r="AF17" s="204">
        <f t="shared" si="18"/>
        <v>24.375</v>
      </c>
      <c r="AG17" s="204">
        <f t="shared" si="19"/>
        <v>13.125</v>
      </c>
      <c r="AH17" s="204">
        <f t="shared" si="20"/>
        <v>85.3125</v>
      </c>
      <c r="AI17" s="215">
        <f t="shared" si="13"/>
        <v>152.3125</v>
      </c>
      <c r="AJ17" s="222" t="str">
        <f t="shared" si="14"/>
        <v>Chris Luck</v>
      </c>
      <c r="AK17" s="1">
        <f t="shared" si="15"/>
        <v>7</v>
      </c>
    </row>
    <row r="18" spans="2:37">
      <c r="B18" s="206"/>
      <c r="C18" s="206" t="str">
        <f>Picks!B18</f>
        <v>Brighton draw</v>
      </c>
      <c r="D18" s="207">
        <f>Picks!C18</f>
        <v>1</v>
      </c>
      <c r="E18" s="207">
        <f>Picks!D18</f>
        <v>3.5</v>
      </c>
      <c r="F18" s="208">
        <f>IF(C18="","",INDEX(Odds!K:K,MATCH(C18,Odds!G:G,0)))</f>
        <v>1</v>
      </c>
      <c r="G18" s="206">
        <f>IF(C18="","",Picks!M18)</f>
        <v>0</v>
      </c>
      <c r="H18" s="207">
        <f t="shared" si="4"/>
        <v>0</v>
      </c>
      <c r="I18" s="221" t="str">
        <f t="shared" si="5"/>
        <v>Chris Townsend</v>
      </c>
      <c r="J18" s="204">
        <f>H50</f>
        <v>0.61538461538461542</v>
      </c>
      <c r="K18" s="204">
        <f>H51</f>
        <v>0.85000000000000009</v>
      </c>
      <c r="L18" s="204">
        <f>H52</f>
        <v>0</v>
      </c>
      <c r="M18" s="204">
        <f t="shared" si="0"/>
        <v>1.6153846153846154</v>
      </c>
      <c r="N18" s="204">
        <f t="shared" si="1"/>
        <v>1.85</v>
      </c>
      <c r="O18" s="204">
        <f t="shared" si="2"/>
        <v>0</v>
      </c>
      <c r="P18" s="204">
        <f t="shared" si="6"/>
        <v>2.9884615384615385</v>
      </c>
      <c r="Q18" s="204">
        <f t="shared" si="7"/>
        <v>0</v>
      </c>
      <c r="R18" s="204">
        <f t="shared" si="8"/>
        <v>0</v>
      </c>
      <c r="S18" s="204">
        <f t="shared" si="16"/>
        <v>0</v>
      </c>
      <c r="T18" s="204">
        <f t="shared" si="9"/>
        <v>-0.54615384615384599</v>
      </c>
      <c r="U18" s="203">
        <f>SUM(G50:G52)</f>
        <v>2</v>
      </c>
      <c r="V18" s="132" t="s">
        <v>320</v>
      </c>
      <c r="W18" s="205">
        <f>SUM(F50:F52)</f>
        <v>3</v>
      </c>
      <c r="X18" s="207">
        <f t="shared" si="3"/>
        <v>2.5</v>
      </c>
      <c r="Y18" s="204">
        <f>X50</f>
        <v>0.61538461538461542</v>
      </c>
      <c r="Z18" s="204">
        <f>X51</f>
        <v>0.85000000000000009</v>
      </c>
      <c r="AA18" s="204">
        <f>X52</f>
        <v>3.75</v>
      </c>
      <c r="AB18" s="204">
        <f t="shared" si="10"/>
        <v>1.6153846153846154</v>
      </c>
      <c r="AC18" s="214">
        <f t="shared" si="11"/>
        <v>1.85</v>
      </c>
      <c r="AD18" s="204">
        <f t="shared" si="12"/>
        <v>4.75</v>
      </c>
      <c r="AE18" s="204">
        <f t="shared" si="17"/>
        <v>2.9884615384615385</v>
      </c>
      <c r="AF18" s="204">
        <f t="shared" si="18"/>
        <v>8.7874999999999996</v>
      </c>
      <c r="AG18" s="204">
        <f t="shared" si="19"/>
        <v>7.6730769230769234</v>
      </c>
      <c r="AH18" s="204">
        <f t="shared" si="20"/>
        <v>14.195192307692309</v>
      </c>
      <c r="AI18" s="215">
        <f t="shared" si="13"/>
        <v>34.859615384615381</v>
      </c>
      <c r="AJ18" s="222" t="str">
        <f t="shared" si="14"/>
        <v>Chris Townsend</v>
      </c>
      <c r="AK18" s="1">
        <f t="shared" si="15"/>
        <v>7</v>
      </c>
    </row>
    <row r="19" spans="2:37" ht="13.15" thickBot="1">
      <c r="B19" s="211"/>
      <c r="C19" s="211" t="str">
        <f>Picks!B19</f>
        <v>Lincoln draw</v>
      </c>
      <c r="D19" s="212">
        <f>Picks!C19</f>
        <v>1</v>
      </c>
      <c r="E19" s="212">
        <f>Picks!D19</f>
        <v>3.4</v>
      </c>
      <c r="F19" s="224">
        <f>IF(C19="","",INDEX(Odds!K:K,MATCH(C19,Odds!G:G,0)))</f>
        <v>1</v>
      </c>
      <c r="G19" s="211">
        <f>IF(C19="","",Picks!M19)</f>
        <v>0</v>
      </c>
      <c r="H19" s="212">
        <f t="shared" si="4"/>
        <v>0</v>
      </c>
      <c r="I19" s="221" t="str">
        <f t="shared" si="5"/>
        <v>Dan Gibbard</v>
      </c>
      <c r="J19" s="204">
        <f>H53</f>
        <v>0</v>
      </c>
      <c r="K19" s="204">
        <f>H54</f>
        <v>0</v>
      </c>
      <c r="L19" s="204">
        <f>H55</f>
        <v>0.7</v>
      </c>
      <c r="M19" s="204">
        <f t="shared" si="0"/>
        <v>0</v>
      </c>
      <c r="N19" s="204">
        <f t="shared" si="1"/>
        <v>0</v>
      </c>
      <c r="O19" s="204">
        <f t="shared" si="2"/>
        <v>1.7</v>
      </c>
      <c r="P19" s="204">
        <f t="shared" si="6"/>
        <v>0</v>
      </c>
      <c r="Q19" s="204">
        <f t="shared" si="7"/>
        <v>0</v>
      </c>
      <c r="R19" s="204">
        <f t="shared" si="8"/>
        <v>0</v>
      </c>
      <c r="S19" s="204">
        <f t="shared" si="16"/>
        <v>0</v>
      </c>
      <c r="T19" s="204">
        <f t="shared" si="9"/>
        <v>-1.3</v>
      </c>
      <c r="U19" s="203">
        <f>SUM(G53:G55)</f>
        <v>1</v>
      </c>
      <c r="V19" s="135" t="s">
        <v>552</v>
      </c>
      <c r="W19" s="205">
        <f>SUM(F53:F55)</f>
        <v>2</v>
      </c>
      <c r="X19" s="207">
        <f t="shared" si="3"/>
        <v>2.4</v>
      </c>
      <c r="Y19" s="204">
        <f>X53</f>
        <v>0</v>
      </c>
      <c r="Z19" s="204">
        <f>X54</f>
        <v>2.5</v>
      </c>
      <c r="AA19" s="204">
        <f>X55</f>
        <v>0.7</v>
      </c>
      <c r="AB19" s="204">
        <f t="shared" si="10"/>
        <v>0</v>
      </c>
      <c r="AC19" s="214">
        <f t="shared" si="11"/>
        <v>3.5</v>
      </c>
      <c r="AD19" s="204">
        <f t="shared" si="12"/>
        <v>1.7</v>
      </c>
      <c r="AE19" s="204">
        <f t="shared" si="17"/>
        <v>0</v>
      </c>
      <c r="AF19" s="204">
        <f t="shared" si="18"/>
        <v>5.9499999999999993</v>
      </c>
      <c r="AG19" s="204">
        <f t="shared" si="19"/>
        <v>0</v>
      </c>
      <c r="AH19" s="204">
        <f t="shared" si="20"/>
        <v>0</v>
      </c>
      <c r="AI19" s="215">
        <f t="shared" si="13"/>
        <v>8.1499999999999986</v>
      </c>
      <c r="AJ19" s="222" t="str">
        <f t="shared" si="14"/>
        <v>Dan Gibbard</v>
      </c>
      <c r="AK19" s="1">
        <f t="shared" si="15"/>
        <v>3</v>
      </c>
    </row>
    <row r="20" spans="2:37">
      <c r="B20" s="206" t="str">
        <f>$V8</f>
        <v>Andy Hargreaves</v>
      </c>
      <c r="C20" s="206" t="str">
        <f>Picks!B20</f>
        <v/>
      </c>
      <c r="D20" s="207" t="str">
        <f>Picks!C20</f>
        <v/>
      </c>
      <c r="E20" s="207" t="str">
        <f>Picks!D20</f>
        <v/>
      </c>
      <c r="F20" s="208" t="str">
        <f>IF(C20="","",INDEX(Odds!K:K,MATCH(C20,Odds!G:G,0)))</f>
        <v/>
      </c>
      <c r="G20" s="206" t="str">
        <f>IF(C20="","",Picks!M20)</f>
        <v/>
      </c>
      <c r="H20" s="207" t="str">
        <f t="shared" si="4"/>
        <v/>
      </c>
      <c r="I20" s="221" t="str">
        <f t="shared" si="5"/>
        <v>Dave Bell</v>
      </c>
      <c r="J20" s="204">
        <f>H56</f>
        <v>0</v>
      </c>
      <c r="K20" s="204">
        <f>H57</f>
        <v>0</v>
      </c>
      <c r="L20" s="204">
        <f>H58</f>
        <v>0</v>
      </c>
      <c r="M20" s="204">
        <f t="shared" si="0"/>
        <v>0</v>
      </c>
      <c r="N20" s="204">
        <f t="shared" si="1"/>
        <v>0</v>
      </c>
      <c r="O20" s="204">
        <f t="shared" si="2"/>
        <v>0</v>
      </c>
      <c r="P20" s="204">
        <f t="shared" si="6"/>
        <v>0</v>
      </c>
      <c r="Q20" s="204">
        <f t="shared" si="7"/>
        <v>0</v>
      </c>
      <c r="R20" s="204">
        <f t="shared" si="8"/>
        <v>0</v>
      </c>
      <c r="S20" s="204">
        <f t="shared" si="16"/>
        <v>0</v>
      </c>
      <c r="T20" s="204">
        <f t="shared" si="9"/>
        <v>-7</v>
      </c>
      <c r="U20" s="203">
        <f>SUM(G56:G58)</f>
        <v>0</v>
      </c>
      <c r="V20" s="132" t="s">
        <v>390</v>
      </c>
      <c r="W20" s="205">
        <f>SUM(F56:F58)</f>
        <v>3</v>
      </c>
      <c r="X20" s="207" t="e">
        <f t="shared" si="3"/>
        <v>#VALUE!</v>
      </c>
      <c r="Y20" s="204">
        <f>X56</f>
        <v>12</v>
      </c>
      <c r="Z20" s="204">
        <f>X57</f>
        <v>6.5</v>
      </c>
      <c r="AA20" s="204">
        <f>X58</f>
        <v>4.8</v>
      </c>
      <c r="AB20" s="204">
        <f t="shared" si="10"/>
        <v>13</v>
      </c>
      <c r="AC20" s="214">
        <f t="shared" si="11"/>
        <v>7.5</v>
      </c>
      <c r="AD20" s="204">
        <f t="shared" si="12"/>
        <v>5.8</v>
      </c>
      <c r="AE20" s="204">
        <f t="shared" si="17"/>
        <v>97.5</v>
      </c>
      <c r="AF20" s="204">
        <f t="shared" si="18"/>
        <v>43.5</v>
      </c>
      <c r="AG20" s="204">
        <f t="shared" si="19"/>
        <v>75.399999999999991</v>
      </c>
      <c r="AH20" s="204">
        <f t="shared" si="20"/>
        <v>565.5</v>
      </c>
      <c r="AI20" s="215">
        <f t="shared" si="13"/>
        <v>801.2</v>
      </c>
      <c r="AJ20" s="222" t="str">
        <f t="shared" si="14"/>
        <v>Dave Bell</v>
      </c>
      <c r="AK20" s="1">
        <f t="shared" si="15"/>
        <v>7</v>
      </c>
    </row>
    <row r="21" spans="2:37">
      <c r="B21" s="206"/>
      <c r="C21" s="206" t="str">
        <f>Picks!B21</f>
        <v/>
      </c>
      <c r="D21" s="207" t="str">
        <f>Picks!C21</f>
        <v/>
      </c>
      <c r="E21" s="207" t="str">
        <f>Picks!D21</f>
        <v/>
      </c>
      <c r="F21" s="208" t="str">
        <f>IF(C21="","",INDEX(Odds!K:K,MATCH(C21,Odds!G:G,0)))</f>
        <v/>
      </c>
      <c r="G21" s="206" t="str">
        <f>IF(C21="","",Picks!M21)</f>
        <v/>
      </c>
      <c r="H21" s="207" t="str">
        <f t="shared" si="4"/>
        <v/>
      </c>
      <c r="I21" s="221" t="str">
        <f t="shared" si="5"/>
        <v>Dave Orrell</v>
      </c>
      <c r="J21" s="204">
        <f>H59</f>
        <v>0</v>
      </c>
      <c r="K21" s="204">
        <f>H60</f>
        <v>0.61111111111111116</v>
      </c>
      <c r="L21" s="204">
        <f>H61</f>
        <v>0.61538461538461542</v>
      </c>
      <c r="M21" s="204">
        <f t="shared" si="0"/>
        <v>0</v>
      </c>
      <c r="N21" s="204">
        <f t="shared" si="1"/>
        <v>1.6111111111111112</v>
      </c>
      <c r="O21" s="204">
        <f t="shared" si="2"/>
        <v>1.6153846153846154</v>
      </c>
      <c r="P21" s="204">
        <f t="shared" si="6"/>
        <v>0</v>
      </c>
      <c r="Q21" s="204">
        <f t="shared" si="7"/>
        <v>2.6025641025641026</v>
      </c>
      <c r="R21" s="204">
        <f t="shared" si="8"/>
        <v>0</v>
      </c>
      <c r="S21" s="204">
        <f t="shared" si="16"/>
        <v>0</v>
      </c>
      <c r="T21" s="204">
        <f t="shared" si="9"/>
        <v>-1.1709401709401703</v>
      </c>
      <c r="U21" s="203">
        <f>SUM(G59:G61)</f>
        <v>2</v>
      </c>
      <c r="V21" s="132" t="s">
        <v>381</v>
      </c>
      <c r="W21" s="205">
        <f>SUM(F59:F61)</f>
        <v>3</v>
      </c>
      <c r="X21" s="207" t="e">
        <f t="shared" si="3"/>
        <v>#VALUE!</v>
      </c>
      <c r="Y21" s="204">
        <f>X59</f>
        <v>1.2000000000000002</v>
      </c>
      <c r="Z21" s="204">
        <f>X60</f>
        <v>0.61111111111111116</v>
      </c>
      <c r="AA21" s="204">
        <f>X61</f>
        <v>0.61538461538461542</v>
      </c>
      <c r="AB21" s="204">
        <f t="shared" si="10"/>
        <v>2.2000000000000002</v>
      </c>
      <c r="AC21" s="214">
        <f t="shared" si="11"/>
        <v>1.6111111111111112</v>
      </c>
      <c r="AD21" s="204">
        <f t="shared" si="12"/>
        <v>1.6153846153846154</v>
      </c>
      <c r="AE21" s="204">
        <f t="shared" si="17"/>
        <v>3.5444444444444447</v>
      </c>
      <c r="AF21" s="204">
        <f t="shared" si="18"/>
        <v>2.6025641025641026</v>
      </c>
      <c r="AG21" s="204">
        <f t="shared" si="19"/>
        <v>3.5538461538461541</v>
      </c>
      <c r="AH21" s="204">
        <f t="shared" si="20"/>
        <v>5.7256410256410266</v>
      </c>
      <c r="AI21" s="215">
        <f t="shared" si="13"/>
        <v>13.852991452991454</v>
      </c>
      <c r="AJ21" s="222" t="str">
        <f t="shared" si="14"/>
        <v>Dave Orrell</v>
      </c>
      <c r="AK21" s="1">
        <f t="shared" si="15"/>
        <v>7</v>
      </c>
    </row>
    <row r="22" spans="2:37" ht="13.15" thickBot="1">
      <c r="B22" s="211"/>
      <c r="C22" s="211" t="str">
        <f>Picks!B22</f>
        <v/>
      </c>
      <c r="D22" s="212" t="str">
        <f>Picks!C22</f>
        <v/>
      </c>
      <c r="E22" s="212" t="str">
        <f>Picks!D22</f>
        <v/>
      </c>
      <c r="F22" s="224" t="str">
        <f>IF(C22="","",INDEX(Odds!K:K,MATCH(C22,Odds!G:G,0)))</f>
        <v/>
      </c>
      <c r="G22" s="211" t="str">
        <f>IF(C22="","",Picks!M22)</f>
        <v/>
      </c>
      <c r="H22" s="212" t="str">
        <f t="shared" si="4"/>
        <v/>
      </c>
      <c r="I22" s="221" t="str">
        <f t="shared" si="5"/>
        <v>David Dunn</v>
      </c>
      <c r="J22" s="204">
        <f>H62</f>
        <v>0</v>
      </c>
      <c r="K22" s="204">
        <f>H63</f>
        <v>0</v>
      </c>
      <c r="L22" s="204">
        <f>H64</f>
        <v>0</v>
      </c>
      <c r="M22" s="204">
        <f t="shared" si="0"/>
        <v>0</v>
      </c>
      <c r="N22" s="204">
        <f t="shared" si="1"/>
        <v>0</v>
      </c>
      <c r="O22" s="204">
        <f t="shared" si="2"/>
        <v>0</v>
      </c>
      <c r="P22" s="204">
        <f t="shared" si="6"/>
        <v>0</v>
      </c>
      <c r="Q22" s="204">
        <f t="shared" si="7"/>
        <v>0</v>
      </c>
      <c r="R22" s="204">
        <f t="shared" si="8"/>
        <v>0</v>
      </c>
      <c r="S22" s="204">
        <f t="shared" si="16"/>
        <v>0</v>
      </c>
      <c r="T22" s="204">
        <f t="shared" si="9"/>
        <v>-3</v>
      </c>
      <c r="U22" s="203">
        <f>SUM(G62:G64)</f>
        <v>1</v>
      </c>
      <c r="V22" s="132" t="s">
        <v>382</v>
      </c>
      <c r="W22" s="205">
        <f>SUM(F62:F64)</f>
        <v>2</v>
      </c>
      <c r="X22" s="207" t="e">
        <f t="shared" si="3"/>
        <v>#VALUE!</v>
      </c>
      <c r="Y22" s="204">
        <f>X62</f>
        <v>2.5</v>
      </c>
      <c r="Z22" s="204">
        <f>X63</f>
        <v>0</v>
      </c>
      <c r="AA22" s="204">
        <f>X64</f>
        <v>0.75</v>
      </c>
      <c r="AB22" s="204">
        <f t="shared" si="10"/>
        <v>3.5</v>
      </c>
      <c r="AC22" s="214">
        <f t="shared" si="11"/>
        <v>0</v>
      </c>
      <c r="AD22" s="204">
        <f t="shared" si="12"/>
        <v>1.75</v>
      </c>
      <c r="AE22" s="204">
        <f t="shared" si="17"/>
        <v>0</v>
      </c>
      <c r="AF22" s="204">
        <f t="shared" si="18"/>
        <v>0</v>
      </c>
      <c r="AG22" s="204">
        <f t="shared" si="19"/>
        <v>6.125</v>
      </c>
      <c r="AH22" s="204">
        <f t="shared" si="20"/>
        <v>0</v>
      </c>
      <c r="AI22" s="215">
        <f t="shared" si="13"/>
        <v>8.375</v>
      </c>
      <c r="AJ22" s="222" t="str">
        <f t="shared" si="14"/>
        <v>David Dunn</v>
      </c>
      <c r="AK22" s="1">
        <f t="shared" si="15"/>
        <v>3</v>
      </c>
    </row>
    <row r="23" spans="2:37">
      <c r="B23" s="206" t="str">
        <f>$V9</f>
        <v>Andy White</v>
      </c>
      <c r="C23" s="206" t="str">
        <f>Picks!B23</f>
        <v>Villa</v>
      </c>
      <c r="D23" s="207">
        <f>Picks!C23</f>
        <v>1</v>
      </c>
      <c r="E23" s="207">
        <f>Picks!D23</f>
        <v>5.8</v>
      </c>
      <c r="F23" s="208">
        <f>IF(C23="","",INDEX(Odds!K:K,MATCH(C23,Odds!G:G,0)))</f>
        <v>1</v>
      </c>
      <c r="G23" s="206">
        <f>IF(C23="","",Picks!M23)</f>
        <v>0</v>
      </c>
      <c r="H23" s="207">
        <f t="shared" si="4"/>
        <v>0</v>
      </c>
      <c r="I23" s="221" t="str">
        <f t="shared" si="5"/>
        <v>Frank Allen</v>
      </c>
      <c r="J23" s="204">
        <f>H65</f>
        <v>1.25</v>
      </c>
      <c r="K23" s="204">
        <f>H66</f>
        <v>0.90909090909090917</v>
      </c>
      <c r="L23" s="204">
        <f>H67</f>
        <v>1.1499999999999999</v>
      </c>
      <c r="M23" s="204">
        <f t="shared" si="0"/>
        <v>2.25</v>
      </c>
      <c r="N23" s="204">
        <f t="shared" si="1"/>
        <v>1.9090909090909092</v>
      </c>
      <c r="O23" s="204">
        <f t="shared" si="2"/>
        <v>2.15</v>
      </c>
      <c r="P23" s="204">
        <f t="shared" si="6"/>
        <v>4.2954545454545459</v>
      </c>
      <c r="Q23" s="204">
        <f t="shared" si="7"/>
        <v>4.1045454545454545</v>
      </c>
      <c r="R23" s="204">
        <f t="shared" si="8"/>
        <v>4.8375000000000004</v>
      </c>
      <c r="S23" s="204">
        <f t="shared" si="16"/>
        <v>9.235227272727272</v>
      </c>
      <c r="T23" s="204">
        <f t="shared" si="9"/>
        <v>21.781818181818181</v>
      </c>
      <c r="U23" s="203">
        <f>SUM(G65:G67)</f>
        <v>3</v>
      </c>
      <c r="V23" s="135" t="s">
        <v>553</v>
      </c>
      <c r="W23" s="205">
        <f>SUM(F65:F67)</f>
        <v>3</v>
      </c>
      <c r="X23" s="207">
        <f t="shared" si="3"/>
        <v>4.8</v>
      </c>
      <c r="Y23" s="204">
        <f>X65</f>
        <v>1.25</v>
      </c>
      <c r="Z23" s="204">
        <f>X66</f>
        <v>0.90909090909090917</v>
      </c>
      <c r="AA23" s="204">
        <f>X67</f>
        <v>1.1499999999999999</v>
      </c>
      <c r="AB23" s="204">
        <f t="shared" si="10"/>
        <v>2.25</v>
      </c>
      <c r="AC23" s="214">
        <f t="shared" si="11"/>
        <v>1.9090909090909092</v>
      </c>
      <c r="AD23" s="204">
        <f t="shared" si="12"/>
        <v>2.15</v>
      </c>
      <c r="AE23" s="204">
        <f t="shared" si="17"/>
        <v>4.2954545454545459</v>
      </c>
      <c r="AF23" s="204">
        <f t="shared" si="18"/>
        <v>4.1045454545454545</v>
      </c>
      <c r="AG23" s="204">
        <f t="shared" si="19"/>
        <v>4.8375000000000004</v>
      </c>
      <c r="AH23" s="204">
        <f t="shared" si="20"/>
        <v>9.235227272727272</v>
      </c>
      <c r="AI23" s="215">
        <f t="shared" si="13"/>
        <v>21.781818181818181</v>
      </c>
      <c r="AJ23" s="222" t="str">
        <f t="shared" si="14"/>
        <v>Frank Allen</v>
      </c>
      <c r="AK23" s="1">
        <f t="shared" si="15"/>
        <v>7</v>
      </c>
    </row>
    <row r="24" spans="2:37">
      <c r="B24" s="209"/>
      <c r="C24" s="209" t="str">
        <f>Picks!B24</f>
        <v>Brighton</v>
      </c>
      <c r="D24" s="210">
        <f>Picks!C24</f>
        <v>1</v>
      </c>
      <c r="E24" s="207">
        <f>Picks!D24</f>
        <v>1.85</v>
      </c>
      <c r="F24" s="208">
        <f>IF(C24="","",INDEX(Odds!K:K,MATCH(C24,Odds!G:G,0)))</f>
        <v>1</v>
      </c>
      <c r="G24" s="206">
        <f>IF(C24="","",Picks!M24)</f>
        <v>1</v>
      </c>
      <c r="H24" s="207">
        <f t="shared" si="4"/>
        <v>0.85000000000000009</v>
      </c>
      <c r="I24" s="221" t="str">
        <f t="shared" si="5"/>
        <v>Gareth McGuire</v>
      </c>
      <c r="J24" s="204">
        <f>H68</f>
        <v>0.44444444444444442</v>
      </c>
      <c r="K24" s="204">
        <f>H69</f>
        <v>1.1000000000000001</v>
      </c>
      <c r="L24" s="204">
        <f>H70</f>
        <v>0</v>
      </c>
      <c r="M24" s="204">
        <f t="shared" si="0"/>
        <v>1.4444444444444444</v>
      </c>
      <c r="N24" s="204">
        <f t="shared" si="1"/>
        <v>2.1</v>
      </c>
      <c r="O24" s="204">
        <f t="shared" si="2"/>
        <v>0</v>
      </c>
      <c r="P24" s="204">
        <f t="shared" si="6"/>
        <v>3.0333333333333332</v>
      </c>
      <c r="Q24" s="204">
        <f t="shared" si="7"/>
        <v>0</v>
      </c>
      <c r="R24" s="204">
        <f t="shared" si="8"/>
        <v>0</v>
      </c>
      <c r="S24" s="204">
        <f t="shared" si="16"/>
        <v>0</v>
      </c>
      <c r="T24" s="204">
        <f t="shared" si="9"/>
        <v>-0.4222222222222225</v>
      </c>
      <c r="U24" s="203">
        <f>SUM(G68:G70)</f>
        <v>2</v>
      </c>
      <c r="V24" s="132" t="s">
        <v>460</v>
      </c>
      <c r="W24" s="205">
        <f>SUM(F68:F70)</f>
        <v>3</v>
      </c>
      <c r="X24" s="207">
        <f t="shared" si="3"/>
        <v>0.85000000000000009</v>
      </c>
      <c r="Y24" s="204">
        <f>X68</f>
        <v>0.44444444444444442</v>
      </c>
      <c r="Z24" s="204">
        <f>X69</f>
        <v>1.1000000000000001</v>
      </c>
      <c r="AA24" s="204">
        <f>X70</f>
        <v>0.8</v>
      </c>
      <c r="AB24" s="204">
        <f t="shared" si="10"/>
        <v>1.4444444444444444</v>
      </c>
      <c r="AC24" s="214">
        <f t="shared" si="11"/>
        <v>2.1</v>
      </c>
      <c r="AD24" s="204">
        <f t="shared" si="12"/>
        <v>1.8</v>
      </c>
      <c r="AE24" s="204">
        <f t="shared" si="17"/>
        <v>3.0333333333333332</v>
      </c>
      <c r="AF24" s="204">
        <f t="shared" si="18"/>
        <v>3.7800000000000002</v>
      </c>
      <c r="AG24" s="204">
        <f t="shared" si="19"/>
        <v>2.6</v>
      </c>
      <c r="AH24" s="204">
        <f t="shared" si="20"/>
        <v>5.46</v>
      </c>
      <c r="AI24" s="215">
        <f t="shared" si="13"/>
        <v>13.217777777777776</v>
      </c>
      <c r="AJ24" s="222" t="str">
        <f t="shared" si="14"/>
        <v>Gareth McGuire</v>
      </c>
      <c r="AK24" s="1">
        <f t="shared" si="15"/>
        <v>7</v>
      </c>
    </row>
    <row r="25" spans="2:37" ht="13.15" thickBot="1">
      <c r="B25" s="211"/>
      <c r="C25" s="211" t="str">
        <f>Picks!B25</f>
        <v>Huddersfield</v>
      </c>
      <c r="D25" s="212">
        <f>Picks!C25</f>
        <v>1</v>
      </c>
      <c r="E25" s="212">
        <f>Picks!D25</f>
        <v>2.1</v>
      </c>
      <c r="F25" s="224">
        <f>IF(C25="","",INDEX(Odds!K:K,MATCH(C25,Odds!G:G,0)))</f>
        <v>1</v>
      </c>
      <c r="G25" s="211">
        <f>IF(C25="","",Picks!M25)</f>
        <v>1</v>
      </c>
      <c r="H25" s="212">
        <f t="shared" si="4"/>
        <v>1.1000000000000001</v>
      </c>
      <c r="I25" s="221" t="str">
        <f t="shared" si="5"/>
        <v>Gareth Powell</v>
      </c>
      <c r="J25" s="204" t="str">
        <f>H71</f>
        <v/>
      </c>
      <c r="K25" s="204" t="str">
        <f>H72</f>
        <v/>
      </c>
      <c r="L25" s="204" t="str">
        <f>H73</f>
        <v/>
      </c>
      <c r="M25" s="204" t="e">
        <f t="shared" si="0"/>
        <v>#VALUE!</v>
      </c>
      <c r="N25" s="204" t="e">
        <f t="shared" si="1"/>
        <v>#VALUE!</v>
      </c>
      <c r="O25" s="204" t="e">
        <f t="shared" si="2"/>
        <v>#VALUE!</v>
      </c>
      <c r="P25" s="204" t="e">
        <f t="shared" si="6"/>
        <v>#VALUE!</v>
      </c>
      <c r="Q25" s="204" t="e">
        <f t="shared" si="7"/>
        <v>#VALUE!</v>
      </c>
      <c r="R25" s="204" t="e">
        <f t="shared" si="8"/>
        <v>#VALUE!</v>
      </c>
      <c r="S25" s="204" t="e">
        <f t="shared" si="16"/>
        <v>#VALUE!</v>
      </c>
      <c r="T25" s="204" t="e">
        <f t="shared" si="9"/>
        <v>#VALUE!</v>
      </c>
      <c r="U25" s="203">
        <f>SUM(G71:G73)</f>
        <v>0</v>
      </c>
      <c r="V25" s="133" t="s">
        <v>305</v>
      </c>
      <c r="W25" s="205">
        <f>SUM(F71:F73)</f>
        <v>0</v>
      </c>
      <c r="X25" s="207">
        <f t="shared" si="3"/>
        <v>1.1000000000000001</v>
      </c>
      <c r="Y25" s="204" t="e">
        <f>X71</f>
        <v>#VALUE!</v>
      </c>
      <c r="Z25" s="204" t="e">
        <f>X72</f>
        <v>#VALUE!</v>
      </c>
      <c r="AA25" s="204" t="e">
        <f>X73</f>
        <v>#VALUE!</v>
      </c>
      <c r="AB25" s="204" t="e">
        <f t="shared" si="10"/>
        <v>#VALUE!</v>
      </c>
      <c r="AC25" s="214" t="e">
        <f t="shared" si="11"/>
        <v>#VALUE!</v>
      </c>
      <c r="AD25" s="204" t="e">
        <f t="shared" si="12"/>
        <v>#VALUE!</v>
      </c>
      <c r="AE25" s="204" t="e">
        <f t="shared" si="17"/>
        <v>#VALUE!</v>
      </c>
      <c r="AF25" s="204" t="e">
        <f t="shared" si="18"/>
        <v>#VALUE!</v>
      </c>
      <c r="AG25" s="204" t="e">
        <f t="shared" si="19"/>
        <v>#VALUE!</v>
      </c>
      <c r="AH25" s="204" t="e">
        <f t="shared" si="20"/>
        <v>#VALUE!</v>
      </c>
      <c r="AI25" s="215" t="e">
        <f t="shared" si="13"/>
        <v>#VALUE!</v>
      </c>
      <c r="AJ25" s="222" t="str">
        <f t="shared" si="14"/>
        <v>Gareth Powell</v>
      </c>
      <c r="AK25" s="1">
        <f t="shared" si="15"/>
        <v>1</v>
      </c>
    </row>
    <row r="26" spans="2:37">
      <c r="B26" s="206" t="str">
        <f>$V10</f>
        <v>Ashley Houghton</v>
      </c>
      <c r="C26" s="206" t="str">
        <f>Picks!B26</f>
        <v>Wigan</v>
      </c>
      <c r="D26" s="207">
        <f>Picks!C26</f>
        <v>1</v>
      </c>
      <c r="E26" s="207">
        <f>Picks!D26</f>
        <v>1.6153846153846154</v>
      </c>
      <c r="F26" s="208">
        <f>IF(C26="","",INDEX(Odds!K:K,MATCH(C26,Odds!G:G,0)))</f>
        <v>0</v>
      </c>
      <c r="G26" s="206">
        <f>IF(C26="","",Picks!M26)</f>
        <v>0</v>
      </c>
      <c r="H26" s="207">
        <f t="shared" si="4"/>
        <v>0</v>
      </c>
      <c r="I26" s="221" t="str">
        <f t="shared" si="5"/>
        <v>Gerard Ventom</v>
      </c>
      <c r="J26" s="204">
        <f>H74</f>
        <v>0</v>
      </c>
      <c r="K26" s="204">
        <f>H75</f>
        <v>0</v>
      </c>
      <c r="L26" s="204">
        <f>H76</f>
        <v>0</v>
      </c>
      <c r="M26" s="204">
        <f t="shared" si="0"/>
        <v>0</v>
      </c>
      <c r="N26" s="204">
        <f t="shared" si="1"/>
        <v>0</v>
      </c>
      <c r="O26" s="204">
        <f t="shared" si="2"/>
        <v>0</v>
      </c>
      <c r="P26" s="204">
        <f t="shared" si="6"/>
        <v>0</v>
      </c>
      <c r="Q26" s="204">
        <f t="shared" si="7"/>
        <v>0</v>
      </c>
      <c r="R26" s="204">
        <f t="shared" si="8"/>
        <v>0</v>
      </c>
      <c r="S26" s="204">
        <f t="shared" si="16"/>
        <v>0</v>
      </c>
      <c r="T26" s="204">
        <f t="shared" si="9"/>
        <v>-7</v>
      </c>
      <c r="U26" s="203">
        <f>SUM(G74:G76)</f>
        <v>0</v>
      </c>
      <c r="V26" s="135" t="s">
        <v>384</v>
      </c>
      <c r="W26" s="205">
        <f>SUM(F74:F76)</f>
        <v>3</v>
      </c>
      <c r="X26" s="207">
        <f t="shared" si="3"/>
        <v>0</v>
      </c>
      <c r="Y26" s="204">
        <f>X74</f>
        <v>3.2</v>
      </c>
      <c r="Z26" s="204">
        <f>X75</f>
        <v>6.5</v>
      </c>
      <c r="AA26" s="204">
        <f>X76</f>
        <v>2.5</v>
      </c>
      <c r="AB26" s="204">
        <f t="shared" si="10"/>
        <v>4.2</v>
      </c>
      <c r="AC26" s="214">
        <f t="shared" si="11"/>
        <v>7.5</v>
      </c>
      <c r="AD26" s="204">
        <f t="shared" si="12"/>
        <v>3.5</v>
      </c>
      <c r="AE26" s="204">
        <f t="shared" si="17"/>
        <v>31.5</v>
      </c>
      <c r="AF26" s="204">
        <f t="shared" si="18"/>
        <v>26.25</v>
      </c>
      <c r="AG26" s="204">
        <f t="shared" si="19"/>
        <v>14.700000000000001</v>
      </c>
      <c r="AH26" s="204">
        <f t="shared" si="20"/>
        <v>110.25</v>
      </c>
      <c r="AI26" s="215">
        <f t="shared" si="13"/>
        <v>190.9</v>
      </c>
      <c r="AJ26" s="222" t="str">
        <f t="shared" si="14"/>
        <v>Gerard Ventom</v>
      </c>
      <c r="AK26" s="1">
        <f t="shared" si="15"/>
        <v>7</v>
      </c>
    </row>
    <row r="27" spans="2:37">
      <c r="B27" s="206"/>
      <c r="C27" s="206" t="str">
        <f>Picks!B27</f>
        <v>Blackburn</v>
      </c>
      <c r="D27" s="207">
        <f>Picks!C27</f>
        <v>1</v>
      </c>
      <c r="E27" s="207">
        <f>Picks!D27</f>
        <v>2.4</v>
      </c>
      <c r="F27" s="208">
        <f>IF(C27="","",INDEX(Odds!K:K,MATCH(C27,Odds!G:G,0)))</f>
        <v>0</v>
      </c>
      <c r="G27" s="206">
        <f>IF(C27="","",Picks!M27)</f>
        <v>0</v>
      </c>
      <c r="H27" s="207">
        <f t="shared" si="4"/>
        <v>0</v>
      </c>
      <c r="I27" s="221" t="str">
        <f t="shared" si="5"/>
        <v>Graham Miller</v>
      </c>
      <c r="J27" s="204">
        <f>H77</f>
        <v>0.85000000000000009</v>
      </c>
      <c r="K27" s="204">
        <f>H78</f>
        <v>0.7</v>
      </c>
      <c r="L27" s="204">
        <f>H79</f>
        <v>1.1499999999999999</v>
      </c>
      <c r="M27" s="204">
        <f t="shared" si="0"/>
        <v>1.85</v>
      </c>
      <c r="N27" s="204">
        <f t="shared" si="1"/>
        <v>1.7</v>
      </c>
      <c r="O27" s="204">
        <f t="shared" si="2"/>
        <v>2.15</v>
      </c>
      <c r="P27" s="204">
        <f t="shared" si="6"/>
        <v>3.145</v>
      </c>
      <c r="Q27" s="204">
        <f t="shared" si="7"/>
        <v>3.6549999999999998</v>
      </c>
      <c r="R27" s="204">
        <f t="shared" si="8"/>
        <v>3.9775</v>
      </c>
      <c r="S27" s="204">
        <f t="shared" si="16"/>
        <v>6.7617499999999993</v>
      </c>
      <c r="T27" s="204">
        <f t="shared" si="9"/>
        <v>16.239249999999998</v>
      </c>
      <c r="U27" s="203">
        <f>SUM(G77:G79)</f>
        <v>3</v>
      </c>
      <c r="V27" s="135" t="s">
        <v>292</v>
      </c>
      <c r="W27" s="205">
        <f>SUM(F77:F79)</f>
        <v>3</v>
      </c>
      <c r="X27" s="207">
        <f t="shared" si="3"/>
        <v>0</v>
      </c>
      <c r="Y27" s="204">
        <f>X77</f>
        <v>0.85000000000000009</v>
      </c>
      <c r="Z27" s="204">
        <f>X78</f>
        <v>0.7</v>
      </c>
      <c r="AA27" s="204">
        <f>X79</f>
        <v>1.1499999999999999</v>
      </c>
      <c r="AB27" s="204">
        <f t="shared" si="10"/>
        <v>1.85</v>
      </c>
      <c r="AC27" s="214">
        <f t="shared" si="11"/>
        <v>1.7</v>
      </c>
      <c r="AD27" s="204">
        <f t="shared" si="12"/>
        <v>2.15</v>
      </c>
      <c r="AE27" s="204">
        <f t="shared" si="17"/>
        <v>3.145</v>
      </c>
      <c r="AF27" s="204">
        <f t="shared" si="18"/>
        <v>3.6549999999999998</v>
      </c>
      <c r="AG27" s="204">
        <f t="shared" si="19"/>
        <v>3.9775</v>
      </c>
      <c r="AH27" s="204">
        <f t="shared" si="20"/>
        <v>6.7617499999999993</v>
      </c>
      <c r="AI27" s="215">
        <f t="shared" si="13"/>
        <v>16.239249999999998</v>
      </c>
      <c r="AJ27" s="222" t="str">
        <f t="shared" si="14"/>
        <v>Graham Miller</v>
      </c>
      <c r="AK27" s="1">
        <f t="shared" si="15"/>
        <v>7</v>
      </c>
    </row>
    <row r="28" spans="2:37" ht="13.15" thickBot="1">
      <c r="B28" s="211"/>
      <c r="C28" s="211" t="str">
        <f>Picks!B28</f>
        <v>Bristol R</v>
      </c>
      <c r="D28" s="212">
        <f>Picks!C28</f>
        <v>1</v>
      </c>
      <c r="E28" s="212">
        <f>Picks!D28</f>
        <v>2.6</v>
      </c>
      <c r="F28" s="224">
        <f>IF(C28="","",INDEX(Odds!K:K,MATCH(C28,Odds!G:G,0)))</f>
        <v>0</v>
      </c>
      <c r="G28" s="211">
        <f>IF(C28="","",Picks!M28)</f>
        <v>0</v>
      </c>
      <c r="H28" s="212">
        <f t="shared" si="4"/>
        <v>0</v>
      </c>
      <c r="I28" s="221" t="str">
        <f t="shared" si="5"/>
        <v>Howard Bradley</v>
      </c>
      <c r="J28" s="204">
        <f>H80</f>
        <v>0.44444444444444442</v>
      </c>
      <c r="K28" s="204">
        <f>H81</f>
        <v>0</v>
      </c>
      <c r="L28" s="204">
        <f>H82</f>
        <v>0</v>
      </c>
      <c r="M28" s="204">
        <f t="shared" si="0"/>
        <v>1.4444444444444444</v>
      </c>
      <c r="N28" s="204">
        <f t="shared" si="1"/>
        <v>0</v>
      </c>
      <c r="O28" s="204">
        <f t="shared" si="2"/>
        <v>0</v>
      </c>
      <c r="P28" s="204">
        <f t="shared" si="6"/>
        <v>0</v>
      </c>
      <c r="Q28" s="204">
        <f t="shared" si="7"/>
        <v>0</v>
      </c>
      <c r="R28" s="204">
        <f t="shared" si="8"/>
        <v>0</v>
      </c>
      <c r="S28" s="204">
        <f t="shared" si="16"/>
        <v>0</v>
      </c>
      <c r="T28" s="204">
        <f t="shared" si="9"/>
        <v>-5.5555555555555554</v>
      </c>
      <c r="U28" s="203">
        <f>SUM(G80:G82)</f>
        <v>1</v>
      </c>
      <c r="V28" s="135" t="s">
        <v>311</v>
      </c>
      <c r="W28" s="205">
        <f>SUM(F80:F82)</f>
        <v>3</v>
      </c>
      <c r="X28" s="207">
        <f t="shared" si="3"/>
        <v>0</v>
      </c>
      <c r="Y28" s="204">
        <f>X80</f>
        <v>0.44444444444444442</v>
      </c>
      <c r="Z28" s="204">
        <f>X81</f>
        <v>0.75</v>
      </c>
      <c r="AA28" s="204">
        <f>X82</f>
        <v>2.2000000000000002</v>
      </c>
      <c r="AB28" s="204">
        <f t="shared" si="10"/>
        <v>1.4444444444444444</v>
      </c>
      <c r="AC28" s="214">
        <f t="shared" si="11"/>
        <v>1.75</v>
      </c>
      <c r="AD28" s="204">
        <f t="shared" si="12"/>
        <v>3.2</v>
      </c>
      <c r="AE28" s="204">
        <f t="shared" si="17"/>
        <v>2.5277777777777777</v>
      </c>
      <c r="AF28" s="204">
        <f t="shared" si="18"/>
        <v>5.6000000000000005</v>
      </c>
      <c r="AG28" s="204">
        <f t="shared" si="19"/>
        <v>4.6222222222222227</v>
      </c>
      <c r="AH28" s="204">
        <f t="shared" si="20"/>
        <v>8.0888888888888886</v>
      </c>
      <c r="AI28" s="215">
        <f t="shared" si="13"/>
        <v>20.233333333333334</v>
      </c>
      <c r="AJ28" s="222" t="str">
        <f t="shared" si="14"/>
        <v>Howard Bradley</v>
      </c>
      <c r="AK28" s="1">
        <f t="shared" si="15"/>
        <v>7</v>
      </c>
    </row>
    <row r="29" spans="2:37">
      <c r="B29" s="206" t="str">
        <f>$V11</f>
        <v>Barry Birchall</v>
      </c>
      <c r="C29" s="206" t="str">
        <f>Picks!B29</f>
        <v>Rotherham</v>
      </c>
      <c r="D29" s="207">
        <f>Picks!C29</f>
        <v>1</v>
      </c>
      <c r="E29" s="207">
        <f>Picks!D29</f>
        <v>1.8</v>
      </c>
      <c r="F29" s="208">
        <f>IF(C29="","",INDEX(Odds!K:K,MATCH(C29,Odds!G:G,0)))</f>
        <v>1</v>
      </c>
      <c r="G29" s="206">
        <f>IF(C29="","",Picks!M29)</f>
        <v>0</v>
      </c>
      <c r="H29" s="207">
        <f t="shared" si="4"/>
        <v>0</v>
      </c>
      <c r="I29" s="221" t="str">
        <f t="shared" si="5"/>
        <v>Ian Davies</v>
      </c>
      <c r="J29" s="204">
        <f>H83</f>
        <v>0</v>
      </c>
      <c r="K29" s="204">
        <f>H84</f>
        <v>0</v>
      </c>
      <c r="L29" s="204">
        <f>H85</f>
        <v>0</v>
      </c>
      <c r="M29" s="204">
        <f t="shared" si="0"/>
        <v>0</v>
      </c>
      <c r="N29" s="204">
        <f t="shared" si="1"/>
        <v>0</v>
      </c>
      <c r="O29" s="204">
        <f t="shared" si="2"/>
        <v>0</v>
      </c>
      <c r="P29" s="204">
        <f t="shared" si="6"/>
        <v>0</v>
      </c>
      <c r="Q29" s="204">
        <f t="shared" si="7"/>
        <v>0</v>
      </c>
      <c r="R29" s="204">
        <f t="shared" si="8"/>
        <v>0</v>
      </c>
      <c r="S29" s="204">
        <f t="shared" si="16"/>
        <v>0</v>
      </c>
      <c r="T29" s="204">
        <f t="shared" si="9"/>
        <v>-3</v>
      </c>
      <c r="U29" s="203">
        <f>SUM(G83:G85)</f>
        <v>0</v>
      </c>
      <c r="V29" s="132" t="s">
        <v>389</v>
      </c>
      <c r="W29" s="205">
        <f>SUM(F83:F85)</f>
        <v>2</v>
      </c>
      <c r="X29" s="207">
        <f t="shared" si="3"/>
        <v>0.8</v>
      </c>
      <c r="Y29" s="204">
        <f>X83</f>
        <v>2.2999999999999998</v>
      </c>
      <c r="Z29" s="204">
        <f>X84</f>
        <v>0</v>
      </c>
      <c r="AA29" s="204">
        <f>X85</f>
        <v>2.2000000000000002</v>
      </c>
      <c r="AB29" s="204">
        <f t="shared" si="10"/>
        <v>3.3</v>
      </c>
      <c r="AC29" s="214">
        <f t="shared" si="11"/>
        <v>0</v>
      </c>
      <c r="AD29" s="204">
        <f t="shared" si="12"/>
        <v>3.2</v>
      </c>
      <c r="AE29" s="204">
        <f t="shared" si="17"/>
        <v>0</v>
      </c>
      <c r="AF29" s="204">
        <f t="shared" si="18"/>
        <v>0</v>
      </c>
      <c r="AG29" s="204">
        <f t="shared" si="19"/>
        <v>10.559999999999999</v>
      </c>
      <c r="AH29" s="204">
        <f t="shared" si="20"/>
        <v>0</v>
      </c>
      <c r="AI29" s="215">
        <f t="shared" si="13"/>
        <v>14.059999999999999</v>
      </c>
      <c r="AJ29" s="222" t="str">
        <f t="shared" si="14"/>
        <v>Ian Davies</v>
      </c>
      <c r="AK29" s="1">
        <f t="shared" si="15"/>
        <v>3</v>
      </c>
    </row>
    <row r="30" spans="2:37">
      <c r="B30" s="209"/>
      <c r="C30" s="209" t="str">
        <f>Picks!B30</f>
        <v>Shrewsbury</v>
      </c>
      <c r="D30" s="210">
        <f>Picks!C30</f>
        <v>1</v>
      </c>
      <c r="E30" s="207">
        <f>Picks!D30</f>
        <v>3.2</v>
      </c>
      <c r="F30" s="208">
        <f>IF(C30="","",INDEX(Odds!K:K,MATCH(C30,Odds!G:G,0)))</f>
        <v>1</v>
      </c>
      <c r="G30" s="206">
        <f>IF(C30="","",Picks!M30)</f>
        <v>1</v>
      </c>
      <c r="H30" s="207">
        <f t="shared" si="4"/>
        <v>2.2000000000000002</v>
      </c>
      <c r="I30" s="221" t="str">
        <f t="shared" si="5"/>
        <v>Jack Walsh</v>
      </c>
      <c r="J30" s="204">
        <f>H86</f>
        <v>0</v>
      </c>
      <c r="K30" s="204">
        <f>H87</f>
        <v>0.7</v>
      </c>
      <c r="L30" s="204">
        <f>H88</f>
        <v>0</v>
      </c>
      <c r="M30" s="204">
        <f t="shared" si="0"/>
        <v>0</v>
      </c>
      <c r="N30" s="204">
        <f t="shared" si="1"/>
        <v>1.7</v>
      </c>
      <c r="O30" s="204">
        <f t="shared" si="2"/>
        <v>0</v>
      </c>
      <c r="P30" s="204">
        <f t="shared" si="6"/>
        <v>0</v>
      </c>
      <c r="Q30" s="204">
        <f t="shared" si="7"/>
        <v>0</v>
      </c>
      <c r="R30" s="204">
        <f t="shared" si="8"/>
        <v>0</v>
      </c>
      <c r="S30" s="204">
        <f t="shared" si="16"/>
        <v>0</v>
      </c>
      <c r="T30" s="204">
        <f t="shared" si="9"/>
        <v>-1.3</v>
      </c>
      <c r="U30" s="203">
        <f>SUM(G86:G88)</f>
        <v>2</v>
      </c>
      <c r="V30" s="132" t="s">
        <v>321</v>
      </c>
      <c r="W30" s="205">
        <f>SUM(F86:F88)</f>
        <v>2</v>
      </c>
      <c r="X30" s="207">
        <f t="shared" si="3"/>
        <v>2.2000000000000002</v>
      </c>
      <c r="Y30" s="204">
        <f>X86</f>
        <v>0</v>
      </c>
      <c r="Z30" s="204">
        <f>X87</f>
        <v>0.7</v>
      </c>
      <c r="AA30" s="204">
        <f>X88</f>
        <v>2.75</v>
      </c>
      <c r="AB30" s="204">
        <f t="shared" si="10"/>
        <v>0</v>
      </c>
      <c r="AC30" s="214">
        <f t="shared" si="11"/>
        <v>1.7</v>
      </c>
      <c r="AD30" s="204">
        <f t="shared" si="12"/>
        <v>3.75</v>
      </c>
      <c r="AE30" s="204">
        <f t="shared" si="17"/>
        <v>0</v>
      </c>
      <c r="AF30" s="204">
        <f t="shared" si="18"/>
        <v>6.375</v>
      </c>
      <c r="AG30" s="204">
        <f t="shared" si="19"/>
        <v>0</v>
      </c>
      <c r="AH30" s="204">
        <f t="shared" si="20"/>
        <v>0</v>
      </c>
      <c r="AI30" s="215">
        <f t="shared" si="13"/>
        <v>8.8249999999999993</v>
      </c>
      <c r="AJ30" s="222" t="str">
        <f t="shared" si="14"/>
        <v>Jack Walsh</v>
      </c>
      <c r="AK30" s="1">
        <f t="shared" si="15"/>
        <v>3</v>
      </c>
    </row>
    <row r="31" spans="2:37" ht="13.15" thickBot="1">
      <c r="B31" s="211"/>
      <c r="C31" s="211" t="str">
        <f>Picks!B31</f>
        <v>Scunthorpe</v>
      </c>
      <c r="D31" s="212">
        <f>Picks!C31</f>
        <v>1</v>
      </c>
      <c r="E31" s="212">
        <f>Picks!D31</f>
        <v>3.1</v>
      </c>
      <c r="F31" s="224">
        <f>IF(C31="","",INDEX(Odds!K:K,MATCH(C31,Odds!G:G,0)))</f>
        <v>1</v>
      </c>
      <c r="G31" s="211">
        <f>IF(C31="","",Picks!M31)</f>
        <v>1</v>
      </c>
      <c r="H31" s="212">
        <f t="shared" si="4"/>
        <v>2.1</v>
      </c>
      <c r="I31" s="221" t="str">
        <f t="shared" si="5"/>
        <v>James Bell</v>
      </c>
      <c r="J31" s="204" t="str">
        <f>H89</f>
        <v/>
      </c>
      <c r="K31" s="204" t="str">
        <f>H90</f>
        <v/>
      </c>
      <c r="L31" s="204" t="str">
        <f>H91</f>
        <v/>
      </c>
      <c r="M31" s="204" t="e">
        <f t="shared" si="0"/>
        <v>#VALUE!</v>
      </c>
      <c r="N31" s="204" t="e">
        <f t="shared" si="1"/>
        <v>#VALUE!</v>
      </c>
      <c r="O31" s="204" t="e">
        <f t="shared" si="2"/>
        <v>#VALUE!</v>
      </c>
      <c r="P31" s="204" t="e">
        <f t="shared" si="6"/>
        <v>#VALUE!</v>
      </c>
      <c r="Q31" s="204" t="e">
        <f t="shared" si="7"/>
        <v>#VALUE!</v>
      </c>
      <c r="R31" s="204" t="e">
        <f t="shared" si="8"/>
        <v>#VALUE!</v>
      </c>
      <c r="S31" s="204" t="e">
        <f t="shared" si="16"/>
        <v>#VALUE!</v>
      </c>
      <c r="T31" s="204" t="e">
        <f t="shared" si="9"/>
        <v>#VALUE!</v>
      </c>
      <c r="U31" s="203">
        <f>SUM(G89:G91)</f>
        <v>0</v>
      </c>
      <c r="V31" s="132" t="s">
        <v>336</v>
      </c>
      <c r="W31" s="205">
        <f>SUM(F89:F91)</f>
        <v>0</v>
      </c>
      <c r="X31" s="207">
        <f t="shared" si="3"/>
        <v>2.1</v>
      </c>
      <c r="Y31" s="204" t="e">
        <f>X89</f>
        <v>#VALUE!</v>
      </c>
      <c r="Z31" s="204" t="e">
        <f>X90</f>
        <v>#VALUE!</v>
      </c>
      <c r="AA31" s="204" t="e">
        <f>X91</f>
        <v>#VALUE!</v>
      </c>
      <c r="AB31" s="204" t="e">
        <f t="shared" si="10"/>
        <v>#VALUE!</v>
      </c>
      <c r="AC31" s="214" t="e">
        <f t="shared" si="11"/>
        <v>#VALUE!</v>
      </c>
      <c r="AD31" s="204" t="e">
        <f t="shared" si="12"/>
        <v>#VALUE!</v>
      </c>
      <c r="AE31" s="204" t="e">
        <f t="shared" si="17"/>
        <v>#VALUE!</v>
      </c>
      <c r="AF31" s="204" t="e">
        <f t="shared" si="18"/>
        <v>#VALUE!</v>
      </c>
      <c r="AG31" s="204" t="e">
        <f t="shared" si="19"/>
        <v>#VALUE!</v>
      </c>
      <c r="AH31" s="204" t="e">
        <f t="shared" si="20"/>
        <v>#VALUE!</v>
      </c>
      <c r="AI31" s="215" t="e">
        <f t="shared" si="13"/>
        <v>#VALUE!</v>
      </c>
      <c r="AJ31" s="222" t="str">
        <f t="shared" si="14"/>
        <v>James Bell</v>
      </c>
      <c r="AK31" s="1">
        <f t="shared" si="15"/>
        <v>1</v>
      </c>
    </row>
    <row r="32" spans="2:37">
      <c r="B32" s="209" t="str">
        <f>$V12</f>
        <v>Ben Rosser</v>
      </c>
      <c r="C32" s="209" t="str">
        <f>Picks!B32</f>
        <v>Villa</v>
      </c>
      <c r="D32" s="210">
        <f>Picks!C32</f>
        <v>1</v>
      </c>
      <c r="E32" s="207">
        <f>Picks!D32</f>
        <v>5.8</v>
      </c>
      <c r="F32" s="208">
        <f>IF(C32="","",INDEX(Odds!K:K,MATCH(C32,Odds!G:G,0)))</f>
        <v>1</v>
      </c>
      <c r="G32" s="206">
        <f>IF(C32="","",Picks!M32)</f>
        <v>0</v>
      </c>
      <c r="H32" s="207">
        <f t="shared" si="4"/>
        <v>0</v>
      </c>
      <c r="I32" s="221" t="str">
        <f t="shared" si="5"/>
        <v>John Murphy</v>
      </c>
      <c r="J32" s="204">
        <f>H92</f>
        <v>3</v>
      </c>
      <c r="K32" s="204">
        <f>H93</f>
        <v>0</v>
      </c>
      <c r="L32" s="204">
        <f>H94</f>
        <v>0.61111111111111116</v>
      </c>
      <c r="M32" s="204">
        <f t="shared" ref="M32:M59" si="21">IF(J32=0,0,1)+J32</f>
        <v>4</v>
      </c>
      <c r="N32" s="204">
        <f t="shared" ref="N32:N59" si="22">IF(K32=0,0,1)+K32</f>
        <v>0</v>
      </c>
      <c r="O32" s="204">
        <f t="shared" si="2"/>
        <v>1.6111111111111112</v>
      </c>
      <c r="P32" s="204">
        <f t="shared" si="6"/>
        <v>0</v>
      </c>
      <c r="Q32" s="204">
        <f t="shared" si="7"/>
        <v>0</v>
      </c>
      <c r="R32" s="204">
        <f t="shared" si="8"/>
        <v>6.4444444444444446</v>
      </c>
      <c r="S32" s="204">
        <f t="shared" si="16"/>
        <v>0</v>
      </c>
      <c r="T32" s="204">
        <f t="shared" si="9"/>
        <v>5.0555555555555554</v>
      </c>
      <c r="U32" s="203">
        <f>SUM(G92:G94)</f>
        <v>2</v>
      </c>
      <c r="V32" s="132" t="s">
        <v>550</v>
      </c>
      <c r="W32" s="205">
        <f>SUM(F92:F94)</f>
        <v>3</v>
      </c>
      <c r="X32" s="207">
        <f t="shared" si="3"/>
        <v>4.8</v>
      </c>
      <c r="Y32" s="204">
        <f>X92</f>
        <v>3</v>
      </c>
      <c r="Z32" s="204">
        <f>X93</f>
        <v>2</v>
      </c>
      <c r="AA32" s="204">
        <f>X94</f>
        <v>0.61111111111111116</v>
      </c>
      <c r="AB32" s="204">
        <f t="shared" si="10"/>
        <v>4</v>
      </c>
      <c r="AC32" s="214">
        <f t="shared" si="11"/>
        <v>3</v>
      </c>
      <c r="AD32" s="204">
        <f t="shared" si="12"/>
        <v>1.6111111111111112</v>
      </c>
      <c r="AE32" s="204">
        <f t="shared" si="17"/>
        <v>12</v>
      </c>
      <c r="AF32" s="204">
        <f t="shared" si="18"/>
        <v>4.8333333333333339</v>
      </c>
      <c r="AG32" s="204">
        <f t="shared" si="19"/>
        <v>6.4444444444444446</v>
      </c>
      <c r="AH32" s="204">
        <f t="shared" si="20"/>
        <v>19.333333333333336</v>
      </c>
      <c r="AI32" s="215">
        <f t="shared" si="13"/>
        <v>44.222222222222221</v>
      </c>
      <c r="AJ32" s="222" t="str">
        <f t="shared" si="14"/>
        <v>John Murphy</v>
      </c>
      <c r="AK32" s="1">
        <f t="shared" si="15"/>
        <v>7</v>
      </c>
    </row>
    <row r="33" spans="2:37">
      <c r="B33" s="206"/>
      <c r="C33" s="206" t="str">
        <f>Picks!B33</f>
        <v>Wolves draw</v>
      </c>
      <c r="D33" s="207">
        <f>Picks!C33</f>
        <v>1</v>
      </c>
      <c r="E33" s="207">
        <f>Picks!D33</f>
        <v>3.5</v>
      </c>
      <c r="F33" s="208">
        <f>IF(C33="","",INDEX(Odds!K:K,MATCH(C33,Odds!G:G,0)))</f>
        <v>0</v>
      </c>
      <c r="G33" s="206">
        <f>IF(C33="","",Picks!M33)</f>
        <v>1</v>
      </c>
      <c r="H33" s="207">
        <f t="shared" si="4"/>
        <v>0</v>
      </c>
      <c r="I33" s="221" t="str">
        <f t="shared" si="5"/>
        <v>John Ronan</v>
      </c>
      <c r="J33" s="204">
        <f>H95</f>
        <v>0</v>
      </c>
      <c r="K33" s="204">
        <f>H96</f>
        <v>0</v>
      </c>
      <c r="L33" s="204">
        <f>H97</f>
        <v>0.72222222222222232</v>
      </c>
      <c r="M33" s="204">
        <f t="shared" si="21"/>
        <v>0</v>
      </c>
      <c r="N33" s="204">
        <f t="shared" si="22"/>
        <v>0</v>
      </c>
      <c r="O33" s="204">
        <f t="shared" si="2"/>
        <v>1.7222222222222223</v>
      </c>
      <c r="P33" s="204">
        <f t="shared" si="6"/>
        <v>0</v>
      </c>
      <c r="Q33" s="204">
        <f t="shared" si="7"/>
        <v>0</v>
      </c>
      <c r="R33" s="204">
        <f t="shared" si="8"/>
        <v>0</v>
      </c>
      <c r="S33" s="204">
        <f t="shared" si="16"/>
        <v>0</v>
      </c>
      <c r="T33" s="204">
        <f t="shared" si="9"/>
        <v>-5.2777777777777777</v>
      </c>
      <c r="U33" s="203">
        <f>SUM(G95:G97)</f>
        <v>1</v>
      </c>
      <c r="V33" s="132" t="s">
        <v>385</v>
      </c>
      <c r="W33" s="205">
        <f>SUM(F95:F97)</f>
        <v>3</v>
      </c>
      <c r="X33" s="207">
        <f t="shared" si="3"/>
        <v>0</v>
      </c>
      <c r="Y33" s="204">
        <f>X95</f>
        <v>0.75</v>
      </c>
      <c r="Z33" s="204">
        <f>X96</f>
        <v>2.5</v>
      </c>
      <c r="AA33" s="204">
        <f>X97</f>
        <v>0.72222222222222232</v>
      </c>
      <c r="AB33" s="204">
        <f t="shared" si="10"/>
        <v>1.75</v>
      </c>
      <c r="AC33" s="214">
        <f t="shared" si="11"/>
        <v>3.5</v>
      </c>
      <c r="AD33" s="204">
        <f t="shared" si="12"/>
        <v>1.7222222222222223</v>
      </c>
      <c r="AE33" s="204">
        <f t="shared" si="17"/>
        <v>6.125</v>
      </c>
      <c r="AF33" s="204">
        <f t="shared" si="18"/>
        <v>6.0277777777777786</v>
      </c>
      <c r="AG33" s="204">
        <f t="shared" si="19"/>
        <v>3.0138888888888893</v>
      </c>
      <c r="AH33" s="204">
        <f t="shared" si="20"/>
        <v>10.548611111111111</v>
      </c>
      <c r="AI33" s="215">
        <f t="shared" si="13"/>
        <v>25.6875</v>
      </c>
      <c r="AJ33" s="222" t="str">
        <f t="shared" si="14"/>
        <v>John Ronan</v>
      </c>
      <c r="AK33" s="1">
        <f t="shared" si="15"/>
        <v>7</v>
      </c>
    </row>
    <row r="34" spans="2:37" ht="13.15" thickBot="1">
      <c r="B34" s="211"/>
      <c r="C34" s="211" t="str">
        <f>Picks!B34</f>
        <v>Spurs draw</v>
      </c>
      <c r="D34" s="212">
        <f>Picks!C34</f>
        <v>1</v>
      </c>
      <c r="E34" s="212">
        <f>Picks!D34</f>
        <v>3.75</v>
      </c>
      <c r="F34" s="224">
        <f>IF(C34="","",INDEX(Odds!K:K,MATCH(C34,Odds!G:G,0)))</f>
        <v>1</v>
      </c>
      <c r="G34" s="211">
        <f>IF(C34="","",Picks!M34)</f>
        <v>0</v>
      </c>
      <c r="H34" s="212">
        <f t="shared" si="4"/>
        <v>0</v>
      </c>
      <c r="I34" s="221" t="str">
        <f t="shared" si="5"/>
        <v>Kei Lok Ma</v>
      </c>
      <c r="J34" s="204">
        <f>H98</f>
        <v>0</v>
      </c>
      <c r="K34" s="204">
        <f>H99</f>
        <v>0</v>
      </c>
      <c r="L34" s="204">
        <f>H100</f>
        <v>0</v>
      </c>
      <c r="M34" s="204">
        <f t="shared" si="21"/>
        <v>0</v>
      </c>
      <c r="N34" s="204">
        <f t="shared" si="22"/>
        <v>0</v>
      </c>
      <c r="O34" s="204">
        <f t="shared" si="2"/>
        <v>0</v>
      </c>
      <c r="P34" s="204">
        <f t="shared" si="6"/>
        <v>0</v>
      </c>
      <c r="Q34" s="204">
        <f t="shared" si="7"/>
        <v>0</v>
      </c>
      <c r="R34" s="204">
        <f t="shared" si="8"/>
        <v>0</v>
      </c>
      <c r="S34" s="204">
        <f t="shared" si="16"/>
        <v>0</v>
      </c>
      <c r="T34" s="204">
        <f t="shared" si="9"/>
        <v>-7</v>
      </c>
      <c r="U34" s="203">
        <f>SUM(G98:G100)</f>
        <v>0</v>
      </c>
      <c r="V34" s="134" t="s">
        <v>303</v>
      </c>
      <c r="W34" s="205">
        <f>SUM(F98:F100)</f>
        <v>3</v>
      </c>
      <c r="X34" s="207">
        <f t="shared" ref="X34:X65" si="23">+((E34-1)*F34*A$2)</f>
        <v>2.75</v>
      </c>
      <c r="Y34" s="204">
        <f>X98</f>
        <v>2.5</v>
      </c>
      <c r="Z34" s="204">
        <f>X99</f>
        <v>2.75</v>
      </c>
      <c r="AA34" s="204">
        <f>X100</f>
        <v>0.7</v>
      </c>
      <c r="AB34" s="204">
        <f t="shared" si="10"/>
        <v>3.5</v>
      </c>
      <c r="AC34" s="214">
        <f t="shared" si="11"/>
        <v>3.75</v>
      </c>
      <c r="AD34" s="204">
        <f t="shared" si="12"/>
        <v>1.7</v>
      </c>
      <c r="AE34" s="204">
        <f t="shared" si="17"/>
        <v>13.125</v>
      </c>
      <c r="AF34" s="204">
        <f t="shared" si="18"/>
        <v>6.375</v>
      </c>
      <c r="AG34" s="204">
        <f t="shared" si="19"/>
        <v>5.95</v>
      </c>
      <c r="AH34" s="204">
        <f t="shared" si="20"/>
        <v>22.3125</v>
      </c>
      <c r="AI34" s="215">
        <f t="shared" si="13"/>
        <v>49.712499999999999</v>
      </c>
      <c r="AJ34" s="222" t="str">
        <f t="shared" si="14"/>
        <v>Kei Lok Ma</v>
      </c>
      <c r="AK34" s="1">
        <f t="shared" si="15"/>
        <v>7</v>
      </c>
    </row>
    <row r="35" spans="2:37">
      <c r="B35" s="206" t="str">
        <f>$V13</f>
        <v>Bob Bailey</v>
      </c>
      <c r="C35" s="206" t="str">
        <f>Picks!B35</f>
        <v>Wolves</v>
      </c>
      <c r="D35" s="207">
        <f>Picks!C35</f>
        <v>1</v>
      </c>
      <c r="E35" s="207">
        <f>Picks!D35</f>
        <v>1.8333333333333335</v>
      </c>
      <c r="F35" s="208">
        <f>IF(C35="","",INDEX(Odds!K:K,MATCH(C35,Odds!G:G,0)))</f>
        <v>0</v>
      </c>
      <c r="G35" s="206">
        <f>IF(C35="","",Picks!M35)</f>
        <v>0</v>
      </c>
      <c r="H35" s="207">
        <f t="shared" si="4"/>
        <v>0</v>
      </c>
      <c r="I35" s="221" t="str">
        <f t="shared" si="5"/>
        <v>Kevin Carter</v>
      </c>
      <c r="J35" s="204">
        <f>H101</f>
        <v>0.7</v>
      </c>
      <c r="K35" s="204">
        <f>H102</f>
        <v>0.61111111111111116</v>
      </c>
      <c r="L35" s="204">
        <f>H103</f>
        <v>1.1499999999999999</v>
      </c>
      <c r="M35" s="204">
        <f t="shared" si="21"/>
        <v>1.7</v>
      </c>
      <c r="N35" s="204">
        <f t="shared" si="22"/>
        <v>1.6111111111111112</v>
      </c>
      <c r="O35" s="204">
        <f t="shared" si="2"/>
        <v>2.15</v>
      </c>
      <c r="P35" s="204">
        <f t="shared" si="6"/>
        <v>2.7388888888888889</v>
      </c>
      <c r="Q35" s="204">
        <f t="shared" si="7"/>
        <v>3.4638888888888886</v>
      </c>
      <c r="R35" s="204">
        <f t="shared" si="8"/>
        <v>3.6549999999999998</v>
      </c>
      <c r="S35" s="204">
        <f t="shared" si="16"/>
        <v>5.8886111111111106</v>
      </c>
      <c r="T35" s="204">
        <f t="shared" si="9"/>
        <v>14.207499999999996</v>
      </c>
      <c r="U35" s="203">
        <f>SUM(G101:G103)</f>
        <v>3</v>
      </c>
      <c r="V35" s="132" t="s">
        <v>312</v>
      </c>
      <c r="W35" s="205">
        <f>SUM(F101:F103)</f>
        <v>3</v>
      </c>
      <c r="X35" s="207">
        <f t="shared" si="23"/>
        <v>0</v>
      </c>
      <c r="Y35" s="214">
        <f>X101</f>
        <v>0.7</v>
      </c>
      <c r="Z35" s="204">
        <f>X102</f>
        <v>0.61111111111111116</v>
      </c>
      <c r="AA35" s="204">
        <f>X103</f>
        <v>1.1499999999999999</v>
      </c>
      <c r="AB35" s="204">
        <f t="shared" si="10"/>
        <v>1.7</v>
      </c>
      <c r="AC35" s="214">
        <f t="shared" si="11"/>
        <v>1.6111111111111112</v>
      </c>
      <c r="AD35" s="204">
        <f t="shared" si="12"/>
        <v>2.15</v>
      </c>
      <c r="AE35" s="204">
        <f t="shared" si="17"/>
        <v>2.7388888888888889</v>
      </c>
      <c r="AF35" s="204">
        <f t="shared" si="18"/>
        <v>3.4638888888888886</v>
      </c>
      <c r="AG35" s="204">
        <f t="shared" si="19"/>
        <v>3.6549999999999998</v>
      </c>
      <c r="AH35" s="204">
        <f t="shared" si="20"/>
        <v>5.8886111111111106</v>
      </c>
      <c r="AI35" s="215">
        <f t="shared" si="13"/>
        <v>14.207499999999996</v>
      </c>
      <c r="AJ35" s="222" t="str">
        <f t="shared" si="14"/>
        <v>Kevin Carter</v>
      </c>
      <c r="AK35" s="1">
        <f t="shared" si="15"/>
        <v>7</v>
      </c>
    </row>
    <row r="36" spans="2:37">
      <c r="B36" s="206"/>
      <c r="C36" s="206" t="str">
        <f>Picks!B36</f>
        <v>Villa</v>
      </c>
      <c r="D36" s="207">
        <f>Picks!C36</f>
        <v>1</v>
      </c>
      <c r="E36" s="207">
        <f>Picks!D36</f>
        <v>5.8</v>
      </c>
      <c r="F36" s="208">
        <f>IF(C36="","",INDEX(Odds!K:K,MATCH(C36,Odds!G:G,0)))</f>
        <v>1</v>
      </c>
      <c r="G36" s="206">
        <f>IF(C36="","",Picks!M36)</f>
        <v>0</v>
      </c>
      <c r="H36" s="207">
        <f t="shared" si="4"/>
        <v>0</v>
      </c>
      <c r="I36" s="221" t="str">
        <f t="shared" si="5"/>
        <v>Lennie Bow</v>
      </c>
      <c r="J36" s="204">
        <f>H104</f>
        <v>1.1499999999999999</v>
      </c>
      <c r="K36" s="204">
        <f>H105</f>
        <v>0</v>
      </c>
      <c r="L36" s="204">
        <f>H106</f>
        <v>0.72222222222222232</v>
      </c>
      <c r="M36" s="204">
        <f t="shared" si="21"/>
        <v>2.15</v>
      </c>
      <c r="N36" s="204">
        <f t="shared" si="22"/>
        <v>0</v>
      </c>
      <c r="O36" s="204">
        <f t="shared" si="2"/>
        <v>1.7222222222222223</v>
      </c>
      <c r="P36" s="204">
        <f t="shared" si="6"/>
        <v>0</v>
      </c>
      <c r="Q36" s="204">
        <f t="shared" si="7"/>
        <v>0</v>
      </c>
      <c r="R36" s="204">
        <f t="shared" si="8"/>
        <v>3.7027777777777779</v>
      </c>
      <c r="S36" s="204">
        <f t="shared" si="16"/>
        <v>0</v>
      </c>
      <c r="T36" s="204">
        <f t="shared" si="9"/>
        <v>0.57500000000000018</v>
      </c>
      <c r="U36" s="203">
        <f>SUM(G104:G106)</f>
        <v>2</v>
      </c>
      <c r="V36" s="132" t="s">
        <v>298</v>
      </c>
      <c r="W36" s="205">
        <f>SUM(F104:F106)</f>
        <v>3</v>
      </c>
      <c r="X36" s="207">
        <f t="shared" si="23"/>
        <v>4.8</v>
      </c>
      <c r="Y36" s="204">
        <f>X104</f>
        <v>1.1499999999999999</v>
      </c>
      <c r="Z36" s="204">
        <f>X105</f>
        <v>0.7</v>
      </c>
      <c r="AA36" s="204">
        <f>X106</f>
        <v>0.72222222222222232</v>
      </c>
      <c r="AB36" s="204">
        <f t="shared" si="10"/>
        <v>2.15</v>
      </c>
      <c r="AC36" s="214">
        <f t="shared" si="11"/>
        <v>1.7</v>
      </c>
      <c r="AD36" s="204">
        <f t="shared" si="12"/>
        <v>1.7222222222222223</v>
      </c>
      <c r="AE36" s="204">
        <f t="shared" si="17"/>
        <v>3.6549999999999998</v>
      </c>
      <c r="AF36" s="204">
        <f t="shared" si="18"/>
        <v>2.927777777777778</v>
      </c>
      <c r="AG36" s="204">
        <f t="shared" si="19"/>
        <v>3.7027777777777779</v>
      </c>
      <c r="AH36" s="204">
        <f t="shared" si="20"/>
        <v>6.2947222222222221</v>
      </c>
      <c r="AI36" s="215">
        <f t="shared" si="13"/>
        <v>15.1525</v>
      </c>
      <c r="AJ36" s="222" t="str">
        <f t="shared" si="14"/>
        <v>Lennie Bow</v>
      </c>
      <c r="AK36" s="1">
        <f t="shared" si="15"/>
        <v>7</v>
      </c>
    </row>
    <row r="37" spans="2:37" ht="13.15" thickBot="1">
      <c r="B37" s="211"/>
      <c r="C37" s="211" t="str">
        <f>Picks!B37</f>
        <v>Millwall</v>
      </c>
      <c r="D37" s="212">
        <f>Picks!C37</f>
        <v>1</v>
      </c>
      <c r="E37" s="212">
        <f>Picks!D37</f>
        <v>2.375</v>
      </c>
      <c r="F37" s="224">
        <f>IF(C37="","",INDEX(Odds!K:K,MATCH(C37,Odds!G:G,0)))</f>
        <v>0</v>
      </c>
      <c r="G37" s="211">
        <f>IF(C37="","",Picks!M37)</f>
        <v>0</v>
      </c>
      <c r="H37" s="212">
        <f t="shared" si="4"/>
        <v>0</v>
      </c>
      <c r="I37" s="221" t="str">
        <f t="shared" si="5"/>
        <v>Liam Wah</v>
      </c>
      <c r="J37" s="204" t="str">
        <f>H107</f>
        <v/>
      </c>
      <c r="K37" s="204" t="str">
        <f>H108</f>
        <v/>
      </c>
      <c r="L37" s="204" t="str">
        <f>H109</f>
        <v/>
      </c>
      <c r="M37" s="204" t="e">
        <f t="shared" si="21"/>
        <v>#VALUE!</v>
      </c>
      <c r="N37" s="204" t="e">
        <f t="shared" si="22"/>
        <v>#VALUE!</v>
      </c>
      <c r="O37" s="204" t="e">
        <f t="shared" si="2"/>
        <v>#VALUE!</v>
      </c>
      <c r="P37" s="204" t="e">
        <f t="shared" si="6"/>
        <v>#VALUE!</v>
      </c>
      <c r="Q37" s="204" t="e">
        <f t="shared" si="7"/>
        <v>#VALUE!</v>
      </c>
      <c r="R37" s="204" t="e">
        <f t="shared" si="8"/>
        <v>#VALUE!</v>
      </c>
      <c r="S37" s="204" t="e">
        <f t="shared" si="16"/>
        <v>#VALUE!</v>
      </c>
      <c r="T37" s="204" t="e">
        <f t="shared" si="9"/>
        <v>#VALUE!</v>
      </c>
      <c r="U37" s="203">
        <f>SUM(G107:G109)</f>
        <v>0</v>
      </c>
      <c r="V37" s="135" t="s">
        <v>379</v>
      </c>
      <c r="W37" s="205">
        <f>SUM(F107:F109)</f>
        <v>0</v>
      </c>
      <c r="X37" s="207">
        <f t="shared" si="23"/>
        <v>0</v>
      </c>
      <c r="Y37" s="204" t="e">
        <f>X107</f>
        <v>#VALUE!</v>
      </c>
      <c r="Z37" s="204" t="e">
        <f>X108</f>
        <v>#VALUE!</v>
      </c>
      <c r="AA37" s="204" t="e">
        <f>X109</f>
        <v>#VALUE!</v>
      </c>
      <c r="AB37" s="204" t="e">
        <f t="shared" si="10"/>
        <v>#VALUE!</v>
      </c>
      <c r="AC37" s="214" t="e">
        <f t="shared" si="11"/>
        <v>#VALUE!</v>
      </c>
      <c r="AD37" s="204" t="e">
        <f t="shared" si="12"/>
        <v>#VALUE!</v>
      </c>
      <c r="AE37" s="204" t="e">
        <f t="shared" si="17"/>
        <v>#VALUE!</v>
      </c>
      <c r="AF37" s="204" t="e">
        <f t="shared" si="18"/>
        <v>#VALUE!</v>
      </c>
      <c r="AG37" s="204" t="e">
        <f t="shared" si="19"/>
        <v>#VALUE!</v>
      </c>
      <c r="AH37" s="204" t="e">
        <f t="shared" si="20"/>
        <v>#VALUE!</v>
      </c>
      <c r="AI37" s="215" t="e">
        <f t="shared" si="13"/>
        <v>#VALUE!</v>
      </c>
      <c r="AJ37" s="222" t="str">
        <f t="shared" si="14"/>
        <v>Liam Wah</v>
      </c>
      <c r="AK37" s="1">
        <f t="shared" si="15"/>
        <v>1</v>
      </c>
    </row>
    <row r="38" spans="2:37">
      <c r="B38" s="206" t="str">
        <f>$V14</f>
        <v>Charlie Griffiths</v>
      </c>
      <c r="C38" s="206" t="str">
        <f>Picks!B38</f>
        <v>Blackburn</v>
      </c>
      <c r="D38" s="207">
        <f>Picks!C38</f>
        <v>1</v>
      </c>
      <c r="E38" s="207">
        <f>Picks!D38</f>
        <v>2.4</v>
      </c>
      <c r="F38" s="208">
        <f>IF(C38="","",INDEX(Odds!K:K,MATCH(C38,Odds!G:G,0)))</f>
        <v>0</v>
      </c>
      <c r="G38" s="206">
        <f>IF(C38="","",Picks!M38)</f>
        <v>0</v>
      </c>
      <c r="H38" s="207">
        <f t="shared" si="4"/>
        <v>0</v>
      </c>
      <c r="I38" s="221" t="str">
        <f t="shared" si="5"/>
        <v>Mal Stott</v>
      </c>
      <c r="J38" s="204">
        <f>H110</f>
        <v>2.2000000000000002</v>
      </c>
      <c r="K38" s="204">
        <f>H111</f>
        <v>3.4000000000000004</v>
      </c>
      <c r="L38" s="204">
        <f>H112</f>
        <v>0</v>
      </c>
      <c r="M38" s="204">
        <f t="shared" si="21"/>
        <v>3.2</v>
      </c>
      <c r="N38" s="204">
        <f t="shared" si="22"/>
        <v>4.4000000000000004</v>
      </c>
      <c r="O38" s="204">
        <f t="shared" si="2"/>
        <v>0</v>
      </c>
      <c r="P38" s="204">
        <f t="shared" si="6"/>
        <v>14.080000000000002</v>
      </c>
      <c r="Q38" s="204">
        <f t="shared" si="7"/>
        <v>0</v>
      </c>
      <c r="R38" s="204">
        <f t="shared" si="8"/>
        <v>0</v>
      </c>
      <c r="S38" s="204">
        <f t="shared" si="16"/>
        <v>0</v>
      </c>
      <c r="T38" s="204">
        <f t="shared" si="9"/>
        <v>14.680000000000003</v>
      </c>
      <c r="U38" s="203">
        <f>SUM(G110:G112)</f>
        <v>2</v>
      </c>
      <c r="V38" s="132" t="s">
        <v>307</v>
      </c>
      <c r="W38" s="205">
        <f>SUM(F110:F112)</f>
        <v>3</v>
      </c>
      <c r="X38" s="207">
        <f t="shared" si="23"/>
        <v>0</v>
      </c>
      <c r="Y38" s="204">
        <f>X110</f>
        <v>2.2000000000000002</v>
      </c>
      <c r="Z38" s="204">
        <f>X111</f>
        <v>3.4000000000000004</v>
      </c>
      <c r="AA38" s="204">
        <f>X112</f>
        <v>2.9</v>
      </c>
      <c r="AB38" s="204">
        <f t="shared" si="10"/>
        <v>3.2</v>
      </c>
      <c r="AC38" s="214">
        <f t="shared" si="11"/>
        <v>4.4000000000000004</v>
      </c>
      <c r="AD38" s="204">
        <f t="shared" si="12"/>
        <v>3.9</v>
      </c>
      <c r="AE38" s="204">
        <f t="shared" si="17"/>
        <v>14.080000000000002</v>
      </c>
      <c r="AF38" s="204">
        <f t="shared" si="18"/>
        <v>17.16</v>
      </c>
      <c r="AG38" s="204">
        <f t="shared" si="19"/>
        <v>12.48</v>
      </c>
      <c r="AH38" s="204">
        <f t="shared" si="20"/>
        <v>54.912000000000006</v>
      </c>
      <c r="AI38" s="215">
        <f t="shared" si="13"/>
        <v>103.13200000000001</v>
      </c>
      <c r="AJ38" s="222" t="str">
        <f t="shared" si="14"/>
        <v>Mal Stott</v>
      </c>
      <c r="AK38" s="1">
        <f t="shared" si="15"/>
        <v>7</v>
      </c>
    </row>
    <row r="39" spans="2:37">
      <c r="B39" s="206"/>
      <c r="C39" s="206" t="str">
        <f>Picks!B39</f>
        <v>Sheff U</v>
      </c>
      <c r="D39" s="207">
        <f>Picks!C39</f>
        <v>1</v>
      </c>
      <c r="E39" s="207">
        <f>Picks!D39</f>
        <v>2.375</v>
      </c>
      <c r="F39" s="208">
        <f>IF(C39="","",INDEX(Odds!K:K,MATCH(C39,Odds!G:G,0)))</f>
        <v>0</v>
      </c>
      <c r="G39" s="206">
        <f>IF(C39="","",Picks!M39)</f>
        <v>0</v>
      </c>
      <c r="H39" s="207">
        <f t="shared" si="4"/>
        <v>0</v>
      </c>
      <c r="I39" s="221" t="str">
        <f t="shared" si="5"/>
        <v>Mark Bunn</v>
      </c>
      <c r="J39" s="204">
        <f>H113</f>
        <v>0</v>
      </c>
      <c r="K39" s="204">
        <f>H114</f>
        <v>0</v>
      </c>
      <c r="L39" s="204">
        <f>H115</f>
        <v>0</v>
      </c>
      <c r="M39" s="204">
        <f t="shared" si="21"/>
        <v>0</v>
      </c>
      <c r="N39" s="204">
        <f t="shared" si="22"/>
        <v>0</v>
      </c>
      <c r="O39" s="204">
        <f t="shared" si="2"/>
        <v>0</v>
      </c>
      <c r="P39" s="204">
        <f t="shared" si="6"/>
        <v>0</v>
      </c>
      <c r="Q39" s="204">
        <f t="shared" si="7"/>
        <v>0</v>
      </c>
      <c r="R39" s="204">
        <f t="shared" si="8"/>
        <v>0</v>
      </c>
      <c r="S39" s="204">
        <f t="shared" si="16"/>
        <v>0</v>
      </c>
      <c r="T39" s="204">
        <f t="shared" si="9"/>
        <v>-7</v>
      </c>
      <c r="U39" s="203">
        <f>SUM(G113:G115)</f>
        <v>0</v>
      </c>
      <c r="V39" s="132" t="s">
        <v>299</v>
      </c>
      <c r="W39" s="205">
        <f>SUM(F113:F115)</f>
        <v>3</v>
      </c>
      <c r="X39" s="207">
        <f t="shared" si="23"/>
        <v>0</v>
      </c>
      <c r="Y39" s="204">
        <f>X113</f>
        <v>2.2000000000000002</v>
      </c>
      <c r="Z39" s="204">
        <f>X114</f>
        <v>2.25</v>
      </c>
      <c r="AA39" s="204">
        <f>X115</f>
        <v>2.8461538461538463</v>
      </c>
      <c r="AB39" s="204">
        <f t="shared" si="10"/>
        <v>3.2</v>
      </c>
      <c r="AC39" s="214">
        <f t="shared" si="11"/>
        <v>3.25</v>
      </c>
      <c r="AD39" s="204">
        <f t="shared" si="12"/>
        <v>3.8461538461538463</v>
      </c>
      <c r="AE39" s="204">
        <f t="shared" si="17"/>
        <v>10.4</v>
      </c>
      <c r="AF39" s="204">
        <f t="shared" si="18"/>
        <v>12.5</v>
      </c>
      <c r="AG39" s="204">
        <f t="shared" si="19"/>
        <v>12.307692307692308</v>
      </c>
      <c r="AH39" s="204">
        <f t="shared" si="20"/>
        <v>40</v>
      </c>
      <c r="AI39" s="215">
        <f t="shared" si="13"/>
        <v>78.503846153846155</v>
      </c>
      <c r="AJ39" s="222" t="str">
        <f t="shared" si="14"/>
        <v>Mark Bunn</v>
      </c>
      <c r="AK39" s="1">
        <f t="shared" si="15"/>
        <v>7</v>
      </c>
    </row>
    <row r="40" spans="2:37" ht="13.15" thickBot="1">
      <c r="B40" s="211"/>
      <c r="C40" s="211" t="str">
        <f>Picks!B40</f>
        <v>Middlesbro</v>
      </c>
      <c r="D40" s="212">
        <f>Picks!C40</f>
        <v>1</v>
      </c>
      <c r="E40" s="212">
        <f>Picks!D40</f>
        <v>2.1</v>
      </c>
      <c r="F40" s="224">
        <f>IF(C40="","",INDEX(Odds!K:K,MATCH(C40,Odds!G:G,0)))</f>
        <v>1</v>
      </c>
      <c r="G40" s="211">
        <f>IF(C40="","",Picks!M40)</f>
        <v>1</v>
      </c>
      <c r="H40" s="212">
        <f t="shared" si="4"/>
        <v>1.1000000000000001</v>
      </c>
      <c r="I40" s="221" t="str">
        <f t="shared" si="5"/>
        <v>Mark Saunders</v>
      </c>
      <c r="J40" s="204">
        <f>H116</f>
        <v>0</v>
      </c>
      <c r="K40" s="204">
        <f>H117</f>
        <v>0.7</v>
      </c>
      <c r="L40" s="204">
        <f>H118</f>
        <v>0.19999999999999996</v>
      </c>
      <c r="M40" s="204">
        <f t="shared" si="21"/>
        <v>0</v>
      </c>
      <c r="N40" s="204">
        <f t="shared" si="22"/>
        <v>1.7</v>
      </c>
      <c r="O40" s="204">
        <f t="shared" si="2"/>
        <v>1.2</v>
      </c>
      <c r="P40" s="204">
        <f t="shared" si="6"/>
        <v>0</v>
      </c>
      <c r="Q40" s="204">
        <f t="shared" si="7"/>
        <v>2.04</v>
      </c>
      <c r="R40" s="204">
        <f t="shared" si="8"/>
        <v>0</v>
      </c>
      <c r="S40" s="204">
        <f t="shared" si="16"/>
        <v>0</v>
      </c>
      <c r="T40" s="204">
        <f t="shared" si="9"/>
        <v>-2.0600000000000005</v>
      </c>
      <c r="U40" s="203">
        <f>SUM(G116:G118)</f>
        <v>2</v>
      </c>
      <c r="V40" s="132" t="s">
        <v>294</v>
      </c>
      <c r="W40" s="205">
        <f>SUM(F116:F118)</f>
        <v>3</v>
      </c>
      <c r="X40" s="207">
        <f t="shared" si="23"/>
        <v>1.1000000000000001</v>
      </c>
      <c r="Y40" s="204">
        <f>X116</f>
        <v>0.75</v>
      </c>
      <c r="Z40" s="204">
        <f>X117</f>
        <v>0.7</v>
      </c>
      <c r="AA40" s="204">
        <f>X118</f>
        <v>0.19999999999999996</v>
      </c>
      <c r="AB40" s="204">
        <f t="shared" si="10"/>
        <v>1.75</v>
      </c>
      <c r="AC40" s="214">
        <f t="shared" si="11"/>
        <v>1.7</v>
      </c>
      <c r="AD40" s="204">
        <f t="shared" si="12"/>
        <v>1.2</v>
      </c>
      <c r="AE40" s="204">
        <f t="shared" si="17"/>
        <v>2.9749999999999996</v>
      </c>
      <c r="AF40" s="204">
        <f t="shared" si="18"/>
        <v>2.04</v>
      </c>
      <c r="AG40" s="204">
        <f t="shared" si="19"/>
        <v>2.0999999999999996</v>
      </c>
      <c r="AH40" s="204">
        <f t="shared" si="20"/>
        <v>3.5699999999999994</v>
      </c>
      <c r="AI40" s="215">
        <f t="shared" si="13"/>
        <v>8.3349999999999973</v>
      </c>
      <c r="AJ40" s="222" t="str">
        <f t="shared" si="14"/>
        <v>Mark Saunders</v>
      </c>
      <c r="AK40" s="1">
        <f t="shared" si="15"/>
        <v>7</v>
      </c>
    </row>
    <row r="41" spans="2:37">
      <c r="B41" s="206" t="str">
        <f>$V15</f>
        <v>Chris Bow</v>
      </c>
      <c r="C41" s="206" t="str">
        <f>Picks!B41</f>
        <v>Villa</v>
      </c>
      <c r="D41" s="207">
        <f>Picks!C41</f>
        <v>1</v>
      </c>
      <c r="E41" s="207">
        <f>Picks!D41</f>
        <v>5.8</v>
      </c>
      <c r="F41" s="208">
        <f>IF(C41="","",INDEX(Odds!K:K,MATCH(C41,Odds!G:G,0)))</f>
        <v>1</v>
      </c>
      <c r="G41" s="206">
        <f>IF(C41="","",Picks!M41)</f>
        <v>0</v>
      </c>
      <c r="H41" s="207">
        <f t="shared" si="4"/>
        <v>0</v>
      </c>
      <c r="I41" s="221" t="str">
        <f t="shared" si="5"/>
        <v>Martin Molyneux</v>
      </c>
      <c r="J41" s="204">
        <f>H119</f>
        <v>0.7</v>
      </c>
      <c r="K41" s="204">
        <f>H120</f>
        <v>0.44444444444444442</v>
      </c>
      <c r="L41" s="204">
        <f>H121</f>
        <v>0</v>
      </c>
      <c r="M41" s="204">
        <f t="shared" si="21"/>
        <v>1.7</v>
      </c>
      <c r="N41" s="204">
        <f t="shared" si="22"/>
        <v>1.4444444444444444</v>
      </c>
      <c r="O41" s="204">
        <f t="shared" si="2"/>
        <v>0</v>
      </c>
      <c r="P41" s="204">
        <f t="shared" si="6"/>
        <v>2.4555555555555557</v>
      </c>
      <c r="Q41" s="204">
        <f t="shared" si="7"/>
        <v>0</v>
      </c>
      <c r="R41" s="204">
        <f t="shared" si="8"/>
        <v>0</v>
      </c>
      <c r="S41" s="204">
        <f t="shared" si="16"/>
        <v>0</v>
      </c>
      <c r="T41" s="204">
        <f t="shared" si="9"/>
        <v>-1.4000000000000004</v>
      </c>
      <c r="U41" s="203">
        <f>SUM(G119:G121)</f>
        <v>2</v>
      </c>
      <c r="V41" s="132" t="s">
        <v>293</v>
      </c>
      <c r="W41" s="205">
        <f>SUM(F119:F121)</f>
        <v>3</v>
      </c>
      <c r="X41" s="207">
        <f t="shared" si="23"/>
        <v>4.8</v>
      </c>
      <c r="Y41" s="204">
        <f>X119</f>
        <v>0.7</v>
      </c>
      <c r="Z41" s="204">
        <f>X120</f>
        <v>0.44444444444444442</v>
      </c>
      <c r="AA41" s="204">
        <f>X121</f>
        <v>0.75</v>
      </c>
      <c r="AB41" s="204">
        <f t="shared" si="10"/>
        <v>1.7</v>
      </c>
      <c r="AC41" s="214">
        <f t="shared" si="11"/>
        <v>1.4444444444444444</v>
      </c>
      <c r="AD41" s="204">
        <f t="shared" si="12"/>
        <v>1.75</v>
      </c>
      <c r="AE41" s="204">
        <f t="shared" si="17"/>
        <v>2.4555555555555557</v>
      </c>
      <c r="AF41" s="204">
        <f t="shared" si="18"/>
        <v>2.5277777777777777</v>
      </c>
      <c r="AG41" s="204">
        <f t="shared" si="19"/>
        <v>2.9749999999999996</v>
      </c>
      <c r="AH41" s="204">
        <f t="shared" si="20"/>
        <v>4.2972222222222225</v>
      </c>
      <c r="AI41" s="215">
        <f t="shared" si="13"/>
        <v>10.149999999999999</v>
      </c>
      <c r="AJ41" s="222" t="str">
        <f t="shared" si="14"/>
        <v>Martin Molyneux</v>
      </c>
      <c r="AK41" s="1">
        <f t="shared" si="15"/>
        <v>7</v>
      </c>
    </row>
    <row r="42" spans="2:37">
      <c r="B42" s="206"/>
      <c r="C42" s="206" t="str">
        <f>Picks!B42</f>
        <v>Accrington</v>
      </c>
      <c r="D42" s="207">
        <f>Picks!C42</f>
        <v>1</v>
      </c>
      <c r="E42" s="207">
        <f>Picks!D42</f>
        <v>4</v>
      </c>
      <c r="F42" s="208">
        <f>IF(C42="","",INDEX(Odds!K:K,MATCH(C42,Odds!G:G,0)))</f>
        <v>1</v>
      </c>
      <c r="G42" s="206">
        <f>IF(C42="","",Picks!M42)</f>
        <v>1</v>
      </c>
      <c r="H42" s="207">
        <f t="shared" si="4"/>
        <v>3</v>
      </c>
      <c r="I42" s="221" t="str">
        <f t="shared" si="5"/>
        <v>Martin Tarbuck</v>
      </c>
      <c r="J42" s="204">
        <f>H122</f>
        <v>0</v>
      </c>
      <c r="K42" s="204">
        <f>H123</f>
        <v>2.1</v>
      </c>
      <c r="L42" s="204">
        <f>H124</f>
        <v>0</v>
      </c>
      <c r="M42" s="204">
        <f t="shared" si="21"/>
        <v>0</v>
      </c>
      <c r="N42" s="204">
        <f t="shared" si="22"/>
        <v>3.1</v>
      </c>
      <c r="O42" s="204">
        <f t="shared" si="2"/>
        <v>0</v>
      </c>
      <c r="P42" s="204">
        <f t="shared" si="6"/>
        <v>0</v>
      </c>
      <c r="Q42" s="204">
        <f t="shared" si="7"/>
        <v>0</v>
      </c>
      <c r="R42" s="204">
        <f t="shared" si="8"/>
        <v>0</v>
      </c>
      <c r="S42" s="204">
        <f t="shared" si="16"/>
        <v>0</v>
      </c>
      <c r="T42" s="204">
        <f t="shared" si="9"/>
        <v>-3.9</v>
      </c>
      <c r="U42" s="203">
        <f>SUM(G122:G124)</f>
        <v>1</v>
      </c>
      <c r="V42" s="132" t="s">
        <v>387</v>
      </c>
      <c r="W42" s="205">
        <f>SUM(F122:F124)</f>
        <v>3</v>
      </c>
      <c r="X42" s="207">
        <f t="shared" si="23"/>
        <v>3</v>
      </c>
      <c r="Y42" s="204">
        <f>X122</f>
        <v>2.5</v>
      </c>
      <c r="Z42" s="204">
        <f>X123</f>
        <v>2.1</v>
      </c>
      <c r="AA42" s="204">
        <f>X124</f>
        <v>0.8</v>
      </c>
      <c r="AB42" s="204">
        <f t="shared" si="10"/>
        <v>3.5</v>
      </c>
      <c r="AC42" s="214">
        <f t="shared" si="11"/>
        <v>3.1</v>
      </c>
      <c r="AD42" s="204">
        <f t="shared" si="12"/>
        <v>1.8</v>
      </c>
      <c r="AE42" s="204">
        <f t="shared" si="17"/>
        <v>10.850000000000001</v>
      </c>
      <c r="AF42" s="204">
        <f t="shared" si="18"/>
        <v>5.58</v>
      </c>
      <c r="AG42" s="204">
        <f t="shared" si="19"/>
        <v>6.3</v>
      </c>
      <c r="AH42" s="204">
        <f t="shared" si="20"/>
        <v>19.53</v>
      </c>
      <c r="AI42" s="215">
        <f t="shared" si="13"/>
        <v>43.66</v>
      </c>
      <c r="AJ42" s="222" t="str">
        <f t="shared" si="14"/>
        <v>Martin Tarbuck</v>
      </c>
      <c r="AK42" s="1">
        <f t="shared" si="15"/>
        <v>7</v>
      </c>
    </row>
    <row r="43" spans="2:37" ht="13.15" thickBot="1">
      <c r="B43" s="211"/>
      <c r="C43" s="211" t="str">
        <f>Picks!B43</f>
        <v>Tranmere</v>
      </c>
      <c r="D43" s="212">
        <f>Picks!C43</f>
        <v>1</v>
      </c>
      <c r="E43" s="212">
        <f>Picks!D43</f>
        <v>2.15</v>
      </c>
      <c r="F43" s="224">
        <f>IF(C43="","",INDEX(Odds!K:K,MATCH(C43,Odds!G:G,0)))</f>
        <v>1</v>
      </c>
      <c r="G43" s="211">
        <f>IF(C43="","",Picks!M43)</f>
        <v>1</v>
      </c>
      <c r="H43" s="212">
        <f t="shared" si="4"/>
        <v>1.1499999999999999</v>
      </c>
      <c r="I43" s="221" t="str">
        <f t="shared" si="5"/>
        <v>Mike Penk</v>
      </c>
      <c r="J43" s="204">
        <f>H125</f>
        <v>0</v>
      </c>
      <c r="K43" s="204">
        <f>H126</f>
        <v>0.44444444444444442</v>
      </c>
      <c r="L43" s="204">
        <f>H127</f>
        <v>1.2999999999999998</v>
      </c>
      <c r="M43" s="204">
        <f t="shared" si="21"/>
        <v>0</v>
      </c>
      <c r="N43" s="204">
        <f t="shared" si="22"/>
        <v>1.4444444444444444</v>
      </c>
      <c r="O43" s="204">
        <f t="shared" si="2"/>
        <v>2.2999999999999998</v>
      </c>
      <c r="P43" s="204">
        <f t="shared" si="6"/>
        <v>0</v>
      </c>
      <c r="Q43" s="204">
        <f t="shared" si="7"/>
        <v>3.322222222222222</v>
      </c>
      <c r="R43" s="204">
        <f t="shared" si="8"/>
        <v>0</v>
      </c>
      <c r="S43" s="204">
        <f t="shared" si="16"/>
        <v>0</v>
      </c>
      <c r="T43" s="204">
        <f t="shared" si="9"/>
        <v>6.666666666666643E-2</v>
      </c>
      <c r="U43" s="203">
        <f>SUM(G125:G127)</f>
        <v>2</v>
      </c>
      <c r="V43" s="133" t="s">
        <v>304</v>
      </c>
      <c r="W43" s="205">
        <f>SUM(F125:F127)</f>
        <v>3</v>
      </c>
      <c r="X43" s="207">
        <f t="shared" si="23"/>
        <v>1.1499999999999999</v>
      </c>
      <c r="Y43" s="204">
        <f>X125</f>
        <v>0.8</v>
      </c>
      <c r="Z43" s="204">
        <f>X126</f>
        <v>0.44444444444444442</v>
      </c>
      <c r="AA43" s="204">
        <f>X127</f>
        <v>1.2999999999999998</v>
      </c>
      <c r="AB43" s="204">
        <f t="shared" si="10"/>
        <v>1.8</v>
      </c>
      <c r="AC43" s="214">
        <f t="shared" si="11"/>
        <v>1.4444444444444444</v>
      </c>
      <c r="AD43" s="204">
        <f t="shared" si="12"/>
        <v>2.2999999999999998</v>
      </c>
      <c r="AE43" s="204">
        <f t="shared" si="17"/>
        <v>2.6</v>
      </c>
      <c r="AF43" s="204">
        <f t="shared" si="18"/>
        <v>3.322222222222222</v>
      </c>
      <c r="AG43" s="204">
        <f t="shared" si="19"/>
        <v>4.1399999999999997</v>
      </c>
      <c r="AH43" s="204">
        <f t="shared" si="20"/>
        <v>5.9799999999999995</v>
      </c>
      <c r="AI43" s="215">
        <f t="shared" si="13"/>
        <v>14.586666666666666</v>
      </c>
      <c r="AJ43" s="222" t="str">
        <f t="shared" si="14"/>
        <v>Mike Penk</v>
      </c>
      <c r="AK43" s="1">
        <f t="shared" si="15"/>
        <v>7</v>
      </c>
    </row>
    <row r="44" spans="2:37">
      <c r="B44" s="209" t="str">
        <f>$V16</f>
        <v>Chris Griffin</v>
      </c>
      <c r="C44" s="209" t="str">
        <f>Picks!B44</f>
        <v>Tranmere</v>
      </c>
      <c r="D44" s="210">
        <f>Picks!C44</f>
        <v>1</v>
      </c>
      <c r="E44" s="207">
        <f>Picks!D44</f>
        <v>2.15</v>
      </c>
      <c r="F44" s="208">
        <f>IF(C44="","",INDEX(Odds!K:K,MATCH(C44,Odds!G:G,0)))</f>
        <v>1</v>
      </c>
      <c r="G44" s="206">
        <f>IF(C44="","",Picks!M44)</f>
        <v>1</v>
      </c>
      <c r="H44" s="207">
        <f t="shared" si="4"/>
        <v>1.1499999999999999</v>
      </c>
      <c r="I44" s="221" t="str">
        <f t="shared" si="5"/>
        <v>Mo Sudell</v>
      </c>
      <c r="J44" s="204">
        <f>H128</f>
        <v>0</v>
      </c>
      <c r="K44" s="204">
        <f>H129</f>
        <v>0.61111111111111116</v>
      </c>
      <c r="L44" s="204">
        <f>H130</f>
        <v>0.90909090909090917</v>
      </c>
      <c r="M44" s="204">
        <f t="shared" si="21"/>
        <v>0</v>
      </c>
      <c r="N44" s="204">
        <f t="shared" si="22"/>
        <v>1.6111111111111112</v>
      </c>
      <c r="O44" s="204">
        <f t="shared" si="2"/>
        <v>1.9090909090909092</v>
      </c>
      <c r="P44" s="204">
        <f t="shared" si="6"/>
        <v>0</v>
      </c>
      <c r="Q44" s="204">
        <f t="shared" si="7"/>
        <v>3.0757575757575761</v>
      </c>
      <c r="R44" s="204">
        <f t="shared" si="8"/>
        <v>0</v>
      </c>
      <c r="S44" s="204">
        <f t="shared" si="16"/>
        <v>0</v>
      </c>
      <c r="T44" s="204">
        <f>SUM(M44:S44)-(IF(W44=1,A$2*1,0))-(IF(W44=2,A$2*3,0))-(IF(W44=3,A$2*7,0))</f>
        <v>-0.40404040404040309</v>
      </c>
      <c r="U44" s="203">
        <f>SUM(G128:G130)</f>
        <v>2</v>
      </c>
      <c r="V44" s="132" t="s">
        <v>319</v>
      </c>
      <c r="W44" s="205">
        <f>SUM(F128:F130)</f>
        <v>3</v>
      </c>
      <c r="X44" s="207">
        <f t="shared" si="23"/>
        <v>1.1499999999999999</v>
      </c>
      <c r="Y44" s="204">
        <f>X128</f>
        <v>0.7</v>
      </c>
      <c r="Z44" s="204">
        <f>X129</f>
        <v>0.61111111111111116</v>
      </c>
      <c r="AA44" s="204">
        <f>X130</f>
        <v>0.90909090909090917</v>
      </c>
      <c r="AB44" s="204">
        <f t="shared" si="10"/>
        <v>1.7</v>
      </c>
      <c r="AC44" s="214">
        <f t="shared" si="11"/>
        <v>1.6111111111111112</v>
      </c>
      <c r="AD44" s="204">
        <f t="shared" si="12"/>
        <v>1.9090909090909092</v>
      </c>
      <c r="AE44" s="204">
        <f t="shared" si="17"/>
        <v>2.7388888888888889</v>
      </c>
      <c r="AF44" s="204">
        <f t="shared" si="18"/>
        <v>3.0757575757575761</v>
      </c>
      <c r="AG44" s="204">
        <f t="shared" si="19"/>
        <v>3.2454545454545456</v>
      </c>
      <c r="AH44" s="204">
        <f t="shared" si="20"/>
        <v>5.2287878787878785</v>
      </c>
      <c r="AI44" s="215">
        <f t="shared" si="13"/>
        <v>12.509090909090908</v>
      </c>
      <c r="AJ44" s="222" t="str">
        <f t="shared" si="14"/>
        <v>Mo Sudell</v>
      </c>
      <c r="AK44" s="1">
        <f t="shared" si="15"/>
        <v>7</v>
      </c>
    </row>
    <row r="45" spans="2:37">
      <c r="B45" s="209"/>
      <c r="C45" s="209" t="str">
        <f>Picks!B45</f>
        <v>West Ham</v>
      </c>
      <c r="D45" s="210">
        <f>Picks!C45</f>
        <v>1</v>
      </c>
      <c r="E45" s="207">
        <f>Picks!D45</f>
        <v>1.75</v>
      </c>
      <c r="F45" s="208">
        <f>IF(C45="","",INDEX(Odds!K:K,MATCH(C45,Odds!G:G,0)))</f>
        <v>1</v>
      </c>
      <c r="G45" s="206">
        <f>IF(C45="","",Picks!M45)</f>
        <v>0</v>
      </c>
      <c r="H45" s="207">
        <f t="shared" si="4"/>
        <v>0</v>
      </c>
      <c r="I45" s="221" t="str">
        <f t="shared" si="5"/>
        <v>Nick Blocksidge</v>
      </c>
      <c r="J45" s="204">
        <f>H131</f>
        <v>0.19999999999999996</v>
      </c>
      <c r="K45" s="204">
        <f>H132</f>
        <v>0.44444444444444442</v>
      </c>
      <c r="L45" s="204">
        <f>H133</f>
        <v>0</v>
      </c>
      <c r="M45" s="204">
        <f t="shared" si="21"/>
        <v>1.2</v>
      </c>
      <c r="N45" s="204">
        <f t="shared" si="22"/>
        <v>1.4444444444444444</v>
      </c>
      <c r="O45" s="204">
        <f t="shared" si="2"/>
        <v>0</v>
      </c>
      <c r="P45" s="204">
        <f t="shared" si="6"/>
        <v>1.7333333333333334</v>
      </c>
      <c r="Q45" s="204">
        <f t="shared" si="7"/>
        <v>0</v>
      </c>
      <c r="R45" s="204">
        <f t="shared" si="8"/>
        <v>0</v>
      </c>
      <c r="S45" s="204">
        <f t="shared" si="16"/>
        <v>0</v>
      </c>
      <c r="T45" s="204">
        <f t="shared" si="9"/>
        <v>-2.6222222222222218</v>
      </c>
      <c r="U45" s="203">
        <f>SUM(G131:G133)</f>
        <v>2</v>
      </c>
      <c r="V45" s="132" t="s">
        <v>386</v>
      </c>
      <c r="W45" s="205">
        <f>SUM(F131:F133)</f>
        <v>3</v>
      </c>
      <c r="X45" s="207">
        <f t="shared" si="23"/>
        <v>0.75</v>
      </c>
      <c r="Y45" s="204">
        <f>X131</f>
        <v>0.19999999999999996</v>
      </c>
      <c r="Z45" s="204">
        <f>X132</f>
        <v>0.44444444444444442</v>
      </c>
      <c r="AA45" s="204">
        <f>X133</f>
        <v>2.75</v>
      </c>
      <c r="AB45" s="204">
        <f t="shared" si="10"/>
        <v>1.2</v>
      </c>
      <c r="AC45" s="214">
        <f t="shared" si="11"/>
        <v>1.4444444444444444</v>
      </c>
      <c r="AD45" s="204">
        <f t="shared" si="12"/>
        <v>3.75</v>
      </c>
      <c r="AE45" s="204">
        <f t="shared" si="17"/>
        <v>1.7333333333333334</v>
      </c>
      <c r="AF45" s="204">
        <f t="shared" si="18"/>
        <v>5.416666666666667</v>
      </c>
      <c r="AG45" s="204">
        <f t="shared" si="19"/>
        <v>4.5</v>
      </c>
      <c r="AH45" s="204">
        <f t="shared" si="20"/>
        <v>6.5</v>
      </c>
      <c r="AI45" s="215">
        <f t="shared" si="13"/>
        <v>17.544444444444444</v>
      </c>
      <c r="AJ45" s="222" t="str">
        <f t="shared" si="14"/>
        <v>Nick Blocksidge</v>
      </c>
      <c r="AK45" s="1">
        <f t="shared" si="15"/>
        <v>7</v>
      </c>
    </row>
    <row r="46" spans="2:37" ht="13.15" thickBot="1">
      <c r="B46" s="211"/>
      <c r="C46" s="211" t="str">
        <f>Picks!B46</f>
        <v>Brighton draw</v>
      </c>
      <c r="D46" s="212">
        <f>Picks!C46</f>
        <v>1</v>
      </c>
      <c r="E46" s="212">
        <f>Picks!D46</f>
        <v>3.5</v>
      </c>
      <c r="F46" s="224">
        <f>IF(C46="","",INDEX(Odds!K:K,MATCH(C46,Odds!G:G,0)))</f>
        <v>1</v>
      </c>
      <c r="G46" s="211">
        <f>IF(C46="","",Picks!M46)</f>
        <v>0</v>
      </c>
      <c r="H46" s="212">
        <f t="shared" si="4"/>
        <v>0</v>
      </c>
      <c r="I46" s="221" t="str">
        <f t="shared" si="5"/>
        <v>Nigel Heyes</v>
      </c>
      <c r="J46" s="204">
        <f>H134</f>
        <v>0</v>
      </c>
      <c r="K46" s="204">
        <f>H135</f>
        <v>1.2999999999999998</v>
      </c>
      <c r="L46" s="204">
        <f>H136</f>
        <v>1.25</v>
      </c>
      <c r="M46" s="204">
        <f t="shared" si="21"/>
        <v>0</v>
      </c>
      <c r="N46" s="204">
        <f t="shared" si="22"/>
        <v>2.2999999999999998</v>
      </c>
      <c r="O46" s="204">
        <f t="shared" si="2"/>
        <v>2.25</v>
      </c>
      <c r="P46" s="204">
        <f t="shared" si="6"/>
        <v>0</v>
      </c>
      <c r="Q46" s="204">
        <f t="shared" si="7"/>
        <v>5.1749999999999998</v>
      </c>
      <c r="R46" s="204">
        <f t="shared" si="8"/>
        <v>0</v>
      </c>
      <c r="S46" s="204">
        <f t="shared" si="16"/>
        <v>0</v>
      </c>
      <c r="T46" s="204">
        <f t="shared" si="9"/>
        <v>2.7249999999999996</v>
      </c>
      <c r="U46" s="203">
        <f>SUM(G134:G136)</f>
        <v>2</v>
      </c>
      <c r="V46" s="132" t="s">
        <v>318</v>
      </c>
      <c r="W46" s="205">
        <f>SUM(F134:F136)</f>
        <v>3</v>
      </c>
      <c r="X46" s="207">
        <f t="shared" si="23"/>
        <v>2.5</v>
      </c>
      <c r="Y46" s="204">
        <f>X134</f>
        <v>0.8</v>
      </c>
      <c r="Z46" s="204">
        <f>X135</f>
        <v>1.2999999999999998</v>
      </c>
      <c r="AA46" s="204">
        <f>X136</f>
        <v>1.25</v>
      </c>
      <c r="AB46" s="204">
        <f t="shared" si="10"/>
        <v>1.8</v>
      </c>
      <c r="AC46" s="214">
        <f t="shared" si="11"/>
        <v>2.2999999999999998</v>
      </c>
      <c r="AD46" s="204">
        <f t="shared" si="12"/>
        <v>2.25</v>
      </c>
      <c r="AE46" s="204">
        <f t="shared" si="17"/>
        <v>4.1399999999999997</v>
      </c>
      <c r="AF46" s="204">
        <f t="shared" si="18"/>
        <v>5.1749999999999998</v>
      </c>
      <c r="AG46" s="204">
        <f t="shared" si="19"/>
        <v>4.05</v>
      </c>
      <c r="AH46" s="204">
        <f t="shared" si="20"/>
        <v>9.3149999999999995</v>
      </c>
      <c r="AI46" s="215">
        <f t="shared" si="13"/>
        <v>22.03</v>
      </c>
      <c r="AJ46" s="222" t="str">
        <f t="shared" si="14"/>
        <v>Nigel Heyes</v>
      </c>
      <c r="AK46" s="1">
        <f t="shared" si="15"/>
        <v>7</v>
      </c>
    </row>
    <row r="47" spans="2:37">
      <c r="B47" s="209" t="str">
        <f>$V17</f>
        <v>Chris Luck</v>
      </c>
      <c r="C47" s="209" t="str">
        <f>Picks!B47</f>
        <v>Brighton draw</v>
      </c>
      <c r="D47" s="210">
        <f>Picks!C47</f>
        <v>1</v>
      </c>
      <c r="E47" s="207">
        <f>Picks!D47</f>
        <v>3.5</v>
      </c>
      <c r="F47" s="208">
        <f>IF(C47="","",INDEX(Odds!K:K,MATCH(C47,Odds!G:G,0)))</f>
        <v>1</v>
      </c>
      <c r="G47" s="206">
        <f>IF(C47="","",Picks!M47)</f>
        <v>0</v>
      </c>
      <c r="H47" s="207">
        <f t="shared" si="4"/>
        <v>0</v>
      </c>
      <c r="I47" s="221" t="str">
        <f t="shared" si="5"/>
        <v>Oscar Jackson</v>
      </c>
      <c r="J47" s="204" t="str">
        <f>H137</f>
        <v/>
      </c>
      <c r="K47" s="204" t="str">
        <f>H138</f>
        <v/>
      </c>
      <c r="L47" s="204" t="str">
        <f>H139</f>
        <v/>
      </c>
      <c r="M47" s="204" t="e">
        <f t="shared" si="21"/>
        <v>#VALUE!</v>
      </c>
      <c r="N47" s="204" t="e">
        <f t="shared" si="22"/>
        <v>#VALUE!</v>
      </c>
      <c r="O47" s="204" t="e">
        <f t="shared" si="2"/>
        <v>#VALUE!</v>
      </c>
      <c r="P47" s="204" t="e">
        <f t="shared" si="6"/>
        <v>#VALUE!</v>
      </c>
      <c r="Q47" s="204" t="e">
        <f t="shared" si="7"/>
        <v>#VALUE!</v>
      </c>
      <c r="R47" s="204" t="e">
        <f t="shared" si="8"/>
        <v>#VALUE!</v>
      </c>
      <c r="S47" s="204" t="e">
        <f t="shared" si="16"/>
        <v>#VALUE!</v>
      </c>
      <c r="T47" s="204" t="e">
        <f t="shared" si="9"/>
        <v>#VALUE!</v>
      </c>
      <c r="U47" s="203">
        <f>SUM(G137:G139)</f>
        <v>0</v>
      </c>
      <c r="V47" s="135" t="s">
        <v>302</v>
      </c>
      <c r="W47" s="205">
        <f>SUM(F137:F139)</f>
        <v>0</v>
      </c>
      <c r="X47" s="207">
        <f t="shared" si="23"/>
        <v>2.5</v>
      </c>
      <c r="Y47" s="204" t="e">
        <f>X137</f>
        <v>#VALUE!</v>
      </c>
      <c r="Z47" s="204" t="e">
        <f>X138</f>
        <v>#VALUE!</v>
      </c>
      <c r="AA47" s="204" t="e">
        <f>X139</f>
        <v>#VALUE!</v>
      </c>
      <c r="AB47" s="204" t="e">
        <f t="shared" si="10"/>
        <v>#VALUE!</v>
      </c>
      <c r="AC47" s="214" t="e">
        <f t="shared" si="11"/>
        <v>#VALUE!</v>
      </c>
      <c r="AD47" s="204" t="e">
        <f t="shared" si="12"/>
        <v>#VALUE!</v>
      </c>
      <c r="AE47" s="204" t="e">
        <f t="shared" si="17"/>
        <v>#VALUE!</v>
      </c>
      <c r="AF47" s="204" t="e">
        <f t="shared" si="18"/>
        <v>#VALUE!</v>
      </c>
      <c r="AG47" s="204" t="e">
        <f t="shared" si="19"/>
        <v>#VALUE!</v>
      </c>
      <c r="AH47" s="204" t="e">
        <f t="shared" si="20"/>
        <v>#VALUE!</v>
      </c>
      <c r="AI47" s="215" t="e">
        <f t="shared" si="13"/>
        <v>#VALUE!</v>
      </c>
      <c r="AJ47" s="222" t="str">
        <f t="shared" si="14"/>
        <v>Oscar Jackson</v>
      </c>
      <c r="AK47" s="1">
        <f t="shared" si="15"/>
        <v>1</v>
      </c>
    </row>
    <row r="48" spans="2:37">
      <c r="B48" s="206"/>
      <c r="C48" s="206" t="str">
        <f>Picks!B48</f>
        <v>Man C draw</v>
      </c>
      <c r="D48" s="207">
        <f>Picks!C48</f>
        <v>1</v>
      </c>
      <c r="E48" s="207">
        <f>Picks!D48</f>
        <v>6.5</v>
      </c>
      <c r="F48" s="208">
        <f>IF(C48="","",INDEX(Odds!K:K,MATCH(C48,Odds!G:G,0)))</f>
        <v>1</v>
      </c>
      <c r="G48" s="206">
        <f>IF(C48="","",Picks!M48)</f>
        <v>0</v>
      </c>
      <c r="H48" s="207">
        <f t="shared" si="4"/>
        <v>0</v>
      </c>
      <c r="I48" s="221" t="str">
        <f t="shared" si="5"/>
        <v>Paul Adderley</v>
      </c>
      <c r="J48" s="204">
        <f>H140</f>
        <v>0.7</v>
      </c>
      <c r="K48" s="204">
        <f>H141</f>
        <v>0</v>
      </c>
      <c r="L48" s="204">
        <f>H142</f>
        <v>0.44444444444444442</v>
      </c>
      <c r="M48" s="204">
        <f t="shared" si="21"/>
        <v>1.7</v>
      </c>
      <c r="N48" s="204">
        <f t="shared" si="22"/>
        <v>0</v>
      </c>
      <c r="O48" s="204">
        <f t="shared" si="2"/>
        <v>1.4444444444444444</v>
      </c>
      <c r="P48" s="204">
        <f t="shared" si="6"/>
        <v>0</v>
      </c>
      <c r="Q48" s="204">
        <f t="shared" si="7"/>
        <v>0</v>
      </c>
      <c r="R48" s="204">
        <f t="shared" si="8"/>
        <v>2.4555555555555557</v>
      </c>
      <c r="S48" s="204">
        <f t="shared" si="16"/>
        <v>0</v>
      </c>
      <c r="T48" s="204">
        <f t="shared" si="9"/>
        <v>-1.4000000000000004</v>
      </c>
      <c r="U48" s="203">
        <f>SUM(G140:G142)</f>
        <v>2</v>
      </c>
      <c r="V48" s="132" t="s">
        <v>297</v>
      </c>
      <c r="W48" s="205">
        <f>SUM(F140:F142)</f>
        <v>3</v>
      </c>
      <c r="X48" s="207">
        <f t="shared" si="23"/>
        <v>5.5</v>
      </c>
      <c r="Y48" s="204">
        <f>X140</f>
        <v>0.7</v>
      </c>
      <c r="Z48" s="204">
        <f>X141</f>
        <v>0.75</v>
      </c>
      <c r="AA48" s="204">
        <f>X142</f>
        <v>0.44444444444444442</v>
      </c>
      <c r="AB48" s="204">
        <f t="shared" si="10"/>
        <v>1.7</v>
      </c>
      <c r="AC48" s="214">
        <f t="shared" si="11"/>
        <v>1.75</v>
      </c>
      <c r="AD48" s="204">
        <f t="shared" si="12"/>
        <v>1.4444444444444444</v>
      </c>
      <c r="AE48" s="204">
        <f t="shared" si="17"/>
        <v>2.9749999999999996</v>
      </c>
      <c r="AF48" s="204">
        <f t="shared" si="18"/>
        <v>2.5277777777777777</v>
      </c>
      <c r="AG48" s="204">
        <f t="shared" si="19"/>
        <v>2.4555555555555557</v>
      </c>
      <c r="AH48" s="204">
        <f t="shared" si="20"/>
        <v>4.2972222222222216</v>
      </c>
      <c r="AI48" s="215">
        <f t="shared" si="13"/>
        <v>10.149999999999999</v>
      </c>
      <c r="AJ48" s="222" t="str">
        <f t="shared" si="14"/>
        <v>Paul Adderley</v>
      </c>
      <c r="AK48" s="1">
        <f t="shared" si="15"/>
        <v>7</v>
      </c>
    </row>
    <row r="49" spans="2:37" ht="13.15" thickBot="1">
      <c r="B49" s="211"/>
      <c r="C49" s="211" t="str">
        <f>Picks!B49</f>
        <v>Spurs draw</v>
      </c>
      <c r="D49" s="212">
        <f>Picks!C49</f>
        <v>1</v>
      </c>
      <c r="E49" s="212">
        <f>Picks!D49</f>
        <v>3.75</v>
      </c>
      <c r="F49" s="224">
        <f>IF(C49="","",INDEX(Odds!K:K,MATCH(C49,Odds!G:G,0)))</f>
        <v>1</v>
      </c>
      <c r="G49" s="211">
        <f>IF(C49="","",Picks!M49)</f>
        <v>0</v>
      </c>
      <c r="H49" s="212">
        <f t="shared" si="4"/>
        <v>0</v>
      </c>
      <c r="I49" s="221" t="str">
        <f t="shared" si="5"/>
        <v>Paul Allen</v>
      </c>
      <c r="J49" s="204">
        <f>H143</f>
        <v>0.85000000000000009</v>
      </c>
      <c r="K49" s="204">
        <f>H144</f>
        <v>0.7</v>
      </c>
      <c r="L49" s="204">
        <f>H145</f>
        <v>0</v>
      </c>
      <c r="M49" s="204">
        <f t="shared" si="21"/>
        <v>1.85</v>
      </c>
      <c r="N49" s="204">
        <f t="shared" si="22"/>
        <v>1.7</v>
      </c>
      <c r="O49" s="204">
        <f t="shared" si="2"/>
        <v>0</v>
      </c>
      <c r="P49" s="204">
        <f t="shared" si="6"/>
        <v>3.145</v>
      </c>
      <c r="Q49" s="204">
        <f t="shared" si="7"/>
        <v>0</v>
      </c>
      <c r="R49" s="204">
        <f t="shared" si="8"/>
        <v>0</v>
      </c>
      <c r="S49" s="204">
        <f t="shared" si="16"/>
        <v>0</v>
      </c>
      <c r="T49" s="204">
        <f t="shared" si="9"/>
        <v>-0.30499999999999972</v>
      </c>
      <c r="U49" s="203">
        <f>SUM(G143:G145)</f>
        <v>2</v>
      </c>
      <c r="V49" s="135" t="s">
        <v>287</v>
      </c>
      <c r="W49" s="205">
        <f>SUM(F143:F145)</f>
        <v>3</v>
      </c>
      <c r="X49" s="207">
        <f t="shared" si="23"/>
        <v>2.75</v>
      </c>
      <c r="Y49" s="204">
        <f>X143</f>
        <v>0.85000000000000009</v>
      </c>
      <c r="Z49" s="204">
        <f>X144</f>
        <v>0.7</v>
      </c>
      <c r="AA49" s="204">
        <f>X145</f>
        <v>0.75</v>
      </c>
      <c r="AB49" s="204">
        <f t="shared" si="10"/>
        <v>1.85</v>
      </c>
      <c r="AC49" s="214">
        <f t="shared" si="11"/>
        <v>1.7</v>
      </c>
      <c r="AD49" s="204">
        <f t="shared" si="12"/>
        <v>1.75</v>
      </c>
      <c r="AE49" s="204">
        <f t="shared" si="17"/>
        <v>3.145</v>
      </c>
      <c r="AF49" s="204">
        <f t="shared" si="18"/>
        <v>2.9749999999999996</v>
      </c>
      <c r="AG49" s="204">
        <f t="shared" si="19"/>
        <v>3.2375000000000003</v>
      </c>
      <c r="AH49" s="204">
        <f t="shared" si="20"/>
        <v>5.5037500000000001</v>
      </c>
      <c r="AI49" s="215">
        <f t="shared" si="13"/>
        <v>13.161250000000003</v>
      </c>
      <c r="AJ49" s="222" t="str">
        <f t="shared" si="14"/>
        <v>Paul Allen</v>
      </c>
      <c r="AK49" s="1">
        <f t="shared" si="15"/>
        <v>7</v>
      </c>
    </row>
    <row r="50" spans="2:37">
      <c r="B50" s="210" t="str">
        <f>$V18</f>
        <v>Chris Townsend</v>
      </c>
      <c r="C50" s="209" t="str">
        <f>Picks!B50</f>
        <v>Chelsea</v>
      </c>
      <c r="D50" s="210">
        <f>Picks!C50</f>
        <v>1</v>
      </c>
      <c r="E50" s="207">
        <f>Picks!D50</f>
        <v>1.6153846153846154</v>
      </c>
      <c r="F50" s="208">
        <f>IF(C50="","",INDEX(Odds!K:K,MATCH(C50,Odds!G:G,0)))</f>
        <v>1</v>
      </c>
      <c r="G50" s="206">
        <f>IF(C50="","",Picks!M50)</f>
        <v>1</v>
      </c>
      <c r="H50" s="207">
        <f t="shared" si="4"/>
        <v>0.61538461538461542</v>
      </c>
      <c r="I50" s="221" t="str">
        <f t="shared" si="5"/>
        <v>Paul Barnes</v>
      </c>
      <c r="J50" s="204">
        <f>H146</f>
        <v>0.44444444444444442</v>
      </c>
      <c r="K50" s="204">
        <f>H147</f>
        <v>0</v>
      </c>
      <c r="L50" s="204">
        <f>H148</f>
        <v>0</v>
      </c>
      <c r="M50" s="204">
        <f t="shared" si="21"/>
        <v>1.4444444444444444</v>
      </c>
      <c r="N50" s="204">
        <f t="shared" si="22"/>
        <v>0</v>
      </c>
      <c r="O50" s="204">
        <f t="shared" si="2"/>
        <v>0</v>
      </c>
      <c r="P50" s="204">
        <f t="shared" si="6"/>
        <v>0</v>
      </c>
      <c r="Q50" s="204">
        <f t="shared" si="7"/>
        <v>0</v>
      </c>
      <c r="R50" s="204">
        <f t="shared" si="8"/>
        <v>0</v>
      </c>
      <c r="S50" s="204">
        <f t="shared" si="16"/>
        <v>0</v>
      </c>
      <c r="T50" s="204">
        <f t="shared" si="9"/>
        <v>-5.5555555555555554</v>
      </c>
      <c r="U50" s="203">
        <f>SUM(G146:G148)</f>
        <v>1</v>
      </c>
      <c r="V50" s="135" t="s">
        <v>309</v>
      </c>
      <c r="W50" s="205">
        <f>SUM(F146:F148)</f>
        <v>3</v>
      </c>
      <c r="X50" s="207">
        <f t="shared" si="23"/>
        <v>0.61538461538461542</v>
      </c>
      <c r="Y50" s="204">
        <f>X146</f>
        <v>0.44444444444444442</v>
      </c>
      <c r="Z50" s="204">
        <f>X147</f>
        <v>3.2</v>
      </c>
      <c r="AA50" s="204">
        <f>X148</f>
        <v>2.75</v>
      </c>
      <c r="AB50" s="204">
        <f t="shared" si="10"/>
        <v>1.4444444444444444</v>
      </c>
      <c r="AC50" s="214">
        <f t="shared" si="11"/>
        <v>4.2</v>
      </c>
      <c r="AD50" s="204">
        <f t="shared" si="12"/>
        <v>3.75</v>
      </c>
      <c r="AE50" s="204">
        <f t="shared" si="17"/>
        <v>6.0666666666666673</v>
      </c>
      <c r="AF50" s="204">
        <f t="shared" si="18"/>
        <v>15.75</v>
      </c>
      <c r="AG50" s="204">
        <f t="shared" si="19"/>
        <v>5.4166666666666661</v>
      </c>
      <c r="AH50" s="204">
        <f t="shared" si="20"/>
        <v>22.75</v>
      </c>
      <c r="AI50" s="215">
        <f t="shared" si="13"/>
        <v>52.37777777777778</v>
      </c>
      <c r="AJ50" s="222" t="str">
        <f t="shared" si="14"/>
        <v>Paul Barnes</v>
      </c>
      <c r="AK50" s="1">
        <f t="shared" si="15"/>
        <v>7</v>
      </c>
    </row>
    <row r="51" spans="2:37">
      <c r="B51" s="206"/>
      <c r="C51" s="206" t="str">
        <f>Picks!B51</f>
        <v>Brighton</v>
      </c>
      <c r="D51" s="207">
        <f>Picks!C51</f>
        <v>1</v>
      </c>
      <c r="E51" s="207">
        <f>Picks!D51</f>
        <v>1.85</v>
      </c>
      <c r="F51" s="208">
        <f>IF(C51="","",INDEX(Odds!K:K,MATCH(C51,Odds!G:G,0)))</f>
        <v>1</v>
      </c>
      <c r="G51" s="206">
        <f>IF(C51="","",Picks!M51)</f>
        <v>1</v>
      </c>
      <c r="H51" s="207">
        <f t="shared" si="4"/>
        <v>0.85000000000000009</v>
      </c>
      <c r="I51" s="221" t="str">
        <f t="shared" si="5"/>
        <v>Paul Fairhurst</v>
      </c>
      <c r="J51" s="204">
        <f>H149</f>
        <v>0</v>
      </c>
      <c r="K51" s="204">
        <f>H150</f>
        <v>0</v>
      </c>
      <c r="L51" s="204">
        <f>H151</f>
        <v>0</v>
      </c>
      <c r="M51" s="204">
        <f t="shared" si="21"/>
        <v>0</v>
      </c>
      <c r="N51" s="204">
        <f t="shared" si="22"/>
        <v>0</v>
      </c>
      <c r="O51" s="204">
        <f t="shared" si="2"/>
        <v>0</v>
      </c>
      <c r="P51" s="204">
        <f t="shared" si="6"/>
        <v>0</v>
      </c>
      <c r="Q51" s="204">
        <f t="shared" si="7"/>
        <v>0</v>
      </c>
      <c r="R51" s="204">
        <f t="shared" si="8"/>
        <v>0</v>
      </c>
      <c r="S51" s="204">
        <f t="shared" si="16"/>
        <v>0</v>
      </c>
      <c r="T51" s="204">
        <f t="shared" si="9"/>
        <v>-1</v>
      </c>
      <c r="U51" s="203">
        <f>SUM(G149:G151)</f>
        <v>0</v>
      </c>
      <c r="V51" s="135" t="s">
        <v>314</v>
      </c>
      <c r="W51" s="205">
        <f>SUM(F149:F151)</f>
        <v>1</v>
      </c>
      <c r="X51" s="207">
        <f t="shared" si="23"/>
        <v>0.85000000000000009</v>
      </c>
      <c r="Y51" s="204">
        <f>X149</f>
        <v>0</v>
      </c>
      <c r="Z51" s="204">
        <f>X150</f>
        <v>2</v>
      </c>
      <c r="AA51" s="204">
        <f>X151</f>
        <v>0</v>
      </c>
      <c r="AB51" s="204">
        <f t="shared" si="10"/>
        <v>0</v>
      </c>
      <c r="AC51" s="214">
        <f t="shared" si="11"/>
        <v>3</v>
      </c>
      <c r="AD51" s="204">
        <f t="shared" si="12"/>
        <v>0</v>
      </c>
      <c r="AE51" s="204">
        <f t="shared" si="17"/>
        <v>0</v>
      </c>
      <c r="AF51" s="204">
        <f t="shared" si="18"/>
        <v>0</v>
      </c>
      <c r="AG51" s="204">
        <f t="shared" si="19"/>
        <v>0</v>
      </c>
      <c r="AH51" s="204">
        <f t="shared" si="20"/>
        <v>0</v>
      </c>
      <c r="AI51" s="215">
        <f t="shared" si="13"/>
        <v>2</v>
      </c>
      <c r="AJ51" s="222" t="str">
        <f t="shared" si="14"/>
        <v>Paul Fairhurst</v>
      </c>
      <c r="AK51" s="1">
        <f t="shared" si="15"/>
        <v>1</v>
      </c>
    </row>
    <row r="52" spans="2:37" ht="13.15" thickBot="1">
      <c r="B52" s="211"/>
      <c r="C52" s="211" t="str">
        <f>Picks!B52</f>
        <v>Southend</v>
      </c>
      <c r="D52" s="212">
        <f>Picks!C52</f>
        <v>1</v>
      </c>
      <c r="E52" s="212">
        <f>Picks!D52</f>
        <v>4.75</v>
      </c>
      <c r="F52" s="224">
        <f>IF(C52="","",INDEX(Odds!K:K,MATCH(C52,Odds!G:G,0)))</f>
        <v>1</v>
      </c>
      <c r="G52" s="211">
        <f>IF(C52="","",Picks!M52)</f>
        <v>0</v>
      </c>
      <c r="H52" s="212">
        <f t="shared" si="4"/>
        <v>0</v>
      </c>
      <c r="I52" s="221" t="str">
        <f t="shared" si="5"/>
        <v>Paul Fiddler</v>
      </c>
      <c r="J52" s="204">
        <f>H152</f>
        <v>0.44444444444444442</v>
      </c>
      <c r="K52" s="204">
        <f>H153</f>
        <v>0.7</v>
      </c>
      <c r="L52" s="204">
        <f>H154</f>
        <v>0</v>
      </c>
      <c r="M52" s="204">
        <f t="shared" si="21"/>
        <v>1.4444444444444444</v>
      </c>
      <c r="N52" s="204">
        <f t="shared" si="22"/>
        <v>1.7</v>
      </c>
      <c r="O52" s="204">
        <f t="shared" si="2"/>
        <v>0</v>
      </c>
      <c r="P52" s="204">
        <f t="shared" si="6"/>
        <v>2.4555555555555557</v>
      </c>
      <c r="Q52" s="204">
        <f t="shared" si="7"/>
        <v>0</v>
      </c>
      <c r="R52" s="204">
        <f t="shared" si="8"/>
        <v>0</v>
      </c>
      <c r="S52" s="204">
        <f t="shared" si="16"/>
        <v>0</v>
      </c>
      <c r="T52" s="204">
        <f t="shared" si="9"/>
        <v>-1.4000000000000004</v>
      </c>
      <c r="U52" s="203">
        <f>SUM(G152:G154)</f>
        <v>2</v>
      </c>
      <c r="V52" s="132" t="s">
        <v>291</v>
      </c>
      <c r="W52" s="205">
        <f>SUM(F152:F154)</f>
        <v>3</v>
      </c>
      <c r="X52" s="207">
        <f t="shared" si="23"/>
        <v>3.75</v>
      </c>
      <c r="Y52" s="204">
        <f>X152</f>
        <v>0.44444444444444442</v>
      </c>
      <c r="Z52" s="204">
        <f>X153</f>
        <v>0.7</v>
      </c>
      <c r="AA52" s="204">
        <f>X154</f>
        <v>0.75</v>
      </c>
      <c r="AB52" s="204">
        <f t="shared" si="10"/>
        <v>1.4444444444444444</v>
      </c>
      <c r="AC52" s="214">
        <f t="shared" si="11"/>
        <v>1.7</v>
      </c>
      <c r="AD52" s="204">
        <f t="shared" si="12"/>
        <v>1.75</v>
      </c>
      <c r="AE52" s="204">
        <f t="shared" si="17"/>
        <v>2.4555555555555557</v>
      </c>
      <c r="AF52" s="204">
        <f t="shared" si="18"/>
        <v>2.9749999999999996</v>
      </c>
      <c r="AG52" s="204">
        <f t="shared" si="19"/>
        <v>2.5277777777777777</v>
      </c>
      <c r="AH52" s="204">
        <f t="shared" si="20"/>
        <v>4.2972222222222225</v>
      </c>
      <c r="AI52" s="215">
        <f t="shared" si="13"/>
        <v>10.149999999999999</v>
      </c>
      <c r="AJ52" s="222" t="str">
        <f t="shared" si="14"/>
        <v>Paul Fiddler</v>
      </c>
      <c r="AK52" s="1">
        <f t="shared" si="15"/>
        <v>7</v>
      </c>
    </row>
    <row r="53" spans="2:37">
      <c r="B53" s="206" t="str">
        <f>$V19</f>
        <v>Dan Gibbard</v>
      </c>
      <c r="C53" s="206" t="str">
        <f>Picks!B53</f>
        <v>Blackburn</v>
      </c>
      <c r="D53" s="207">
        <f>Picks!C53</f>
        <v>1</v>
      </c>
      <c r="E53" s="207">
        <f>Picks!D53</f>
        <v>2.4</v>
      </c>
      <c r="F53" s="208">
        <f>IF(C53="","",INDEX(Odds!K:K,MATCH(C53,Odds!G:G,0)))</f>
        <v>0</v>
      </c>
      <c r="G53" s="206">
        <f>IF(C53="","",Picks!M53)</f>
        <v>0</v>
      </c>
      <c r="H53" s="207">
        <f t="shared" si="4"/>
        <v>0</v>
      </c>
      <c r="I53" s="221" t="str">
        <f t="shared" si="5"/>
        <v>Pete Baron</v>
      </c>
      <c r="J53" s="204">
        <f>H155</f>
        <v>0</v>
      </c>
      <c r="K53" s="204">
        <f>H156</f>
        <v>0</v>
      </c>
      <c r="L53" s="204">
        <f>H157</f>
        <v>0</v>
      </c>
      <c r="M53" s="204">
        <f t="shared" si="21"/>
        <v>0</v>
      </c>
      <c r="N53" s="204">
        <f t="shared" si="22"/>
        <v>0</v>
      </c>
      <c r="O53" s="204">
        <f t="shared" si="2"/>
        <v>0</v>
      </c>
      <c r="P53" s="204">
        <f t="shared" si="6"/>
        <v>0</v>
      </c>
      <c r="Q53" s="204">
        <f t="shared" si="7"/>
        <v>0</v>
      </c>
      <c r="R53" s="204">
        <f t="shared" si="8"/>
        <v>0</v>
      </c>
      <c r="S53" s="204">
        <f t="shared" si="16"/>
        <v>0</v>
      </c>
      <c r="T53" s="204">
        <f t="shared" si="9"/>
        <v>-7</v>
      </c>
      <c r="U53" s="203">
        <f>SUM(G155:G157)</f>
        <v>0</v>
      </c>
      <c r="V53" s="135" t="s">
        <v>322</v>
      </c>
      <c r="W53" s="205">
        <f>SUM(F155:F157)</f>
        <v>3</v>
      </c>
      <c r="X53" s="207">
        <f t="shared" si="23"/>
        <v>0</v>
      </c>
      <c r="Y53" s="204">
        <f>X155</f>
        <v>5.5</v>
      </c>
      <c r="Z53" s="204">
        <f>X156</f>
        <v>4.8</v>
      </c>
      <c r="AA53" s="204">
        <f>X157</f>
        <v>3.8</v>
      </c>
      <c r="AB53" s="204">
        <f t="shared" si="10"/>
        <v>6.5</v>
      </c>
      <c r="AC53" s="214">
        <f t="shared" si="11"/>
        <v>5.8</v>
      </c>
      <c r="AD53" s="204">
        <f t="shared" si="12"/>
        <v>4.8</v>
      </c>
      <c r="AE53" s="204">
        <f t="shared" si="17"/>
        <v>37.700000000000003</v>
      </c>
      <c r="AF53" s="204">
        <f t="shared" si="18"/>
        <v>27.84</v>
      </c>
      <c r="AG53" s="204">
        <f t="shared" si="19"/>
        <v>31.2</v>
      </c>
      <c r="AH53" s="204">
        <f t="shared" si="20"/>
        <v>180.95999999999998</v>
      </c>
      <c r="AI53" s="215">
        <f t="shared" si="13"/>
        <v>287.79999999999995</v>
      </c>
      <c r="AJ53" s="222" t="str">
        <f t="shared" si="14"/>
        <v>Pete Baron</v>
      </c>
      <c r="AK53" s="1">
        <f t="shared" si="15"/>
        <v>7</v>
      </c>
    </row>
    <row r="54" spans="2:37">
      <c r="B54" s="206"/>
      <c r="C54" s="206" t="str">
        <f>Picks!B54</f>
        <v>Brighton Draw</v>
      </c>
      <c r="D54" s="207">
        <f>Picks!C54</f>
        <v>1</v>
      </c>
      <c r="E54" s="207">
        <f>Picks!D54</f>
        <v>3.5</v>
      </c>
      <c r="F54" s="208">
        <f>IF(C54="","",INDEX(Odds!K:K,MATCH(C54,Odds!G:G,0)))</f>
        <v>1</v>
      </c>
      <c r="G54" s="206">
        <f>IF(C54="","",Picks!M54)</f>
        <v>0</v>
      </c>
      <c r="H54" s="207">
        <f t="shared" si="4"/>
        <v>0</v>
      </c>
      <c r="I54" s="221" t="str">
        <f t="shared" si="5"/>
        <v>Phil Miller</v>
      </c>
      <c r="J54" s="204">
        <f>H158</f>
        <v>0.7</v>
      </c>
      <c r="K54" s="204">
        <f>H159</f>
        <v>0</v>
      </c>
      <c r="L54" s="204">
        <f>H160</f>
        <v>0.61538461538461542</v>
      </c>
      <c r="M54" s="204">
        <f t="shared" si="21"/>
        <v>1.7</v>
      </c>
      <c r="N54" s="204">
        <f t="shared" si="22"/>
        <v>0</v>
      </c>
      <c r="O54" s="204">
        <f t="shared" si="2"/>
        <v>1.6153846153846154</v>
      </c>
      <c r="P54" s="204">
        <f t="shared" si="6"/>
        <v>0</v>
      </c>
      <c r="Q54" s="204">
        <f t="shared" si="7"/>
        <v>0</v>
      </c>
      <c r="R54" s="204">
        <f t="shared" si="8"/>
        <v>2.7461538461538462</v>
      </c>
      <c r="S54" s="204">
        <f t="shared" si="16"/>
        <v>0</v>
      </c>
      <c r="T54" s="204">
        <f t="shared" si="9"/>
        <v>-0.93846153846153868</v>
      </c>
      <c r="U54" s="203">
        <f>SUM(G158:G160)</f>
        <v>2</v>
      </c>
      <c r="V54" s="134" t="s">
        <v>325</v>
      </c>
      <c r="W54" s="205">
        <f>SUM(F158:F160)</f>
        <v>3</v>
      </c>
      <c r="X54" s="207">
        <f t="shared" si="23"/>
        <v>2.5</v>
      </c>
      <c r="Y54" s="204">
        <f>X158</f>
        <v>0.7</v>
      </c>
      <c r="Z54" s="204">
        <f>X159</f>
        <v>0.75</v>
      </c>
      <c r="AA54" s="204">
        <f>X160</f>
        <v>0.61538461538461542</v>
      </c>
      <c r="AB54" s="204">
        <f t="shared" si="10"/>
        <v>1.7</v>
      </c>
      <c r="AC54" s="214">
        <f t="shared" si="11"/>
        <v>1.75</v>
      </c>
      <c r="AD54" s="204">
        <f t="shared" si="12"/>
        <v>1.6153846153846154</v>
      </c>
      <c r="AE54" s="204">
        <f t="shared" si="17"/>
        <v>2.9749999999999996</v>
      </c>
      <c r="AF54" s="204">
        <f t="shared" si="18"/>
        <v>2.8269230769230771</v>
      </c>
      <c r="AG54" s="204">
        <f t="shared" si="19"/>
        <v>2.7461538461538462</v>
      </c>
      <c r="AH54" s="204">
        <f t="shared" si="20"/>
        <v>4.8057692307692301</v>
      </c>
      <c r="AI54" s="215">
        <f t="shared" si="13"/>
        <v>11.419230769230769</v>
      </c>
      <c r="AJ54" s="222" t="str">
        <f t="shared" si="14"/>
        <v>Phil Miller</v>
      </c>
      <c r="AK54" s="1">
        <f t="shared" si="15"/>
        <v>7</v>
      </c>
    </row>
    <row r="55" spans="2:37" ht="13.15" thickBot="1">
      <c r="B55" s="211"/>
      <c r="C55" s="211" t="str">
        <f>Picks!B55</f>
        <v>Spurs</v>
      </c>
      <c r="D55" s="212">
        <f>Picks!C55</f>
        <v>1</v>
      </c>
      <c r="E55" s="212">
        <f>Picks!D55</f>
        <v>1.7</v>
      </c>
      <c r="F55" s="224">
        <f>IF(C55="","",INDEX(Odds!K:K,MATCH(C55,Odds!G:G,0)))</f>
        <v>1</v>
      </c>
      <c r="G55" s="211">
        <f>IF(C55="","",Picks!M55)</f>
        <v>1</v>
      </c>
      <c r="H55" s="212">
        <f t="shared" si="4"/>
        <v>0.7</v>
      </c>
      <c r="I55" s="221" t="str">
        <f t="shared" si="5"/>
        <v>Rob England</v>
      </c>
      <c r="J55" s="204">
        <f>H161</f>
        <v>0.44444444444444442</v>
      </c>
      <c r="K55" s="204">
        <f>H162</f>
        <v>0.90909090909090917</v>
      </c>
      <c r="L55" s="204">
        <f>H163</f>
        <v>1.2999999999999998</v>
      </c>
      <c r="M55" s="204">
        <f t="shared" si="21"/>
        <v>1.4444444444444444</v>
      </c>
      <c r="N55" s="204">
        <f t="shared" si="22"/>
        <v>1.9090909090909092</v>
      </c>
      <c r="O55" s="204">
        <f t="shared" si="2"/>
        <v>2.2999999999999998</v>
      </c>
      <c r="P55" s="204">
        <f t="shared" si="6"/>
        <v>2.7575757575757578</v>
      </c>
      <c r="Q55" s="204">
        <f t="shared" si="7"/>
        <v>4.3909090909090907</v>
      </c>
      <c r="R55" s="204">
        <f t="shared" si="8"/>
        <v>3.322222222222222</v>
      </c>
      <c r="S55" s="204">
        <f t="shared" si="16"/>
        <v>6.3424242424242419</v>
      </c>
      <c r="T55" s="204">
        <f t="shared" si="9"/>
        <v>15.466666666666669</v>
      </c>
      <c r="U55" s="203">
        <f>SUM(G161:G163)</f>
        <v>3</v>
      </c>
      <c r="V55" s="132" t="s">
        <v>313</v>
      </c>
      <c r="W55" s="205">
        <f>SUM(F161:F163)</f>
        <v>3</v>
      </c>
      <c r="X55" s="207">
        <f t="shared" si="23"/>
        <v>0.7</v>
      </c>
      <c r="Y55" s="204">
        <f>X161</f>
        <v>0.44444444444444442</v>
      </c>
      <c r="Z55" s="204">
        <f>X162</f>
        <v>0.90909090909090917</v>
      </c>
      <c r="AA55" s="204">
        <f>X163</f>
        <v>1.2999999999999998</v>
      </c>
      <c r="AB55" s="204">
        <f t="shared" si="10"/>
        <v>1.4444444444444444</v>
      </c>
      <c r="AC55" s="214">
        <f t="shared" si="11"/>
        <v>1.9090909090909092</v>
      </c>
      <c r="AD55" s="204">
        <f t="shared" si="12"/>
        <v>2.2999999999999998</v>
      </c>
      <c r="AE55" s="204">
        <f t="shared" si="17"/>
        <v>2.7575757575757578</v>
      </c>
      <c r="AF55" s="204">
        <f t="shared" si="18"/>
        <v>4.3909090909090907</v>
      </c>
      <c r="AG55" s="204">
        <f t="shared" si="19"/>
        <v>3.322222222222222</v>
      </c>
      <c r="AH55" s="204">
        <f t="shared" si="20"/>
        <v>6.3424242424242419</v>
      </c>
      <c r="AI55" s="215">
        <f t="shared" si="13"/>
        <v>15.466666666666669</v>
      </c>
      <c r="AJ55" s="222" t="str">
        <f t="shared" si="14"/>
        <v>Rob England</v>
      </c>
      <c r="AK55" s="1">
        <f t="shared" si="15"/>
        <v>7</v>
      </c>
    </row>
    <row r="56" spans="2:37">
      <c r="B56" s="206" t="str">
        <f>$V20</f>
        <v>Dave Bell</v>
      </c>
      <c r="C56" s="206" t="str">
        <f>Picks!B56</f>
        <v>Leicester</v>
      </c>
      <c r="D56" s="207">
        <f>Picks!C56</f>
        <v>1</v>
      </c>
      <c r="E56" s="207">
        <f>Picks!D56</f>
        <v>13</v>
      </c>
      <c r="F56" s="208">
        <f>IF(C56="","",INDEX(Odds!K:K,MATCH(C56,Odds!G:G,0)))</f>
        <v>1</v>
      </c>
      <c r="G56" s="206">
        <f>IF(C56="","",Picks!M56)</f>
        <v>0</v>
      </c>
      <c r="H56" s="207">
        <f t="shared" si="4"/>
        <v>0</v>
      </c>
      <c r="I56" s="221" t="str">
        <f t="shared" si="5"/>
        <v>Sally Williams</v>
      </c>
      <c r="J56" s="204">
        <f>H164</f>
        <v>0</v>
      </c>
      <c r="K56" s="204">
        <f>H165</f>
        <v>0</v>
      </c>
      <c r="L56" s="204">
        <f>H166</f>
        <v>0</v>
      </c>
      <c r="M56" s="204">
        <f t="shared" si="21"/>
        <v>0</v>
      </c>
      <c r="N56" s="204">
        <f t="shared" si="22"/>
        <v>0</v>
      </c>
      <c r="O56" s="204">
        <f t="shared" si="2"/>
        <v>0</v>
      </c>
      <c r="P56" s="204">
        <f t="shared" si="6"/>
        <v>0</v>
      </c>
      <c r="Q56" s="204">
        <f t="shared" si="7"/>
        <v>0</v>
      </c>
      <c r="R56" s="204">
        <f t="shared" si="8"/>
        <v>0</v>
      </c>
      <c r="S56" s="204">
        <f t="shared" si="16"/>
        <v>0</v>
      </c>
      <c r="T56" s="204">
        <f t="shared" si="9"/>
        <v>-7</v>
      </c>
      <c r="U56" s="203">
        <f>SUM(G164:G166)</f>
        <v>0</v>
      </c>
      <c r="V56" s="132" t="s">
        <v>296</v>
      </c>
      <c r="W56" s="205">
        <f>SUM(F164:F166)</f>
        <v>3</v>
      </c>
      <c r="X56" s="207">
        <f t="shared" si="23"/>
        <v>12</v>
      </c>
      <c r="Y56" s="204">
        <f>X164</f>
        <v>2.5</v>
      </c>
      <c r="Z56" s="204">
        <f>X165</f>
        <v>2.2999999999999998</v>
      </c>
      <c r="AA56" s="214">
        <f>X166</f>
        <v>2.2000000000000002</v>
      </c>
      <c r="AB56" s="204">
        <f t="shared" si="10"/>
        <v>3.5</v>
      </c>
      <c r="AC56" s="214">
        <f t="shared" si="11"/>
        <v>3.3</v>
      </c>
      <c r="AD56" s="204">
        <f t="shared" si="12"/>
        <v>3.2</v>
      </c>
      <c r="AE56" s="204">
        <f t="shared" si="17"/>
        <v>11.549999999999999</v>
      </c>
      <c r="AF56" s="204">
        <f t="shared" si="18"/>
        <v>10.559999999999999</v>
      </c>
      <c r="AG56" s="204">
        <f t="shared" si="19"/>
        <v>11.2</v>
      </c>
      <c r="AH56" s="204">
        <f t="shared" si="20"/>
        <v>36.96</v>
      </c>
      <c r="AI56" s="215">
        <f t="shared" si="13"/>
        <v>73.27000000000001</v>
      </c>
      <c r="AJ56" s="222" t="str">
        <f t="shared" si="14"/>
        <v>Sally Williams</v>
      </c>
      <c r="AK56" s="1">
        <f t="shared" si="15"/>
        <v>7</v>
      </c>
    </row>
    <row r="57" spans="2:37">
      <c r="B57" s="209"/>
      <c r="C57" s="209" t="str">
        <f>Picks!B57</f>
        <v>Norwich</v>
      </c>
      <c r="D57" s="210">
        <f>Picks!C57</f>
        <v>1</v>
      </c>
      <c r="E57" s="207">
        <f>Picks!D57</f>
        <v>7.5</v>
      </c>
      <c r="F57" s="208">
        <f>IF(C57="","",INDEX(Odds!K:K,MATCH(C57,Odds!G:G,0)))</f>
        <v>1</v>
      </c>
      <c r="G57" s="206">
        <f>IF(C57="","",Picks!M57)</f>
        <v>0</v>
      </c>
      <c r="H57" s="207">
        <f t="shared" si="4"/>
        <v>0</v>
      </c>
      <c r="I57" s="221" t="str">
        <f t="shared" si="5"/>
        <v>Simon Greenhalgh</v>
      </c>
      <c r="J57" s="204">
        <f>H167</f>
        <v>0</v>
      </c>
      <c r="K57" s="204">
        <f>H168</f>
        <v>1.2999999999999998</v>
      </c>
      <c r="L57" s="204">
        <f>H169</f>
        <v>1.1499999999999999</v>
      </c>
      <c r="M57" s="204">
        <f t="shared" si="21"/>
        <v>0</v>
      </c>
      <c r="N57" s="204">
        <f t="shared" si="22"/>
        <v>2.2999999999999998</v>
      </c>
      <c r="O57" s="204">
        <f t="shared" si="2"/>
        <v>2.15</v>
      </c>
      <c r="P57" s="204">
        <f t="shared" si="6"/>
        <v>0</v>
      </c>
      <c r="Q57" s="204">
        <f t="shared" si="7"/>
        <v>4.9449999999999994</v>
      </c>
      <c r="R57" s="204">
        <f t="shared" si="8"/>
        <v>0</v>
      </c>
      <c r="S57" s="204">
        <f t="shared" si="16"/>
        <v>0</v>
      </c>
      <c r="T57" s="204">
        <f t="shared" si="9"/>
        <v>2.3949999999999996</v>
      </c>
      <c r="U57" s="203">
        <f>SUM(G167:G169)</f>
        <v>2</v>
      </c>
      <c r="V57" s="135" t="s">
        <v>315</v>
      </c>
      <c r="W57" s="205">
        <f>SUM(F167:F169)</f>
        <v>3</v>
      </c>
      <c r="X57" s="207">
        <f t="shared" si="23"/>
        <v>6.5</v>
      </c>
      <c r="Y57" s="204">
        <f>X167</f>
        <v>1.2000000000000002</v>
      </c>
      <c r="Z57" s="204">
        <f>X168</f>
        <v>1.2999999999999998</v>
      </c>
      <c r="AA57" s="204">
        <f>X169</f>
        <v>1.1499999999999999</v>
      </c>
      <c r="AB57" s="204">
        <f t="shared" si="10"/>
        <v>2.2000000000000002</v>
      </c>
      <c r="AC57" s="214">
        <f t="shared" si="11"/>
        <v>2.2999999999999998</v>
      </c>
      <c r="AD57" s="204">
        <f t="shared" si="12"/>
        <v>2.15</v>
      </c>
      <c r="AE57" s="204">
        <f t="shared" si="17"/>
        <v>5.0600000000000005</v>
      </c>
      <c r="AF57" s="204">
        <f t="shared" si="18"/>
        <v>4.9449999999999994</v>
      </c>
      <c r="AG57" s="204">
        <f t="shared" si="19"/>
        <v>4.7300000000000004</v>
      </c>
      <c r="AH57" s="204">
        <f t="shared" si="20"/>
        <v>10.879000000000001</v>
      </c>
      <c r="AI57" s="215">
        <f t="shared" si="13"/>
        <v>25.264000000000003</v>
      </c>
      <c r="AJ57" s="222" t="str">
        <f t="shared" si="14"/>
        <v>Simon Greenhalgh</v>
      </c>
      <c r="AK57" s="1">
        <f t="shared" si="15"/>
        <v>7</v>
      </c>
    </row>
    <row r="58" spans="2:37" ht="13.15" thickBot="1">
      <c r="B58" s="211"/>
      <c r="C58" s="211" t="str">
        <f>Picks!B58</f>
        <v>Villa</v>
      </c>
      <c r="D58" s="212">
        <f>Picks!C58</f>
        <v>1</v>
      </c>
      <c r="E58" s="212">
        <f>Picks!D58</f>
        <v>5.8</v>
      </c>
      <c r="F58" s="224">
        <f>IF(C58="","",INDEX(Odds!K:K,MATCH(C58,Odds!G:G,0)))</f>
        <v>1</v>
      </c>
      <c r="G58" s="211">
        <f>IF(C58="","",Picks!M58)</f>
        <v>0</v>
      </c>
      <c r="H58" s="212">
        <f t="shared" si="4"/>
        <v>0</v>
      </c>
      <c r="I58" s="221" t="str">
        <f t="shared" si="5"/>
        <v>Stephen Barr</v>
      </c>
      <c r="J58" s="204">
        <f>H170</f>
        <v>0</v>
      </c>
      <c r="K58" s="204">
        <f>H171</f>
        <v>0.7</v>
      </c>
      <c r="L58" s="204">
        <f>H172</f>
        <v>0.44444444444444442</v>
      </c>
      <c r="M58" s="204">
        <f t="shared" si="21"/>
        <v>0</v>
      </c>
      <c r="N58" s="204">
        <f t="shared" si="22"/>
        <v>1.7</v>
      </c>
      <c r="O58" s="204">
        <f t="shared" si="2"/>
        <v>1.4444444444444444</v>
      </c>
      <c r="P58" s="204">
        <f t="shared" si="6"/>
        <v>0</v>
      </c>
      <c r="Q58" s="204">
        <f t="shared" si="7"/>
        <v>2.4555555555555557</v>
      </c>
      <c r="R58" s="204">
        <f t="shared" si="8"/>
        <v>0</v>
      </c>
      <c r="S58" s="204">
        <f t="shared" si="16"/>
        <v>0</v>
      </c>
      <c r="T58" s="204">
        <f t="shared" si="9"/>
        <v>-1.4000000000000004</v>
      </c>
      <c r="U58" s="203">
        <f>SUM(G170:G172)</f>
        <v>2</v>
      </c>
      <c r="V58" s="132" t="s">
        <v>288</v>
      </c>
      <c r="W58" s="205">
        <f>SUM(F170:F172)</f>
        <v>3</v>
      </c>
      <c r="X58" s="207">
        <f t="shared" si="23"/>
        <v>4.8</v>
      </c>
      <c r="Y58" s="204">
        <f>X170</f>
        <v>0.75</v>
      </c>
      <c r="Z58" s="204">
        <f>X171</f>
        <v>0.7</v>
      </c>
      <c r="AA58" s="204">
        <f>X172</f>
        <v>0.44444444444444442</v>
      </c>
      <c r="AB58" s="204">
        <f t="shared" si="10"/>
        <v>1.75</v>
      </c>
      <c r="AC58" s="214">
        <f t="shared" si="11"/>
        <v>1.7</v>
      </c>
      <c r="AD58" s="204">
        <f t="shared" si="12"/>
        <v>1.4444444444444444</v>
      </c>
      <c r="AE58" s="204">
        <f t="shared" si="17"/>
        <v>2.9749999999999996</v>
      </c>
      <c r="AF58" s="204">
        <f t="shared" si="18"/>
        <v>2.4555555555555557</v>
      </c>
      <c r="AG58" s="204">
        <f t="shared" si="19"/>
        <v>2.5277777777777777</v>
      </c>
      <c r="AH58" s="204">
        <f t="shared" si="20"/>
        <v>4.2972222222222216</v>
      </c>
      <c r="AI58" s="215">
        <f t="shared" si="13"/>
        <v>10.149999999999999</v>
      </c>
      <c r="AJ58" s="222" t="str">
        <f t="shared" si="14"/>
        <v>Stephen Barr</v>
      </c>
      <c r="AK58" s="1">
        <f t="shared" si="15"/>
        <v>7</v>
      </c>
    </row>
    <row r="59" spans="2:37">
      <c r="B59" s="206" t="str">
        <f>$V21</f>
        <v>Dave Orrell</v>
      </c>
      <c r="C59" s="206" t="str">
        <f>Picks!B59</f>
        <v>Oldham</v>
      </c>
      <c r="D59" s="207">
        <f>Picks!C59</f>
        <v>1</v>
      </c>
      <c r="E59" s="207">
        <f>Picks!D59</f>
        <v>2.2000000000000002</v>
      </c>
      <c r="F59" s="208">
        <f>IF(C59="","",INDEX(Odds!K:K,MATCH(C59,Odds!G:G,0)))</f>
        <v>1</v>
      </c>
      <c r="G59" s="206">
        <f>IF(C59="","",Picks!M59)</f>
        <v>0</v>
      </c>
      <c r="H59" s="207">
        <f t="shared" si="4"/>
        <v>0</v>
      </c>
      <c r="I59" s="221" t="str">
        <f t="shared" si="5"/>
        <v>Stephen Troop</v>
      </c>
      <c r="J59" s="204">
        <f>H173</f>
        <v>0</v>
      </c>
      <c r="K59" s="204">
        <f>H174</f>
        <v>0</v>
      </c>
      <c r="L59" s="204">
        <f>H175</f>
        <v>0</v>
      </c>
      <c r="M59" s="204">
        <f t="shared" si="21"/>
        <v>0</v>
      </c>
      <c r="N59" s="204">
        <f t="shared" si="22"/>
        <v>0</v>
      </c>
      <c r="O59" s="204">
        <f t="shared" si="2"/>
        <v>0</v>
      </c>
      <c r="P59" s="204">
        <f t="shared" si="6"/>
        <v>0</v>
      </c>
      <c r="Q59" s="204">
        <f t="shared" si="7"/>
        <v>0</v>
      </c>
      <c r="R59" s="204">
        <f t="shared" si="8"/>
        <v>0</v>
      </c>
      <c r="S59" s="204">
        <f t="shared" si="16"/>
        <v>0</v>
      </c>
      <c r="T59" s="204">
        <f t="shared" si="9"/>
        <v>-7</v>
      </c>
      <c r="U59" s="203">
        <f>SUM(G173:G175)</f>
        <v>0</v>
      </c>
      <c r="V59" s="132" t="s">
        <v>328</v>
      </c>
      <c r="W59" s="205">
        <f>SUM(F173:F175)</f>
        <v>3</v>
      </c>
      <c r="X59" s="207">
        <f t="shared" si="23"/>
        <v>1.2000000000000002</v>
      </c>
      <c r="Y59" s="204">
        <f>X173</f>
        <v>2.75</v>
      </c>
      <c r="Z59" s="204">
        <f>X174</f>
        <v>0.75</v>
      </c>
      <c r="AA59" s="204">
        <f>X175</f>
        <v>12</v>
      </c>
      <c r="AB59" s="204">
        <f t="shared" si="10"/>
        <v>3.75</v>
      </c>
      <c r="AC59" s="214">
        <f t="shared" si="11"/>
        <v>1.75</v>
      </c>
      <c r="AD59" s="204">
        <f t="shared" si="12"/>
        <v>13</v>
      </c>
      <c r="AE59" s="204">
        <f t="shared" si="17"/>
        <v>6.5625</v>
      </c>
      <c r="AF59" s="204">
        <f t="shared" si="18"/>
        <v>22.75</v>
      </c>
      <c r="AG59" s="204">
        <f t="shared" si="19"/>
        <v>48.75</v>
      </c>
      <c r="AH59" s="204">
        <f t="shared" si="20"/>
        <v>85.3125</v>
      </c>
      <c r="AI59" s="215">
        <f t="shared" si="13"/>
        <v>174.875</v>
      </c>
      <c r="AJ59" s="222" t="str">
        <f t="shared" si="14"/>
        <v>Stephen Troop</v>
      </c>
      <c r="AK59" s="1">
        <f t="shared" si="15"/>
        <v>7</v>
      </c>
    </row>
    <row r="60" spans="2:37">
      <c r="B60" s="206"/>
      <c r="C60" s="206" t="str">
        <f>Picks!B60</f>
        <v>Dagenham</v>
      </c>
      <c r="D60" s="207">
        <f>Picks!C60</f>
        <v>1</v>
      </c>
      <c r="E60" s="207">
        <f>Picks!D60</f>
        <v>1.6111111111111112</v>
      </c>
      <c r="F60" s="208">
        <f>IF(C60="","",INDEX(Odds!K:K,MATCH(C60,Odds!G:G,0)))</f>
        <v>1</v>
      </c>
      <c r="G60" s="206">
        <f>IF(C60="","",Picks!M60)</f>
        <v>1</v>
      </c>
      <c r="H60" s="207">
        <f t="shared" si="4"/>
        <v>0.61111111111111116</v>
      </c>
      <c r="I60" s="221" t="str">
        <f t="shared" ref="I60:I117" si="24">IF(V60="","",V60)</f>
        <v>Steve Baxter</v>
      </c>
      <c r="J60" s="215">
        <f>H176</f>
        <v>0.44444444444444442</v>
      </c>
      <c r="K60" s="215">
        <f>H177</f>
        <v>0.61538461538461542</v>
      </c>
      <c r="L60" s="215">
        <f>H178</f>
        <v>1.1000000000000001</v>
      </c>
      <c r="M60" s="215">
        <f t="shared" ref="M60" si="25">IF(J60=0,0,1)+J60</f>
        <v>1.4444444444444444</v>
      </c>
      <c r="N60" s="215">
        <f t="shared" ref="N60" si="26">IF(K60=0,0,1)+K60</f>
        <v>1.6153846153846154</v>
      </c>
      <c r="O60" s="215">
        <f t="shared" ref="O60" si="27">IF(L60=0,0,1)+L60</f>
        <v>2.1</v>
      </c>
      <c r="P60" s="215">
        <f t="shared" ref="P60" si="28">IF(K60=0,0,(M60*K60)+M60)</f>
        <v>2.3333333333333335</v>
      </c>
      <c r="Q60" s="215">
        <f t="shared" ref="Q60" si="29">IF(L60=0,0,(N60*L60)+N60)</f>
        <v>3.3923076923076927</v>
      </c>
      <c r="R60" s="215">
        <f t="shared" ref="R60" si="30">IF(J60=0,0,(O60*J60)+O60)</f>
        <v>3.0333333333333332</v>
      </c>
      <c r="S60" s="215">
        <f t="shared" ref="S60" si="31">IF(L60=0,0,(P60*L60)+P60)</f>
        <v>4.9000000000000004</v>
      </c>
      <c r="T60" s="215">
        <f t="shared" ref="T60" si="32">SUM(M60:S60)-(IF(W60=1,A$2*1,0))-(IF(W60=2,A$2*3,0))-(IF(W60=3,A$2*7,0))</f>
        <v>11.818803418803419</v>
      </c>
      <c r="U60" s="205">
        <f>SUM(G176:G178)</f>
        <v>3</v>
      </c>
      <c r="V60" s="135" t="s">
        <v>310</v>
      </c>
      <c r="W60" s="205">
        <f t="shared" ref="W60:W63" si="33">SUM(F174:F176)</f>
        <v>3</v>
      </c>
      <c r="X60" s="207">
        <f t="shared" si="23"/>
        <v>0.61111111111111116</v>
      </c>
      <c r="Y60" s="215">
        <f>X176</f>
        <v>0.44444444444444442</v>
      </c>
      <c r="Z60" s="215">
        <f>X177</f>
        <v>0.61538461538461542</v>
      </c>
      <c r="AA60" s="215">
        <f>X178</f>
        <v>1.1000000000000001</v>
      </c>
      <c r="AB60" s="215">
        <f t="shared" ref="AB60" si="34">IF(Y60=0,0,1)+Y60</f>
        <v>1.4444444444444444</v>
      </c>
      <c r="AC60" s="214">
        <f t="shared" ref="AC60" si="35">IF(Z60=0,0,1)+Z60</f>
        <v>1.6153846153846154</v>
      </c>
      <c r="AD60" s="215">
        <f t="shared" ref="AD60" si="36">IF(AA60=0,0,1)+AA60</f>
        <v>2.1</v>
      </c>
      <c r="AE60" s="215">
        <f t="shared" ref="AE60" si="37">IF(Z60=0,0,(AB60*Z60)+AB60)</f>
        <v>2.3333333333333335</v>
      </c>
      <c r="AF60" s="215">
        <f t="shared" ref="AF60" si="38">IF(AA60=0,0,(AC60*AA60)+AC60)</f>
        <v>3.3923076923076927</v>
      </c>
      <c r="AG60" s="215">
        <f t="shared" ref="AG60" si="39">IF(Y60=0,0,(AD60*Y60)+AD60)</f>
        <v>3.0333333333333332</v>
      </c>
      <c r="AH60" s="215">
        <f t="shared" ref="AH60" si="40">IF(AA60=0,0,(AE60*AA60)+AE60)</f>
        <v>4.9000000000000004</v>
      </c>
      <c r="AI60" s="215">
        <f t="shared" ref="AI60" si="41">SUM(AB60:AH60)-AK60</f>
        <v>11.818803418803419</v>
      </c>
      <c r="AJ60" s="222" t="str">
        <f t="shared" si="14"/>
        <v>Steve Baxter</v>
      </c>
      <c r="AK60" s="1">
        <f t="shared" si="15"/>
        <v>7</v>
      </c>
    </row>
    <row r="61" spans="2:37" ht="13.15" thickBot="1">
      <c r="B61" s="211"/>
      <c r="C61" s="211" t="str">
        <f>Picks!B61</f>
        <v>Chelsea</v>
      </c>
      <c r="D61" s="212">
        <f>Picks!C61</f>
        <v>1</v>
      </c>
      <c r="E61" s="212">
        <f>Picks!D61</f>
        <v>1.6153846153846154</v>
      </c>
      <c r="F61" s="224">
        <f>IF(C61="","",INDEX(Odds!K:K,MATCH(C61,Odds!G:G,0)))</f>
        <v>1</v>
      </c>
      <c r="G61" s="211">
        <f>IF(C61="","",Picks!M61)</f>
        <v>1</v>
      </c>
      <c r="H61" s="212">
        <f t="shared" si="4"/>
        <v>0.61538461538461542</v>
      </c>
      <c r="I61" s="221" t="str">
        <f t="shared" si="24"/>
        <v>Steve Carter</v>
      </c>
      <c r="J61" s="215">
        <f>H179</f>
        <v>1.1000000000000001</v>
      </c>
      <c r="K61" s="215">
        <f>H180</f>
        <v>0</v>
      </c>
      <c r="L61" s="215">
        <f>H181</f>
        <v>1.1499999999999999</v>
      </c>
      <c r="M61" s="215">
        <f t="shared" ref="M61" si="42">IF(J61=0,0,1)+J61</f>
        <v>2.1</v>
      </c>
      <c r="N61" s="215">
        <f t="shared" ref="N61" si="43">IF(K61=0,0,1)+K61</f>
        <v>0</v>
      </c>
      <c r="O61" s="215">
        <f t="shared" ref="O61" si="44">IF(L61=0,0,1)+L61</f>
        <v>2.15</v>
      </c>
      <c r="P61" s="215">
        <f t="shared" ref="P61" si="45">IF(K61=0,0,(M61*K61)+M61)</f>
        <v>0</v>
      </c>
      <c r="Q61" s="215">
        <f t="shared" ref="Q61" si="46">IF(L61=0,0,(N61*L61)+N61)</f>
        <v>0</v>
      </c>
      <c r="R61" s="215">
        <f t="shared" ref="R61" si="47">IF(J61=0,0,(O61*J61)+O61)</f>
        <v>4.5150000000000006</v>
      </c>
      <c r="S61" s="215">
        <f t="shared" ref="S61" si="48">IF(L61=0,0,(P61*L61)+P61)</f>
        <v>0</v>
      </c>
      <c r="T61" s="215">
        <f t="shared" ref="T61" si="49">SUM(M61:S61)-(IF(W61=1,A$2*1,0))-(IF(W61=2,A$2*3,0))-(IF(W61=3,A$2*7,0))</f>
        <v>1.7650000000000006</v>
      </c>
      <c r="U61" s="205">
        <f>SUM(G179:G181)</f>
        <v>2</v>
      </c>
      <c r="V61" s="132" t="s">
        <v>290</v>
      </c>
      <c r="W61" s="205">
        <f t="shared" si="33"/>
        <v>3</v>
      </c>
      <c r="X61" s="207">
        <f t="shared" si="23"/>
        <v>0.61538461538461542</v>
      </c>
      <c r="Y61" s="215">
        <f>X179</f>
        <v>1.1000000000000001</v>
      </c>
      <c r="Z61" s="215">
        <f>X180</f>
        <v>2.5</v>
      </c>
      <c r="AA61" s="215">
        <f>X181</f>
        <v>1.1499999999999999</v>
      </c>
      <c r="AB61" s="215">
        <f t="shared" ref="AB61" si="50">IF(Y61=0,0,1)+Y61</f>
        <v>2.1</v>
      </c>
      <c r="AC61" s="214">
        <f t="shared" ref="AC61" si="51">IF(Z61=0,0,1)+Z61</f>
        <v>3.5</v>
      </c>
      <c r="AD61" s="215">
        <f t="shared" ref="AD61" si="52">IF(AA61=0,0,1)+AA61</f>
        <v>2.15</v>
      </c>
      <c r="AE61" s="215">
        <f t="shared" ref="AE61" si="53">IF(Z61=0,0,(AB61*Z61)+AB61)</f>
        <v>7.35</v>
      </c>
      <c r="AF61" s="215">
        <f t="shared" ref="AF61" si="54">IF(AA61=0,0,(AC61*AA61)+AC61)</f>
        <v>7.5249999999999995</v>
      </c>
      <c r="AG61" s="215">
        <f t="shared" ref="AG61" si="55">IF(Y61=0,0,(AD61*Y61)+AD61)</f>
        <v>4.5150000000000006</v>
      </c>
      <c r="AH61" s="215">
        <f t="shared" ref="AH61" si="56">IF(AA61=0,0,(AE61*AA61)+AE61)</f>
        <v>15.802499999999998</v>
      </c>
      <c r="AI61" s="215">
        <f t="shared" ref="AI61" si="57">SUM(AB61:AH61)-AK61</f>
        <v>35.942499999999995</v>
      </c>
      <c r="AJ61" s="222" t="str">
        <f t="shared" si="14"/>
        <v>Steve Carter</v>
      </c>
      <c r="AK61" s="1">
        <f t="shared" si="15"/>
        <v>7</v>
      </c>
    </row>
    <row r="62" spans="2:37">
      <c r="B62" s="210" t="str">
        <f>$V22</f>
        <v>David Dunn</v>
      </c>
      <c r="C62" s="209" t="str">
        <f>Picks!B62</f>
        <v>Brighton Draw</v>
      </c>
      <c r="D62" s="210">
        <f>Picks!C62</f>
        <v>1</v>
      </c>
      <c r="E62" s="207">
        <f>Picks!D62</f>
        <v>3.5</v>
      </c>
      <c r="F62" s="208">
        <f>IF(C62="","",INDEX(Odds!K:K,MATCH(C62,Odds!G:G,0)))</f>
        <v>1</v>
      </c>
      <c r="G62" s="206">
        <f>IF(C62="","",Picks!M62)</f>
        <v>0</v>
      </c>
      <c r="H62" s="207">
        <f t="shared" si="4"/>
        <v>0</v>
      </c>
      <c r="I62" s="221" t="str">
        <f t="shared" si="24"/>
        <v>Tom Robinson</v>
      </c>
      <c r="J62" s="215">
        <f>H182</f>
        <v>0.7</v>
      </c>
      <c r="K62" s="215">
        <f>H183</f>
        <v>0.72222222222222232</v>
      </c>
      <c r="L62" s="215">
        <f>H184</f>
        <v>0</v>
      </c>
      <c r="M62" s="215">
        <f t="shared" ref="M62" si="58">IF(J62=0,0,1)+J62</f>
        <v>1.7</v>
      </c>
      <c r="N62" s="215">
        <f t="shared" ref="N62" si="59">IF(K62=0,0,1)+K62</f>
        <v>1.7222222222222223</v>
      </c>
      <c r="O62" s="215">
        <f t="shared" ref="O62" si="60">IF(L62=0,0,1)+L62</f>
        <v>0</v>
      </c>
      <c r="P62" s="215">
        <f t="shared" ref="P62" si="61">IF(K62=0,0,(M62*K62)+M62)</f>
        <v>2.927777777777778</v>
      </c>
      <c r="Q62" s="215">
        <f t="shared" ref="Q62" si="62">IF(L62=0,0,(N62*L62)+N62)</f>
        <v>0</v>
      </c>
      <c r="R62" s="215">
        <f t="shared" ref="R62" si="63">IF(J62=0,0,(O62*J62)+O62)</f>
        <v>0</v>
      </c>
      <c r="S62" s="215">
        <f t="shared" ref="S62" si="64">IF(L62=0,0,(P62*L62)+P62)</f>
        <v>0</v>
      </c>
      <c r="T62" s="215">
        <f t="shared" ref="T62" si="65">SUM(M62:S62)-(IF(W62=1,A$2*1,0))-(IF(W62=2,A$2*3,0))-(IF(W62=3,A$2*7,0))</f>
        <v>-0.64999999999999947</v>
      </c>
      <c r="U62" s="205">
        <f>SUM(G182:G184)</f>
        <v>2</v>
      </c>
      <c r="V62" s="132" t="s">
        <v>335</v>
      </c>
      <c r="W62" s="205">
        <f t="shared" si="33"/>
        <v>3</v>
      </c>
      <c r="X62" s="207">
        <f t="shared" si="23"/>
        <v>2.5</v>
      </c>
      <c r="Y62" s="215">
        <f>X182</f>
        <v>0.7</v>
      </c>
      <c r="Z62" s="215">
        <f>X183</f>
        <v>0.72222222222222232</v>
      </c>
      <c r="AA62" s="215">
        <f>X184</f>
        <v>1.2000000000000002</v>
      </c>
      <c r="AB62" s="215">
        <f t="shared" ref="AB62" si="66">IF(Y62=0,0,1)+Y62</f>
        <v>1.7</v>
      </c>
      <c r="AC62" s="214">
        <f t="shared" ref="AC62" si="67">IF(Z62=0,0,1)+Z62</f>
        <v>1.7222222222222223</v>
      </c>
      <c r="AD62" s="215">
        <f t="shared" ref="AD62" si="68">IF(AA62=0,0,1)+AA62</f>
        <v>2.2000000000000002</v>
      </c>
      <c r="AE62" s="215">
        <f t="shared" ref="AE62" si="69">IF(Z62=0,0,(AB62*Z62)+AB62)</f>
        <v>2.927777777777778</v>
      </c>
      <c r="AF62" s="215">
        <f t="shared" ref="AF62" si="70">IF(AA62=0,0,(AC62*AA62)+AC62)</f>
        <v>3.7888888888888892</v>
      </c>
      <c r="AG62" s="215">
        <f t="shared" ref="AG62" si="71">IF(Y62=0,0,(AD62*Y62)+AD62)</f>
        <v>3.74</v>
      </c>
      <c r="AH62" s="215">
        <f t="shared" ref="AH62" si="72">IF(AA62=0,0,(AE62*AA62)+AE62)</f>
        <v>6.4411111111111126</v>
      </c>
      <c r="AI62" s="215">
        <f t="shared" ref="AI62" si="73">SUM(AB62:AH62)-AK62</f>
        <v>15.520000000000003</v>
      </c>
      <c r="AJ62" s="222" t="str">
        <f t="shared" si="14"/>
        <v>Tom Robinson</v>
      </c>
      <c r="AK62" s="1">
        <f t="shared" si="15"/>
        <v>7</v>
      </c>
    </row>
    <row r="63" spans="2:37">
      <c r="B63" s="209"/>
      <c r="C63" s="209" t="str">
        <f>Picks!B63</f>
        <v>Cardiff Draw</v>
      </c>
      <c r="D63" s="210">
        <f>Picks!C63</f>
        <v>1</v>
      </c>
      <c r="E63" s="207">
        <f>Picks!D63</f>
        <v>3.25</v>
      </c>
      <c r="F63" s="208">
        <f>IF(C63="","",INDEX(Odds!K:K,MATCH(C63,Odds!G:G,0)))</f>
        <v>0</v>
      </c>
      <c r="G63" s="206">
        <f>IF(C63="","",Picks!M63)</f>
        <v>1</v>
      </c>
      <c r="H63" s="207">
        <f t="shared" si="4"/>
        <v>0</v>
      </c>
      <c r="I63" s="221" t="str">
        <f t="shared" si="24"/>
        <v>Vinny Topping</v>
      </c>
      <c r="J63" s="215">
        <f>H185</f>
        <v>0</v>
      </c>
      <c r="K63" s="215">
        <f>H186</f>
        <v>0.90909090909090917</v>
      </c>
      <c r="L63" s="215">
        <f>H187</f>
        <v>1.1499999999999999</v>
      </c>
      <c r="M63" s="215">
        <f t="shared" ref="M63" si="74">IF(J63=0,0,1)+J63</f>
        <v>0</v>
      </c>
      <c r="N63" s="215">
        <f t="shared" ref="N63" si="75">IF(K63=0,0,1)+K63</f>
        <v>1.9090909090909092</v>
      </c>
      <c r="O63" s="215">
        <f t="shared" ref="O63" si="76">IF(L63=0,0,1)+L63</f>
        <v>2.15</v>
      </c>
      <c r="P63" s="215">
        <f t="shared" ref="P63" si="77">IF(K63=0,0,(M63*K63)+M63)</f>
        <v>0</v>
      </c>
      <c r="Q63" s="215">
        <f t="shared" ref="Q63" si="78">IF(L63=0,0,(N63*L63)+N63)</f>
        <v>4.1045454545454545</v>
      </c>
      <c r="R63" s="215">
        <f t="shared" ref="R63" si="79">IF(J63=0,0,(O63*J63)+O63)</f>
        <v>0</v>
      </c>
      <c r="S63" s="215">
        <f t="shared" ref="S63" si="80">IF(L63=0,0,(P63*L63)+P63)</f>
        <v>0</v>
      </c>
      <c r="T63" s="215">
        <f t="shared" ref="T63" si="81">SUM(M63:S63)-(IF(W63=1,A$2*1,0))-(IF(W63=2,A$2*3,0))-(IF(W63=3,A$2*7,0))</f>
        <v>1.163636363636364</v>
      </c>
      <c r="U63" s="205">
        <f>SUM(G185:G187)</f>
        <v>2</v>
      </c>
      <c r="V63" s="135" t="s">
        <v>308</v>
      </c>
      <c r="W63" s="205">
        <f t="shared" si="33"/>
        <v>3</v>
      </c>
      <c r="X63" s="207">
        <f t="shared" si="23"/>
        <v>0</v>
      </c>
      <c r="Y63" s="215">
        <f>X185</f>
        <v>1.2000000000000002</v>
      </c>
      <c r="Z63" s="215">
        <f>X186</f>
        <v>0.90909090909090917</v>
      </c>
      <c r="AA63" s="215">
        <f>X187</f>
        <v>1.1499999999999999</v>
      </c>
      <c r="AB63" s="215">
        <f t="shared" ref="AB63" si="82">IF(Y63=0,0,1)+Y63</f>
        <v>2.2000000000000002</v>
      </c>
      <c r="AC63" s="214">
        <f t="shared" ref="AC63" si="83">IF(Z63=0,0,1)+Z63</f>
        <v>1.9090909090909092</v>
      </c>
      <c r="AD63" s="215">
        <f t="shared" ref="AD63" si="84">IF(AA63=0,0,1)+AA63</f>
        <v>2.15</v>
      </c>
      <c r="AE63" s="215">
        <f t="shared" ref="AE63" si="85">IF(Z63=0,0,(AB63*Z63)+AB63)</f>
        <v>4.2000000000000011</v>
      </c>
      <c r="AF63" s="215">
        <f t="shared" ref="AF63" si="86">IF(AA63=0,0,(AC63*AA63)+AC63)</f>
        <v>4.1045454545454545</v>
      </c>
      <c r="AG63" s="215">
        <f t="shared" ref="AG63" si="87">IF(Y63=0,0,(AD63*Y63)+AD63)</f>
        <v>4.7300000000000004</v>
      </c>
      <c r="AH63" s="215">
        <f t="shared" ref="AH63" si="88">IF(AA63=0,0,(AE63*AA63)+AE63)</f>
        <v>9.0300000000000011</v>
      </c>
      <c r="AI63" s="215">
        <f t="shared" ref="AI63" si="89">SUM(AB63:AH63)-AK63</f>
        <v>21.323636363636368</v>
      </c>
      <c r="AJ63" s="222" t="str">
        <f t="shared" si="14"/>
        <v>Vinny Topping</v>
      </c>
      <c r="AK63" s="1">
        <f t="shared" si="15"/>
        <v>7</v>
      </c>
    </row>
    <row r="64" spans="2:37" ht="13.15" thickBot="1">
      <c r="B64" s="211"/>
      <c r="C64" s="211" t="str">
        <f>Picks!B64</f>
        <v>West Ham</v>
      </c>
      <c r="D64" s="212">
        <f>Picks!C64</f>
        <v>1</v>
      </c>
      <c r="E64" s="212">
        <f>Picks!D64</f>
        <v>1.75</v>
      </c>
      <c r="F64" s="224">
        <f>IF(C64="","",INDEX(Odds!K:K,MATCH(C64,Odds!G:G,0)))</f>
        <v>1</v>
      </c>
      <c r="G64" s="211">
        <f>IF(C64="","",Picks!M64)</f>
        <v>0</v>
      </c>
      <c r="H64" s="212">
        <f t="shared" si="4"/>
        <v>0</v>
      </c>
      <c r="I64" s="221" t="str">
        <f t="shared" si="24"/>
        <v/>
      </c>
      <c r="X64" s="207">
        <f t="shared" si="23"/>
        <v>0.75</v>
      </c>
      <c r="AJ64" s="222"/>
    </row>
    <row r="65" spans="2:36">
      <c r="B65" s="206" t="str">
        <f>$V23</f>
        <v>Frank Allen</v>
      </c>
      <c r="C65" s="206" t="str">
        <f>Picks!B65</f>
        <v>MK Dons</v>
      </c>
      <c r="D65" s="207">
        <f>Picks!C65</f>
        <v>1</v>
      </c>
      <c r="E65" s="207">
        <f>Picks!D65</f>
        <v>2.25</v>
      </c>
      <c r="F65" s="208">
        <f>IF(C65="","",INDEX(Odds!K:K,MATCH(C65,Odds!G:G,0)))</f>
        <v>1</v>
      </c>
      <c r="G65" s="206">
        <f>IF(C65="","",Picks!M65)</f>
        <v>1</v>
      </c>
      <c r="H65" s="207">
        <f t="shared" si="4"/>
        <v>1.25</v>
      </c>
      <c r="I65" s="221" t="str">
        <f t="shared" si="24"/>
        <v/>
      </c>
      <c r="X65" s="207">
        <f t="shared" si="23"/>
        <v>1.25</v>
      </c>
      <c r="AJ65" s="222"/>
    </row>
    <row r="66" spans="2:36">
      <c r="B66" s="206"/>
      <c r="C66" s="206" t="str">
        <f>Picks!B66</f>
        <v>Mansfield</v>
      </c>
      <c r="D66" s="207">
        <f>Picks!C66</f>
        <v>1</v>
      </c>
      <c r="E66" s="207">
        <f>Picks!D66</f>
        <v>1.9090909090909092</v>
      </c>
      <c r="F66" s="208">
        <f>IF(C66="","",INDEX(Odds!K:K,MATCH(C66,Odds!G:G,0)))</f>
        <v>1</v>
      </c>
      <c r="G66" s="206">
        <f>IF(C66="","",Picks!M66)</f>
        <v>1</v>
      </c>
      <c r="H66" s="207">
        <f t="shared" si="4"/>
        <v>0.90909090909090917</v>
      </c>
      <c r="I66" s="221" t="str">
        <f t="shared" si="24"/>
        <v/>
      </c>
      <c r="X66" s="207">
        <f t="shared" ref="X66:X97" si="90">+((E66-1)*F66*A$2)</f>
        <v>0.90909090909090917</v>
      </c>
      <c r="AJ66" s="222"/>
    </row>
    <row r="67" spans="2:36" ht="13.15" thickBot="1">
      <c r="B67" s="211"/>
      <c r="C67" s="211" t="str">
        <f>Picks!B67</f>
        <v>Tranmere</v>
      </c>
      <c r="D67" s="212">
        <f>Picks!C67</f>
        <v>1</v>
      </c>
      <c r="E67" s="212">
        <f>Picks!D67</f>
        <v>2.15</v>
      </c>
      <c r="F67" s="224">
        <f>IF(C67="","",INDEX(Odds!K:K,MATCH(C67,Odds!G:G,0)))</f>
        <v>1</v>
      </c>
      <c r="G67" s="211">
        <f>IF(C67="","",Picks!M67)</f>
        <v>1</v>
      </c>
      <c r="H67" s="212">
        <f t="shared" ref="H67:H130" si="91">IF(C67="","",+((E67-1)*G67*F67*A$2))</f>
        <v>1.1499999999999999</v>
      </c>
      <c r="I67" s="221" t="str">
        <f t="shared" si="24"/>
        <v/>
      </c>
      <c r="X67" s="207">
        <f t="shared" si="90"/>
        <v>1.1499999999999999</v>
      </c>
      <c r="AJ67" s="222"/>
    </row>
    <row r="68" spans="2:36">
      <c r="B68" s="207" t="str">
        <f>$V24</f>
        <v>Gareth McGuire</v>
      </c>
      <c r="C68" s="206" t="str">
        <f>Picks!B68</f>
        <v>Arsenal</v>
      </c>
      <c r="D68" s="207">
        <f>Picks!C68</f>
        <v>1</v>
      </c>
      <c r="E68" s="207">
        <f>Picks!D68</f>
        <v>1.4444444444444444</v>
      </c>
      <c r="F68" s="208">
        <f>IF(C68="","",INDEX(Odds!K:K,MATCH(C68,Odds!G:G,0)))</f>
        <v>1</v>
      </c>
      <c r="G68" s="206">
        <f>IF(C68="","",Picks!M68)</f>
        <v>1</v>
      </c>
      <c r="H68" s="207">
        <f t="shared" si="91"/>
        <v>0.44444444444444442</v>
      </c>
      <c r="I68" s="221" t="str">
        <f t="shared" si="24"/>
        <v/>
      </c>
      <c r="X68" s="207">
        <f t="shared" si="90"/>
        <v>0.44444444444444442</v>
      </c>
    </row>
    <row r="69" spans="2:36">
      <c r="B69" s="206"/>
      <c r="C69" s="206" t="str">
        <f>Picks!B69</f>
        <v>Huddersfield</v>
      </c>
      <c r="D69" s="207">
        <f>Picks!C69</f>
        <v>1</v>
      </c>
      <c r="E69" s="207">
        <f>Picks!D69</f>
        <v>2.1</v>
      </c>
      <c r="F69" s="208">
        <f>IF(C69="","",INDEX(Odds!K:K,MATCH(C69,Odds!G:G,0)))</f>
        <v>1</v>
      </c>
      <c r="G69" s="206">
        <f>IF(C69="","",Picks!M69)</f>
        <v>1</v>
      </c>
      <c r="H69" s="207">
        <f t="shared" si="91"/>
        <v>1.1000000000000001</v>
      </c>
      <c r="I69" s="221" t="str">
        <f t="shared" si="24"/>
        <v/>
      </c>
      <c r="X69" s="207">
        <f t="shared" si="90"/>
        <v>1.1000000000000001</v>
      </c>
    </row>
    <row r="70" spans="2:36" ht="13.15" thickBot="1">
      <c r="B70" s="211"/>
      <c r="C70" s="211" t="str">
        <f>Picks!B70</f>
        <v>Rotherham</v>
      </c>
      <c r="D70" s="212">
        <f>Picks!C70</f>
        <v>1</v>
      </c>
      <c r="E70" s="212">
        <f>Picks!D70</f>
        <v>1.8</v>
      </c>
      <c r="F70" s="224">
        <f>IF(C70="","",INDEX(Odds!K:K,MATCH(C70,Odds!G:G,0)))</f>
        <v>1</v>
      </c>
      <c r="G70" s="211">
        <f>IF(C70="","",Picks!M70)</f>
        <v>0</v>
      </c>
      <c r="H70" s="212">
        <f t="shared" si="91"/>
        <v>0</v>
      </c>
      <c r="I70" s="221" t="str">
        <f t="shared" si="24"/>
        <v/>
      </c>
      <c r="X70" s="207">
        <f t="shared" si="90"/>
        <v>0.8</v>
      </c>
    </row>
    <row r="71" spans="2:36">
      <c r="B71" s="207" t="str">
        <f>$V25</f>
        <v>Gareth Powell</v>
      </c>
      <c r="C71" s="206" t="str">
        <f>Picks!B71</f>
        <v/>
      </c>
      <c r="D71" s="207" t="str">
        <f>Picks!C71</f>
        <v/>
      </c>
      <c r="E71" s="207" t="str">
        <f>Picks!D71</f>
        <v/>
      </c>
      <c r="F71" s="208" t="str">
        <f>IF(C71="","",INDEX(Odds!K:K,MATCH(C71,Odds!G:G,0)))</f>
        <v/>
      </c>
      <c r="G71" s="206" t="str">
        <f>IF(C71="","",Picks!M71)</f>
        <v/>
      </c>
      <c r="H71" s="207" t="str">
        <f t="shared" si="91"/>
        <v/>
      </c>
      <c r="I71" s="221" t="str">
        <f t="shared" si="24"/>
        <v/>
      </c>
      <c r="X71" s="207" t="e">
        <f t="shared" si="90"/>
        <v>#VALUE!</v>
      </c>
    </row>
    <row r="72" spans="2:36">
      <c r="B72" s="206"/>
      <c r="C72" s="206" t="str">
        <f>Picks!B72</f>
        <v/>
      </c>
      <c r="D72" s="207" t="str">
        <f>Picks!C72</f>
        <v/>
      </c>
      <c r="E72" s="207" t="str">
        <f>Picks!D72</f>
        <v/>
      </c>
      <c r="F72" s="208" t="str">
        <f>IF(C72="","",INDEX(Odds!K:K,MATCH(C72,Odds!G:G,0)))</f>
        <v/>
      </c>
      <c r="G72" s="206" t="str">
        <f>IF(C72="","",Picks!M72)</f>
        <v/>
      </c>
      <c r="H72" s="207" t="str">
        <f t="shared" si="91"/>
        <v/>
      </c>
      <c r="I72" s="221" t="str">
        <f t="shared" si="24"/>
        <v/>
      </c>
      <c r="X72" s="207" t="e">
        <f t="shared" si="90"/>
        <v>#VALUE!</v>
      </c>
    </row>
    <row r="73" spans="2:36" ht="13.15" thickBot="1">
      <c r="B73" s="211"/>
      <c r="C73" s="211" t="str">
        <f>Picks!B73</f>
        <v/>
      </c>
      <c r="D73" s="212" t="str">
        <f>Picks!C73</f>
        <v/>
      </c>
      <c r="E73" s="212" t="str">
        <f>Picks!D73</f>
        <v/>
      </c>
      <c r="F73" s="224" t="str">
        <f>IF(C73="","",INDEX(Odds!K:K,MATCH(C73,Odds!G:G,0)))</f>
        <v/>
      </c>
      <c r="G73" s="211" t="str">
        <f>IF(C73="","",Picks!M73)</f>
        <v/>
      </c>
      <c r="H73" s="212" t="str">
        <f t="shared" si="91"/>
        <v/>
      </c>
      <c r="I73" s="221" t="str">
        <f t="shared" si="24"/>
        <v/>
      </c>
      <c r="X73" s="207" t="e">
        <f t="shared" si="90"/>
        <v>#VALUE!</v>
      </c>
    </row>
    <row r="74" spans="2:36">
      <c r="B74" s="206" t="str">
        <f>$V26</f>
        <v>Gerard Ventom</v>
      </c>
      <c r="C74" s="206" t="str">
        <f>Picks!B74</f>
        <v>Brentford</v>
      </c>
      <c r="D74" s="207">
        <f>Picks!C74</f>
        <v>1</v>
      </c>
      <c r="E74" s="207">
        <f>Picks!D74</f>
        <v>4.2</v>
      </c>
      <c r="F74" s="208">
        <f>IF(C74="","",INDEX(Odds!K:K,MATCH(C74,Odds!G:G,0)))</f>
        <v>1</v>
      </c>
      <c r="G74" s="206">
        <f>IF(C74="","",Picks!M74)</f>
        <v>0</v>
      </c>
      <c r="H74" s="207">
        <f t="shared" si="91"/>
        <v>0</v>
      </c>
      <c r="I74" s="221" t="str">
        <f t="shared" si="24"/>
        <v/>
      </c>
      <c r="X74" s="207">
        <f t="shared" si="90"/>
        <v>3.2</v>
      </c>
    </row>
    <row r="75" spans="2:36">
      <c r="B75" s="206"/>
      <c r="C75" s="206" t="str">
        <f>Picks!B75</f>
        <v>Norwich</v>
      </c>
      <c r="D75" s="207">
        <f>Picks!C75</f>
        <v>1</v>
      </c>
      <c r="E75" s="207">
        <f>Picks!D75</f>
        <v>7.5</v>
      </c>
      <c r="F75" s="208">
        <f>IF(C75="","",INDEX(Odds!K:K,MATCH(C75,Odds!G:G,0)))</f>
        <v>1</v>
      </c>
      <c r="G75" s="206">
        <f>IF(C75="","",Picks!M75)</f>
        <v>0</v>
      </c>
      <c r="H75" s="207">
        <f t="shared" si="91"/>
        <v>0</v>
      </c>
      <c r="I75" s="221" t="str">
        <f t="shared" si="24"/>
        <v/>
      </c>
      <c r="X75" s="207">
        <f t="shared" si="90"/>
        <v>6.5</v>
      </c>
    </row>
    <row r="76" spans="2:36" ht="13.15" thickBot="1">
      <c r="B76" s="211"/>
      <c r="C76" s="211" t="str">
        <f>Picks!B76</f>
        <v>Blackpool</v>
      </c>
      <c r="D76" s="212">
        <f>Picks!C76</f>
        <v>1</v>
      </c>
      <c r="E76" s="212">
        <f>Picks!D76</f>
        <v>3.5</v>
      </c>
      <c r="F76" s="224">
        <f>IF(C76="","",INDEX(Odds!K:K,MATCH(C76,Odds!G:G,0)))</f>
        <v>1</v>
      </c>
      <c r="G76" s="211">
        <f>IF(C76="","",Picks!M76)</f>
        <v>0</v>
      </c>
      <c r="H76" s="212">
        <f t="shared" si="91"/>
        <v>0</v>
      </c>
      <c r="I76" s="221" t="str">
        <f t="shared" si="24"/>
        <v/>
      </c>
      <c r="X76" s="207">
        <f t="shared" si="90"/>
        <v>2.5</v>
      </c>
    </row>
    <row r="77" spans="2:36">
      <c r="B77" s="206" t="str">
        <f>$V27</f>
        <v>Graham Miller</v>
      </c>
      <c r="C77" s="206" t="str">
        <f>Picks!B77</f>
        <v>Brighton</v>
      </c>
      <c r="D77" s="207">
        <f>Picks!C77</f>
        <v>1</v>
      </c>
      <c r="E77" s="207">
        <f>Picks!D77</f>
        <v>1.85</v>
      </c>
      <c r="F77" s="208">
        <f>IF(C77="","",INDEX(Odds!K:K,MATCH(C77,Odds!G:G,0)))</f>
        <v>1</v>
      </c>
      <c r="G77" s="206">
        <f>IF(C77="","",Picks!M77)</f>
        <v>1</v>
      </c>
      <c r="H77" s="207">
        <f t="shared" si="91"/>
        <v>0.85000000000000009</v>
      </c>
      <c r="I77" s="221" t="str">
        <f t="shared" si="24"/>
        <v/>
      </c>
      <c r="X77" s="207">
        <f t="shared" si="90"/>
        <v>0.85000000000000009</v>
      </c>
    </row>
    <row r="78" spans="2:36">
      <c r="B78" s="206"/>
      <c r="C78" s="206" t="str">
        <f>Picks!B78</f>
        <v>Spurs</v>
      </c>
      <c r="D78" s="207">
        <f>Picks!C78</f>
        <v>1</v>
      </c>
      <c r="E78" s="207">
        <f>Picks!D78</f>
        <v>1.7</v>
      </c>
      <c r="F78" s="208">
        <f>IF(C78="","",INDEX(Odds!K:K,MATCH(C78,Odds!G:G,0)))</f>
        <v>1</v>
      </c>
      <c r="G78" s="206">
        <f>IF(C78="","",Picks!M78)</f>
        <v>1</v>
      </c>
      <c r="H78" s="207">
        <f t="shared" si="91"/>
        <v>0.7</v>
      </c>
      <c r="I78" s="221" t="str">
        <f t="shared" si="24"/>
        <v/>
      </c>
      <c r="X78" s="207">
        <f t="shared" si="90"/>
        <v>0.7</v>
      </c>
    </row>
    <row r="79" spans="2:36" ht="13.15" thickBot="1">
      <c r="B79" s="211"/>
      <c r="C79" s="211" t="str">
        <f>Picks!B79</f>
        <v>Tranmere</v>
      </c>
      <c r="D79" s="212">
        <f>Picks!C79</f>
        <v>1</v>
      </c>
      <c r="E79" s="212">
        <f>Picks!D79</f>
        <v>2.15</v>
      </c>
      <c r="F79" s="224">
        <f>IF(C79="","",INDEX(Odds!K:K,MATCH(C79,Odds!G:G,0)))</f>
        <v>1</v>
      </c>
      <c r="G79" s="211">
        <f>IF(C79="","",Picks!M79)</f>
        <v>1</v>
      </c>
      <c r="H79" s="212">
        <f t="shared" si="91"/>
        <v>1.1499999999999999</v>
      </c>
      <c r="I79" s="221" t="str">
        <f t="shared" si="24"/>
        <v/>
      </c>
      <c r="X79" s="207">
        <f t="shared" si="90"/>
        <v>1.1499999999999999</v>
      </c>
    </row>
    <row r="80" spans="2:36">
      <c r="B80" s="206" t="str">
        <f>$V28</f>
        <v>Howard Bradley</v>
      </c>
      <c r="C80" s="206" t="str">
        <f>Picks!B80</f>
        <v>Arsenal</v>
      </c>
      <c r="D80" s="207">
        <f>Picks!C80</f>
        <v>1</v>
      </c>
      <c r="E80" s="207">
        <f>Picks!D80</f>
        <v>1.4444444444444444</v>
      </c>
      <c r="F80" s="208">
        <f>IF(C80="","",INDEX(Odds!K:K,MATCH(C80,Odds!G:G,0)))</f>
        <v>1</v>
      </c>
      <c r="G80" s="206">
        <f>IF(C80="","",Picks!M80)</f>
        <v>1</v>
      </c>
      <c r="H80" s="207">
        <f t="shared" si="91"/>
        <v>0.44444444444444442</v>
      </c>
      <c r="I80" s="221" t="str">
        <f t="shared" si="24"/>
        <v/>
      </c>
      <c r="X80" s="207">
        <f t="shared" si="90"/>
        <v>0.44444444444444442</v>
      </c>
    </row>
    <row r="81" spans="2:24">
      <c r="B81" s="206"/>
      <c r="C81" s="206" t="str">
        <f>Picks!B81</f>
        <v>West Ham</v>
      </c>
      <c r="D81" s="207">
        <f>Picks!C81</f>
        <v>1</v>
      </c>
      <c r="E81" s="207">
        <f>Picks!D81</f>
        <v>1.75</v>
      </c>
      <c r="F81" s="208">
        <f>IF(C81="","",INDEX(Odds!K:K,MATCH(C81,Odds!G:G,0)))</f>
        <v>1</v>
      </c>
      <c r="G81" s="206">
        <f>IF(C81="","",Picks!M81)</f>
        <v>0</v>
      </c>
      <c r="H81" s="207">
        <f t="shared" si="91"/>
        <v>0</v>
      </c>
      <c r="I81" s="221" t="str">
        <f t="shared" si="24"/>
        <v/>
      </c>
      <c r="X81" s="207">
        <f t="shared" si="90"/>
        <v>0.75</v>
      </c>
    </row>
    <row r="82" spans="2:24" ht="13.15" thickBot="1">
      <c r="B82" s="211"/>
      <c r="C82" s="211" t="str">
        <f>Picks!B82</f>
        <v>Middlesbro draw</v>
      </c>
      <c r="D82" s="212">
        <f>Picks!C82</f>
        <v>1</v>
      </c>
      <c r="E82" s="212">
        <f>Picks!D82</f>
        <v>3.2</v>
      </c>
      <c r="F82" s="224">
        <f>IF(C82="","",INDEX(Odds!K:K,MATCH(C82,Odds!G:G,0)))</f>
        <v>1</v>
      </c>
      <c r="G82" s="211">
        <f>IF(C82="","",Picks!M82)</f>
        <v>0</v>
      </c>
      <c r="H82" s="212">
        <f t="shared" si="91"/>
        <v>0</v>
      </c>
      <c r="I82" s="221" t="str">
        <f t="shared" si="24"/>
        <v/>
      </c>
      <c r="X82" s="207">
        <f t="shared" si="90"/>
        <v>2.2000000000000002</v>
      </c>
    </row>
    <row r="83" spans="2:24">
      <c r="B83" s="207" t="str">
        <f>$V29</f>
        <v>Ian Davies</v>
      </c>
      <c r="C83" s="206" t="str">
        <f>Picks!B83</f>
        <v>Huddersfield draw</v>
      </c>
      <c r="D83" s="207">
        <f>Picks!C83</f>
        <v>1</v>
      </c>
      <c r="E83" s="207">
        <f>Picks!D83</f>
        <v>3.3</v>
      </c>
      <c r="F83" s="208">
        <f>IF(C83="","",INDEX(Odds!K:K,MATCH(C83,Odds!G:G,0)))</f>
        <v>1</v>
      </c>
      <c r="G83" s="206">
        <f>IF(C83="","",Picks!M83)</f>
        <v>0</v>
      </c>
      <c r="H83" s="207">
        <f t="shared" si="91"/>
        <v>0</v>
      </c>
      <c r="I83" s="221" t="str">
        <f t="shared" si="24"/>
        <v/>
      </c>
      <c r="X83" s="207">
        <f t="shared" si="90"/>
        <v>2.2999999999999998</v>
      </c>
    </row>
    <row r="84" spans="2:24">
      <c r="B84" s="206"/>
      <c r="C84" s="206" t="str">
        <f>Picks!B84</f>
        <v>Blackburn</v>
      </c>
      <c r="D84" s="207">
        <f>Picks!C84</f>
        <v>1</v>
      </c>
      <c r="E84" s="207">
        <f>Picks!D84</f>
        <v>2.4</v>
      </c>
      <c r="F84" s="208">
        <f>IF(C84="","",INDEX(Odds!K:K,MATCH(C84,Odds!G:G,0)))</f>
        <v>0</v>
      </c>
      <c r="G84" s="206">
        <f>IF(C84="","",Picks!M84)</f>
        <v>0</v>
      </c>
      <c r="H84" s="207">
        <f t="shared" si="91"/>
        <v>0</v>
      </c>
      <c r="I84" s="221" t="str">
        <f t="shared" si="24"/>
        <v/>
      </c>
      <c r="X84" s="207">
        <f t="shared" si="90"/>
        <v>0</v>
      </c>
    </row>
    <row r="85" spans="2:24" ht="13.15" thickBot="1">
      <c r="B85" s="211"/>
      <c r="C85" s="211" t="str">
        <f>Picks!B85</f>
        <v>Middlesbro draw</v>
      </c>
      <c r="D85" s="212">
        <f>Picks!C85</f>
        <v>1</v>
      </c>
      <c r="E85" s="212">
        <f>Picks!D85</f>
        <v>3.2</v>
      </c>
      <c r="F85" s="224">
        <f>IF(C85="","",INDEX(Odds!K:K,MATCH(C85,Odds!G:G,0)))</f>
        <v>1</v>
      </c>
      <c r="G85" s="211">
        <f>IF(C85="","",Picks!M85)</f>
        <v>0</v>
      </c>
      <c r="H85" s="212">
        <f t="shared" si="91"/>
        <v>0</v>
      </c>
      <c r="I85" s="221" t="str">
        <f t="shared" si="24"/>
        <v/>
      </c>
      <c r="X85" s="207">
        <f t="shared" si="90"/>
        <v>2.2000000000000002</v>
      </c>
    </row>
    <row r="86" spans="2:24">
      <c r="B86" s="207" t="str">
        <f>$V30</f>
        <v>Jack Walsh</v>
      </c>
      <c r="C86" s="206" t="str">
        <f>Picks!B86</f>
        <v>Burnley draw</v>
      </c>
      <c r="D86" s="207">
        <f>Picks!C86</f>
        <v>1</v>
      </c>
      <c r="E86" s="207">
        <f>Picks!D86</f>
        <v>3.2</v>
      </c>
      <c r="F86" s="208">
        <f>IF(C86="","",INDEX(Odds!K:K,MATCH(C86,Odds!G:G,0)))</f>
        <v>0</v>
      </c>
      <c r="G86" s="206">
        <f>IF(C86="","",Picks!M86)</f>
        <v>1</v>
      </c>
      <c r="H86" s="207">
        <f t="shared" si="91"/>
        <v>0</v>
      </c>
      <c r="I86" s="221" t="str">
        <f t="shared" si="24"/>
        <v/>
      </c>
      <c r="X86" s="207">
        <f t="shared" si="90"/>
        <v>0</v>
      </c>
    </row>
    <row r="87" spans="2:24">
      <c r="B87" s="206"/>
      <c r="C87" s="206" t="str">
        <f>Picks!B87</f>
        <v>Spurs</v>
      </c>
      <c r="D87" s="207">
        <f>Picks!C87</f>
        <v>1</v>
      </c>
      <c r="E87" s="207">
        <f>Picks!D87</f>
        <v>1.7</v>
      </c>
      <c r="F87" s="208">
        <f>IF(C87="","",INDEX(Odds!K:K,MATCH(C87,Odds!G:G,0)))</f>
        <v>1</v>
      </c>
      <c r="G87" s="206">
        <f>IF(C87="","",Picks!M87)</f>
        <v>1</v>
      </c>
      <c r="H87" s="207">
        <f t="shared" si="91"/>
        <v>0.7</v>
      </c>
      <c r="I87" s="221" t="str">
        <f t="shared" si="24"/>
        <v/>
      </c>
      <c r="X87" s="207">
        <f t="shared" si="90"/>
        <v>0.7</v>
      </c>
    </row>
    <row r="88" spans="2:24" ht="13.15" thickBot="1">
      <c r="B88" s="211"/>
      <c r="C88" s="211" t="str">
        <f>Picks!B88</f>
        <v>Villa draw</v>
      </c>
      <c r="D88" s="212">
        <f>Picks!C88</f>
        <v>1</v>
      </c>
      <c r="E88" s="212">
        <f>Picks!D88</f>
        <v>3.75</v>
      </c>
      <c r="F88" s="224">
        <f>IF(C88="","",INDEX(Odds!K:K,MATCH(C88,Odds!G:G,0)))</f>
        <v>1</v>
      </c>
      <c r="G88" s="211">
        <f>IF(C88="","",Picks!M88)</f>
        <v>0</v>
      </c>
      <c r="H88" s="212">
        <f t="shared" si="91"/>
        <v>0</v>
      </c>
      <c r="I88" s="221" t="str">
        <f t="shared" si="24"/>
        <v/>
      </c>
      <c r="X88" s="207">
        <f t="shared" si="90"/>
        <v>2.75</v>
      </c>
    </row>
    <row r="89" spans="2:24">
      <c r="B89" s="207" t="str">
        <f>$V31</f>
        <v>James Bell</v>
      </c>
      <c r="C89" s="206" t="str">
        <f>Picks!B89</f>
        <v/>
      </c>
      <c r="D89" s="207" t="str">
        <f>Picks!C89</f>
        <v/>
      </c>
      <c r="E89" s="207" t="str">
        <f>Picks!D89</f>
        <v/>
      </c>
      <c r="F89" s="208" t="str">
        <f>IF(C89="","",INDEX(Odds!K:K,MATCH(C89,Odds!G:G,0)))</f>
        <v/>
      </c>
      <c r="G89" s="206" t="str">
        <f>IF(C89="","",Picks!M89)</f>
        <v/>
      </c>
      <c r="H89" s="207" t="str">
        <f t="shared" si="91"/>
        <v/>
      </c>
      <c r="I89" s="221" t="str">
        <f t="shared" si="24"/>
        <v/>
      </c>
      <c r="X89" s="207" t="e">
        <f t="shared" si="90"/>
        <v>#VALUE!</v>
      </c>
    </row>
    <row r="90" spans="2:24">
      <c r="B90" s="206"/>
      <c r="C90" s="206" t="str">
        <f>Picks!B90</f>
        <v/>
      </c>
      <c r="D90" s="207" t="str">
        <f>Picks!C90</f>
        <v/>
      </c>
      <c r="E90" s="207" t="str">
        <f>Picks!D90</f>
        <v/>
      </c>
      <c r="F90" s="208" t="str">
        <f>IF(C90="","",INDEX(Odds!K:K,MATCH(C90,Odds!G:G,0)))</f>
        <v/>
      </c>
      <c r="G90" s="206" t="str">
        <f>IF(C90="","",Picks!M90)</f>
        <v/>
      </c>
      <c r="H90" s="207" t="str">
        <f t="shared" si="91"/>
        <v/>
      </c>
      <c r="I90" s="221" t="str">
        <f t="shared" si="24"/>
        <v/>
      </c>
      <c r="X90" s="207" t="e">
        <f t="shared" si="90"/>
        <v>#VALUE!</v>
      </c>
    </row>
    <row r="91" spans="2:24" ht="13.15" thickBot="1">
      <c r="B91" s="211"/>
      <c r="C91" s="211" t="str">
        <f>Picks!B91</f>
        <v/>
      </c>
      <c r="D91" s="212" t="str">
        <f>Picks!C91</f>
        <v/>
      </c>
      <c r="E91" s="212" t="str">
        <f>Picks!D91</f>
        <v/>
      </c>
      <c r="F91" s="224" t="str">
        <f>IF(C91="","",INDEX(Odds!K:K,MATCH(C91,Odds!G:G,0)))</f>
        <v/>
      </c>
      <c r="G91" s="211" t="str">
        <f>IF(C91="","",Picks!M91)</f>
        <v/>
      </c>
      <c r="H91" s="212" t="str">
        <f t="shared" si="91"/>
        <v/>
      </c>
      <c r="I91" s="221" t="str">
        <f t="shared" si="24"/>
        <v/>
      </c>
      <c r="X91" s="207" t="e">
        <f t="shared" si="90"/>
        <v>#VALUE!</v>
      </c>
    </row>
    <row r="92" spans="2:24">
      <c r="B92" s="206" t="str">
        <f>$V32</f>
        <v>John Murphy</v>
      </c>
      <c r="C92" s="206" t="str">
        <f>Picks!B92</f>
        <v>Accrington</v>
      </c>
      <c r="D92" s="207">
        <f>Picks!C92</f>
        <v>1</v>
      </c>
      <c r="E92" s="207">
        <f>Picks!D92</f>
        <v>4</v>
      </c>
      <c r="F92" s="208">
        <f>IF(C92="","",INDEX(Odds!K:K,MATCH(C92,Odds!G:G,0)))</f>
        <v>1</v>
      </c>
      <c r="G92" s="206">
        <f>IF(C92="","",Picks!M92)</f>
        <v>1</v>
      </c>
      <c r="H92" s="207">
        <f t="shared" si="91"/>
        <v>3</v>
      </c>
      <c r="I92" s="221" t="str">
        <f t="shared" si="24"/>
        <v/>
      </c>
      <c r="X92" s="207">
        <f t="shared" si="90"/>
        <v>3</v>
      </c>
    </row>
    <row r="93" spans="2:24">
      <c r="B93" s="206"/>
      <c r="C93" s="206" t="str">
        <f>Picks!B93</f>
        <v>Lincoln</v>
      </c>
      <c r="D93" s="207">
        <f>Picks!C93</f>
        <v>1</v>
      </c>
      <c r="E93" s="207">
        <f>Picks!D93</f>
        <v>3</v>
      </c>
      <c r="F93" s="208">
        <f>IF(C93="","",INDEX(Odds!K:K,MATCH(C93,Odds!G:G,0)))</f>
        <v>1</v>
      </c>
      <c r="G93" s="206">
        <f>IF(C93="","",Picks!M93)</f>
        <v>0</v>
      </c>
      <c r="H93" s="207">
        <f t="shared" si="91"/>
        <v>0</v>
      </c>
      <c r="I93" s="221" t="str">
        <f t="shared" si="24"/>
        <v/>
      </c>
      <c r="X93" s="207">
        <f t="shared" si="90"/>
        <v>2</v>
      </c>
    </row>
    <row r="94" spans="2:24" ht="13.15" thickBot="1">
      <c r="B94" s="211"/>
      <c r="C94" s="211" t="str">
        <f>Picks!B94</f>
        <v>Dagenham</v>
      </c>
      <c r="D94" s="212">
        <f>Picks!C94</f>
        <v>1</v>
      </c>
      <c r="E94" s="212">
        <f>Picks!D94</f>
        <v>1.6111111111111112</v>
      </c>
      <c r="F94" s="224">
        <f>IF(C94="","",INDEX(Odds!K:K,MATCH(C94,Odds!G:G,0)))</f>
        <v>1</v>
      </c>
      <c r="G94" s="211">
        <f>IF(C94="","",Picks!M94)</f>
        <v>1</v>
      </c>
      <c r="H94" s="212">
        <f t="shared" si="91"/>
        <v>0.61111111111111116</v>
      </c>
      <c r="I94" s="221" t="str">
        <f t="shared" si="24"/>
        <v/>
      </c>
      <c r="X94" s="207">
        <f t="shared" si="90"/>
        <v>0.61111111111111116</v>
      </c>
    </row>
    <row r="95" spans="2:24">
      <c r="B95" s="207" t="str">
        <f>$V33</f>
        <v>John Ronan</v>
      </c>
      <c r="C95" s="206" t="str">
        <f>Picks!B95</f>
        <v>West Ham</v>
      </c>
      <c r="D95" s="207">
        <f>Picks!C95</f>
        <v>1</v>
      </c>
      <c r="E95" s="207">
        <f>Picks!D95</f>
        <v>1.75</v>
      </c>
      <c r="F95" s="208">
        <f>IF(C95="","",INDEX(Odds!K:K,MATCH(C95,Odds!G:G,0)))</f>
        <v>1</v>
      </c>
      <c r="G95" s="206">
        <f>IF(C95="","",Picks!M95)</f>
        <v>0</v>
      </c>
      <c r="H95" s="207">
        <f t="shared" si="91"/>
        <v>0</v>
      </c>
      <c r="I95" s="221" t="str">
        <f t="shared" si="24"/>
        <v/>
      </c>
      <c r="X95" s="207">
        <f t="shared" si="90"/>
        <v>0.75</v>
      </c>
    </row>
    <row r="96" spans="2:24">
      <c r="B96" s="213"/>
      <c r="C96" s="206" t="str">
        <f>Picks!B96</f>
        <v>Forest</v>
      </c>
      <c r="D96" s="207">
        <f>Picks!C96</f>
        <v>1</v>
      </c>
      <c r="E96" s="207">
        <f>Picks!D96</f>
        <v>3.5</v>
      </c>
      <c r="F96" s="208">
        <f>IF(C96="","",INDEX(Odds!K:K,MATCH(C96,Odds!G:G,0)))</f>
        <v>1</v>
      </c>
      <c r="G96" s="206">
        <f>IF(C96="","",Picks!M96)</f>
        <v>0</v>
      </c>
      <c r="H96" s="207">
        <f t="shared" si="91"/>
        <v>0</v>
      </c>
      <c r="I96" s="221" t="str">
        <f t="shared" si="24"/>
        <v/>
      </c>
      <c r="X96" s="207">
        <f t="shared" si="90"/>
        <v>2.5</v>
      </c>
    </row>
    <row r="97" spans="2:24" ht="13.15" thickBot="1">
      <c r="B97" s="211"/>
      <c r="C97" s="211" t="str">
        <f>Picks!B97</f>
        <v>Stockport</v>
      </c>
      <c r="D97" s="212">
        <f>Picks!C97</f>
        <v>1</v>
      </c>
      <c r="E97" s="212">
        <f>Picks!D97</f>
        <v>1.7222222222222223</v>
      </c>
      <c r="F97" s="224">
        <f>IF(C97="","",INDEX(Odds!K:K,MATCH(C97,Odds!G:G,0)))</f>
        <v>1</v>
      </c>
      <c r="G97" s="211">
        <f>IF(C97="","",Picks!M97)</f>
        <v>1</v>
      </c>
      <c r="H97" s="212">
        <f t="shared" si="91"/>
        <v>0.72222222222222232</v>
      </c>
      <c r="I97" s="221" t="str">
        <f t="shared" si="24"/>
        <v/>
      </c>
      <c r="X97" s="207">
        <f t="shared" si="90"/>
        <v>0.72222222222222232</v>
      </c>
    </row>
    <row r="98" spans="2:24">
      <c r="B98" s="206" t="str">
        <f>$V34</f>
        <v>Kei Lok Ma</v>
      </c>
      <c r="C98" s="206" t="str">
        <f>Picks!B98</f>
        <v>Brighton draw</v>
      </c>
      <c r="D98" s="207">
        <f>Picks!C98</f>
        <v>1</v>
      </c>
      <c r="E98" s="207">
        <f>Picks!D98</f>
        <v>3.5</v>
      </c>
      <c r="F98" s="208">
        <f>IF(C98="","",INDEX(Odds!K:K,MATCH(C98,Odds!G:G,0)))</f>
        <v>1</v>
      </c>
      <c r="G98" s="206">
        <f>IF(C98="","",Picks!M98)</f>
        <v>0</v>
      </c>
      <c r="H98" s="207">
        <f t="shared" si="91"/>
        <v>0</v>
      </c>
      <c r="I98" s="221" t="str">
        <f t="shared" si="24"/>
        <v/>
      </c>
      <c r="X98" s="207">
        <f t="shared" ref="X98:X130" si="92">+((E98-1)*F98*A$2)</f>
        <v>2.5</v>
      </c>
    </row>
    <row r="99" spans="2:24">
      <c r="B99" s="206"/>
      <c r="C99" s="206" t="str">
        <f>Picks!B99</f>
        <v>Villa draw</v>
      </c>
      <c r="D99" s="207">
        <f>Picks!C99</f>
        <v>1</v>
      </c>
      <c r="E99" s="207">
        <f>Picks!D99</f>
        <v>3.75</v>
      </c>
      <c r="F99" s="208">
        <f>IF(C99="","",INDEX(Odds!K:K,MATCH(C99,Odds!G:G,0)))</f>
        <v>1</v>
      </c>
      <c r="G99" s="206">
        <f>IF(C99="","",Picks!M99)</f>
        <v>0</v>
      </c>
      <c r="H99" s="207">
        <f t="shared" si="91"/>
        <v>0</v>
      </c>
      <c r="I99" s="221" t="str">
        <f t="shared" si="24"/>
        <v/>
      </c>
      <c r="X99" s="207">
        <f t="shared" si="92"/>
        <v>2.75</v>
      </c>
    </row>
    <row r="100" spans="2:24" ht="13.15" thickBot="1">
      <c r="B100" s="211"/>
      <c r="C100" s="211" t="str">
        <f>Picks!B100</f>
        <v>Bromley</v>
      </c>
      <c r="D100" s="212">
        <f>Picks!C100</f>
        <v>1</v>
      </c>
      <c r="E100" s="212">
        <f>Picks!D100</f>
        <v>1.7</v>
      </c>
      <c r="F100" s="224">
        <f>IF(C100="","",INDEX(Odds!K:K,MATCH(C100,Odds!G:G,0)))</f>
        <v>1</v>
      </c>
      <c r="G100" s="211">
        <f>IF(C100="","",Picks!M100)</f>
        <v>0</v>
      </c>
      <c r="H100" s="212">
        <f t="shared" si="91"/>
        <v>0</v>
      </c>
      <c r="I100" s="221" t="str">
        <f t="shared" si="24"/>
        <v/>
      </c>
      <c r="X100" s="207">
        <f t="shared" si="92"/>
        <v>0.7</v>
      </c>
    </row>
    <row r="101" spans="2:24">
      <c r="B101" s="207" t="str">
        <f>$V35</f>
        <v>Kevin Carter</v>
      </c>
      <c r="C101" s="206" t="str">
        <f>Picks!B101</f>
        <v>Spurs</v>
      </c>
      <c r="D101" s="207">
        <f>Picks!C101</f>
        <v>1</v>
      </c>
      <c r="E101" s="207">
        <f>Picks!D101</f>
        <v>1.7</v>
      </c>
      <c r="F101" s="208">
        <f>IF(C101="","",INDEX(Odds!K:K,MATCH(C101,Odds!G:G,0)))</f>
        <v>1</v>
      </c>
      <c r="G101" s="206">
        <f>IF(C101="","",Picks!M101)</f>
        <v>1</v>
      </c>
      <c r="H101" s="207">
        <f t="shared" si="91"/>
        <v>0.7</v>
      </c>
      <c r="I101" s="221" t="str">
        <f t="shared" si="24"/>
        <v/>
      </c>
      <c r="X101" s="207">
        <f t="shared" si="92"/>
        <v>0.7</v>
      </c>
    </row>
    <row r="102" spans="2:24">
      <c r="B102" s="206"/>
      <c r="C102" s="206" t="str">
        <f>Picks!B102</f>
        <v>Dagenham</v>
      </c>
      <c r="D102" s="207">
        <f>Picks!C102</f>
        <v>1</v>
      </c>
      <c r="E102" s="207">
        <f>Picks!D102</f>
        <v>1.6111111111111112</v>
      </c>
      <c r="F102" s="208">
        <f>IF(C102="","",INDEX(Odds!K:K,MATCH(C102,Odds!G:G,0)))</f>
        <v>1</v>
      </c>
      <c r="G102" s="206">
        <f>IF(C102="","",Picks!M102)</f>
        <v>1</v>
      </c>
      <c r="H102" s="207">
        <f t="shared" si="91"/>
        <v>0.61111111111111116</v>
      </c>
      <c r="I102" s="221" t="str">
        <f t="shared" si="24"/>
        <v/>
      </c>
      <c r="X102" s="207">
        <f t="shared" si="92"/>
        <v>0.61111111111111116</v>
      </c>
    </row>
    <row r="103" spans="2:24" ht="13.15" thickBot="1">
      <c r="B103" s="211"/>
      <c r="C103" s="211" t="str">
        <f>Picks!B103</f>
        <v>Tranmere</v>
      </c>
      <c r="D103" s="212">
        <f>Picks!C103</f>
        <v>1</v>
      </c>
      <c r="E103" s="212">
        <f>Picks!D103</f>
        <v>2.15</v>
      </c>
      <c r="F103" s="224">
        <f>IF(C103="","",INDEX(Odds!K:K,MATCH(C103,Odds!G:G,0)))</f>
        <v>1</v>
      </c>
      <c r="G103" s="211">
        <f>IF(C103="","",Picks!M103)</f>
        <v>1</v>
      </c>
      <c r="H103" s="212">
        <f t="shared" si="91"/>
        <v>1.1499999999999999</v>
      </c>
      <c r="I103" s="221" t="str">
        <f t="shared" si="24"/>
        <v/>
      </c>
      <c r="X103" s="207">
        <f t="shared" si="92"/>
        <v>1.1499999999999999</v>
      </c>
    </row>
    <row r="104" spans="2:24">
      <c r="B104" s="207" t="str">
        <f>$V36</f>
        <v>Lennie Bow</v>
      </c>
      <c r="C104" s="206" t="str">
        <f>Picks!B104</f>
        <v>Tranmere</v>
      </c>
      <c r="D104" s="207">
        <f>Picks!C104</f>
        <v>1</v>
      </c>
      <c r="E104" s="207">
        <f>Picks!D104</f>
        <v>2.15</v>
      </c>
      <c r="F104" s="208">
        <f>IF(C104="","",INDEX(Odds!K:K,MATCH(C104,Odds!G:G,0)))</f>
        <v>1</v>
      </c>
      <c r="G104" s="206">
        <f>IF(C104="","",Picks!M104)</f>
        <v>1</v>
      </c>
      <c r="H104" s="207">
        <f t="shared" si="91"/>
        <v>1.1499999999999999</v>
      </c>
      <c r="I104" s="221" t="str">
        <f t="shared" si="24"/>
        <v/>
      </c>
      <c r="X104" s="207">
        <f t="shared" si="92"/>
        <v>1.1499999999999999</v>
      </c>
    </row>
    <row r="105" spans="2:24">
      <c r="B105" s="206"/>
      <c r="C105" s="206" t="str">
        <f>Picks!B105</f>
        <v>Bromley</v>
      </c>
      <c r="D105" s="207">
        <f>Picks!C105</f>
        <v>1</v>
      </c>
      <c r="E105" s="207">
        <f>Picks!D105</f>
        <v>1.7</v>
      </c>
      <c r="F105" s="208">
        <f>IF(C105="","",INDEX(Odds!K:K,MATCH(C105,Odds!G:G,0)))</f>
        <v>1</v>
      </c>
      <c r="G105" s="206">
        <f>IF(C105="","",Picks!M105)</f>
        <v>0</v>
      </c>
      <c r="H105" s="207">
        <f t="shared" si="91"/>
        <v>0</v>
      </c>
      <c r="I105" s="221" t="str">
        <f t="shared" si="24"/>
        <v/>
      </c>
      <c r="X105" s="207">
        <f t="shared" si="92"/>
        <v>0.7</v>
      </c>
    </row>
    <row r="106" spans="2:24" ht="13.15" thickBot="1">
      <c r="B106" s="211"/>
      <c r="C106" s="211" t="str">
        <f>Picks!B106</f>
        <v>Stockport</v>
      </c>
      <c r="D106" s="212">
        <f>Picks!C106</f>
        <v>1</v>
      </c>
      <c r="E106" s="212">
        <f>Picks!D106</f>
        <v>1.7222222222222223</v>
      </c>
      <c r="F106" s="224">
        <f>IF(C106="","",INDEX(Odds!K:K,MATCH(C106,Odds!G:G,0)))</f>
        <v>1</v>
      </c>
      <c r="G106" s="211">
        <f>IF(C106="","",Picks!M106)</f>
        <v>1</v>
      </c>
      <c r="H106" s="212">
        <f t="shared" si="91"/>
        <v>0.72222222222222232</v>
      </c>
      <c r="I106" s="221" t="str">
        <f t="shared" si="24"/>
        <v/>
      </c>
      <c r="X106" s="207">
        <f t="shared" si="92"/>
        <v>0.72222222222222232</v>
      </c>
    </row>
    <row r="107" spans="2:24">
      <c r="B107" s="206" t="str">
        <f>$V37</f>
        <v>Liam Wah</v>
      </c>
      <c r="C107" s="206" t="str">
        <f>Picks!B107</f>
        <v/>
      </c>
      <c r="D107" s="207" t="str">
        <f>Picks!C107</f>
        <v/>
      </c>
      <c r="E107" s="207" t="str">
        <f>Picks!D107</f>
        <v/>
      </c>
      <c r="F107" s="208" t="str">
        <f>IF(C107="","",INDEX(Odds!K:K,MATCH(C107,Odds!G:G,0)))</f>
        <v/>
      </c>
      <c r="G107" s="206" t="str">
        <f>IF(C107="","",Picks!M107)</f>
        <v/>
      </c>
      <c r="H107" s="207" t="str">
        <f t="shared" si="91"/>
        <v/>
      </c>
      <c r="I107" s="221" t="str">
        <f t="shared" si="24"/>
        <v/>
      </c>
      <c r="X107" s="207" t="e">
        <f t="shared" si="92"/>
        <v>#VALUE!</v>
      </c>
    </row>
    <row r="108" spans="2:24">
      <c r="B108" s="206"/>
      <c r="C108" s="206" t="str">
        <f>Picks!B108</f>
        <v/>
      </c>
      <c r="D108" s="207" t="str">
        <f>Picks!C108</f>
        <v/>
      </c>
      <c r="E108" s="207" t="str">
        <f>Picks!D108</f>
        <v/>
      </c>
      <c r="F108" s="208" t="str">
        <f>IF(C108="","",INDEX(Odds!K:K,MATCH(C108,Odds!G:G,0)))</f>
        <v/>
      </c>
      <c r="G108" s="206" t="str">
        <f>IF(C108="","",Picks!M108)</f>
        <v/>
      </c>
      <c r="H108" s="207" t="str">
        <f t="shared" si="91"/>
        <v/>
      </c>
      <c r="I108" s="221" t="str">
        <f t="shared" si="24"/>
        <v/>
      </c>
      <c r="X108" s="207" t="e">
        <f t="shared" si="92"/>
        <v>#VALUE!</v>
      </c>
    </row>
    <row r="109" spans="2:24" ht="13.15" thickBot="1">
      <c r="B109" s="211"/>
      <c r="C109" s="211" t="str">
        <f>Picks!B109</f>
        <v/>
      </c>
      <c r="D109" s="212" t="str">
        <f>Picks!C109</f>
        <v/>
      </c>
      <c r="E109" s="212" t="str">
        <f>Picks!D109</f>
        <v/>
      </c>
      <c r="F109" s="224" t="str">
        <f>IF(C109="","",INDEX(Odds!K:K,MATCH(C109,Odds!G:G,0)))</f>
        <v/>
      </c>
      <c r="G109" s="211" t="str">
        <f>IF(C109="","",Picks!M109)</f>
        <v/>
      </c>
      <c r="H109" s="212" t="str">
        <f t="shared" si="91"/>
        <v/>
      </c>
      <c r="I109" s="221" t="str">
        <f t="shared" si="24"/>
        <v/>
      </c>
      <c r="X109" s="207" t="e">
        <f t="shared" si="92"/>
        <v>#VALUE!</v>
      </c>
    </row>
    <row r="110" spans="2:24">
      <c r="B110" s="207" t="str">
        <f>$V38</f>
        <v>Mal Stott</v>
      </c>
      <c r="C110" s="206" t="str">
        <f>Picks!B110</f>
        <v>Shrewsbury</v>
      </c>
      <c r="D110" s="207">
        <f>Picks!C110</f>
        <v>1</v>
      </c>
      <c r="E110" s="207">
        <f>Picks!D110</f>
        <v>3.2</v>
      </c>
      <c r="F110" s="208">
        <f>IF(C110="","",INDEX(Odds!K:K,MATCH(C110,Odds!G:G,0)))</f>
        <v>1</v>
      </c>
      <c r="G110" s="206">
        <f>IF(C110="","",Picks!M110)</f>
        <v>1</v>
      </c>
      <c r="H110" s="207">
        <f t="shared" si="91"/>
        <v>2.2000000000000002</v>
      </c>
      <c r="I110" s="221" t="str">
        <f t="shared" si="24"/>
        <v/>
      </c>
      <c r="X110" s="207">
        <f t="shared" si="92"/>
        <v>2.2000000000000002</v>
      </c>
    </row>
    <row r="111" spans="2:24">
      <c r="B111" s="206"/>
      <c r="C111" s="206" t="str">
        <f>Picks!B111</f>
        <v>Southampton</v>
      </c>
      <c r="D111" s="207">
        <f>Picks!C111</f>
        <v>1</v>
      </c>
      <c r="E111" s="207">
        <f>Picks!D111</f>
        <v>4.4000000000000004</v>
      </c>
      <c r="F111" s="208">
        <f>IF(C111="","",INDEX(Odds!K:K,MATCH(C111,Odds!G:G,0)))</f>
        <v>1</v>
      </c>
      <c r="G111" s="206">
        <f>IF(C111="","",Picks!M111)</f>
        <v>1</v>
      </c>
      <c r="H111" s="207">
        <f t="shared" si="91"/>
        <v>3.4000000000000004</v>
      </c>
      <c r="I111" s="221" t="str">
        <f t="shared" si="24"/>
        <v/>
      </c>
      <c r="X111" s="207">
        <f t="shared" si="92"/>
        <v>3.4000000000000004</v>
      </c>
    </row>
    <row r="112" spans="2:24" ht="13.15" thickBot="1">
      <c r="B112" s="211"/>
      <c r="C112" s="211" t="str">
        <f>Picks!B112</f>
        <v>Hartlepool</v>
      </c>
      <c r="D112" s="212">
        <f>Picks!C112</f>
        <v>1</v>
      </c>
      <c r="E112" s="212">
        <f>Picks!D112</f>
        <v>3.9</v>
      </c>
      <c r="F112" s="224">
        <f>IF(C112="","",INDEX(Odds!K:K,MATCH(C112,Odds!G:G,0)))</f>
        <v>1</v>
      </c>
      <c r="G112" s="211">
        <f>IF(C112="","",Picks!M112)</f>
        <v>0</v>
      </c>
      <c r="H112" s="212">
        <f t="shared" si="91"/>
        <v>0</v>
      </c>
      <c r="I112" s="221" t="str">
        <f t="shared" si="24"/>
        <v/>
      </c>
      <c r="X112" s="207">
        <f t="shared" si="92"/>
        <v>2.9</v>
      </c>
    </row>
    <row r="113" spans="2:24">
      <c r="B113" s="207" t="str">
        <f>$V39</f>
        <v>Mark Bunn</v>
      </c>
      <c r="C113" s="206" t="str">
        <f>Picks!B113</f>
        <v>Middlesbro draw</v>
      </c>
      <c r="D113" s="207">
        <f>Picks!C113</f>
        <v>1</v>
      </c>
      <c r="E113" s="207">
        <f>Picks!D113</f>
        <v>3.2</v>
      </c>
      <c r="F113" s="208">
        <f>IF(C113="","",INDEX(Odds!K:K,MATCH(C113,Odds!G:G,0)))</f>
        <v>1</v>
      </c>
      <c r="G113" s="206">
        <f>IF(C113="","",Picks!M113)</f>
        <v>0</v>
      </c>
      <c r="H113" s="207">
        <f t="shared" si="91"/>
        <v>0</v>
      </c>
      <c r="I113" s="221" t="str">
        <f t="shared" si="24"/>
        <v/>
      </c>
      <c r="X113" s="207">
        <f t="shared" si="92"/>
        <v>2.2000000000000002</v>
      </c>
    </row>
    <row r="114" spans="2:24">
      <c r="B114" s="206"/>
      <c r="C114" s="206" t="str">
        <f>Picks!B114</f>
        <v>Fleetwood draw</v>
      </c>
      <c r="D114" s="207">
        <f>Picks!C114</f>
        <v>1</v>
      </c>
      <c r="E114" s="207">
        <f>Picks!D114</f>
        <v>3.25</v>
      </c>
      <c r="F114" s="208">
        <f>IF(C114="","",INDEX(Odds!K:K,MATCH(C114,Odds!G:G,0)))</f>
        <v>1</v>
      </c>
      <c r="G114" s="206">
        <f>IF(C114="","",Picks!M114)</f>
        <v>0</v>
      </c>
      <c r="H114" s="207">
        <f t="shared" si="91"/>
        <v>0</v>
      </c>
      <c r="I114" s="221" t="str">
        <f t="shared" si="24"/>
        <v/>
      </c>
      <c r="X114" s="207">
        <f t="shared" si="92"/>
        <v>2.25</v>
      </c>
    </row>
    <row r="115" spans="2:24" ht="13.15" thickBot="1">
      <c r="B115" s="211"/>
      <c r="C115" s="211" t="str">
        <f>Picks!B115</f>
        <v>Stockport draw</v>
      </c>
      <c r="D115" s="212">
        <f>Picks!C115</f>
        <v>1</v>
      </c>
      <c r="E115" s="212">
        <f>Picks!D115</f>
        <v>3.8461538461538463</v>
      </c>
      <c r="F115" s="224">
        <f>IF(C115="","",INDEX(Odds!K:K,MATCH(C115,Odds!G:G,0)))</f>
        <v>1</v>
      </c>
      <c r="G115" s="211">
        <f>IF(C115="","",Picks!M115)</f>
        <v>0</v>
      </c>
      <c r="H115" s="212">
        <f t="shared" si="91"/>
        <v>0</v>
      </c>
      <c r="I115" s="221" t="str">
        <f t="shared" si="24"/>
        <v/>
      </c>
      <c r="X115" s="207">
        <f t="shared" si="92"/>
        <v>2.8461538461538463</v>
      </c>
    </row>
    <row r="116" spans="2:24">
      <c r="B116" s="207" t="str">
        <f>$V40</f>
        <v>Mark Saunders</v>
      </c>
      <c r="C116" s="206" t="str">
        <f>Picks!B116</f>
        <v>West Ham</v>
      </c>
      <c r="D116" s="207">
        <f>Picks!C116</f>
        <v>1</v>
      </c>
      <c r="E116" s="207">
        <f>Picks!D116</f>
        <v>1.75</v>
      </c>
      <c r="F116" s="208">
        <f>IF(C116="","",INDEX(Odds!K:K,MATCH(C116,Odds!G:G,0)))</f>
        <v>1</v>
      </c>
      <c r="G116" s="206">
        <f>IF(C116="","",Picks!M116)</f>
        <v>0</v>
      </c>
      <c r="H116" s="207">
        <f t="shared" si="91"/>
        <v>0</v>
      </c>
      <c r="I116" s="221" t="str">
        <f t="shared" si="24"/>
        <v/>
      </c>
      <c r="X116" s="207">
        <f t="shared" si="92"/>
        <v>0.75</v>
      </c>
    </row>
    <row r="117" spans="2:24">
      <c r="B117" s="206"/>
      <c r="C117" s="206" t="str">
        <f>Picks!B117</f>
        <v>Spurs</v>
      </c>
      <c r="D117" s="207">
        <f>Picks!C117</f>
        <v>1</v>
      </c>
      <c r="E117" s="207">
        <f>Picks!D117</f>
        <v>1.7</v>
      </c>
      <c r="F117" s="208">
        <f>IF(C117="","",INDEX(Odds!K:K,MATCH(C117,Odds!G:G,0)))</f>
        <v>1</v>
      </c>
      <c r="G117" s="206">
        <f>IF(C117="","",Picks!M117)</f>
        <v>1</v>
      </c>
      <c r="H117" s="207">
        <f t="shared" si="91"/>
        <v>0.7</v>
      </c>
      <c r="I117" s="221" t="str">
        <f t="shared" si="24"/>
        <v/>
      </c>
      <c r="X117" s="207">
        <f t="shared" si="92"/>
        <v>0.7</v>
      </c>
    </row>
    <row r="118" spans="2:24" ht="13.15" thickBot="1">
      <c r="B118" s="211"/>
      <c r="C118" s="211" t="str">
        <f>Picks!B118</f>
        <v>Man C</v>
      </c>
      <c r="D118" s="212">
        <f>Picks!C118</f>
        <v>1</v>
      </c>
      <c r="E118" s="212">
        <f>Picks!D118</f>
        <v>1.2</v>
      </c>
      <c r="F118" s="224">
        <f>IF(C118="","",INDEX(Odds!K:K,MATCH(C118,Odds!G:G,0)))</f>
        <v>1</v>
      </c>
      <c r="G118" s="211">
        <f>IF(C118="","",Picks!M118)</f>
        <v>1</v>
      </c>
      <c r="H118" s="212">
        <f t="shared" si="91"/>
        <v>0.19999999999999996</v>
      </c>
      <c r="I118" s="221" t="str">
        <f t="shared" ref="I118:I181" si="93">IF(V118="","",V118)</f>
        <v/>
      </c>
      <c r="X118" s="207">
        <f t="shared" si="92"/>
        <v>0.19999999999999996</v>
      </c>
    </row>
    <row r="119" spans="2:24">
      <c r="B119" s="207" t="str">
        <f>$V41</f>
        <v>Martin Molyneux</v>
      </c>
      <c r="C119" s="206" t="str">
        <f>Picks!B119</f>
        <v>Spurs</v>
      </c>
      <c r="D119" s="207">
        <f>Picks!C119</f>
        <v>1</v>
      </c>
      <c r="E119" s="207">
        <f>Picks!D119</f>
        <v>1.7</v>
      </c>
      <c r="F119" s="208">
        <f>IF(C119="","",INDEX(Odds!K:K,MATCH(C119,Odds!G:G,0)))</f>
        <v>1</v>
      </c>
      <c r="G119" s="206">
        <f>IF(C119="","",Picks!M119)</f>
        <v>1</v>
      </c>
      <c r="H119" s="207">
        <f t="shared" si="91"/>
        <v>0.7</v>
      </c>
      <c r="I119" s="221" t="str">
        <f t="shared" si="93"/>
        <v/>
      </c>
      <c r="X119" s="207">
        <f t="shared" si="92"/>
        <v>0.7</v>
      </c>
    </row>
    <row r="120" spans="2:24">
      <c r="B120" s="206"/>
      <c r="C120" s="206" t="str">
        <f>Picks!B120</f>
        <v>Arsenal</v>
      </c>
      <c r="D120" s="207">
        <f>Picks!C120</f>
        <v>1</v>
      </c>
      <c r="E120" s="207">
        <f>Picks!D120</f>
        <v>1.4444444444444444</v>
      </c>
      <c r="F120" s="208">
        <f>IF(C120="","",INDEX(Odds!K:K,MATCH(C120,Odds!G:G,0)))</f>
        <v>1</v>
      </c>
      <c r="G120" s="206">
        <f>IF(C120="","",Picks!M120)</f>
        <v>1</v>
      </c>
      <c r="H120" s="207">
        <f t="shared" si="91"/>
        <v>0.44444444444444442</v>
      </c>
      <c r="I120" s="221" t="str">
        <f t="shared" si="93"/>
        <v/>
      </c>
      <c r="X120" s="207">
        <f t="shared" si="92"/>
        <v>0.44444444444444442</v>
      </c>
    </row>
    <row r="121" spans="2:24" ht="13.15" thickBot="1">
      <c r="B121" s="211"/>
      <c r="C121" s="211" t="str">
        <f>Picks!B121</f>
        <v>West Ham</v>
      </c>
      <c r="D121" s="212">
        <f>Picks!C121</f>
        <v>1</v>
      </c>
      <c r="E121" s="212">
        <f>Picks!D121</f>
        <v>1.75</v>
      </c>
      <c r="F121" s="224">
        <f>IF(C121="","",INDEX(Odds!K:K,MATCH(C121,Odds!G:G,0)))</f>
        <v>1</v>
      </c>
      <c r="G121" s="211">
        <f>IF(C121="","",Picks!M121)</f>
        <v>0</v>
      </c>
      <c r="H121" s="212">
        <f t="shared" si="91"/>
        <v>0</v>
      </c>
      <c r="I121" s="221" t="str">
        <f t="shared" si="93"/>
        <v/>
      </c>
      <c r="X121" s="207">
        <f t="shared" si="92"/>
        <v>0.75</v>
      </c>
    </row>
    <row r="122" spans="2:24">
      <c r="B122" s="207" t="str">
        <f>$V42</f>
        <v>Martin Tarbuck</v>
      </c>
      <c r="C122" s="206" t="str">
        <f>Picks!B122</f>
        <v>Forest</v>
      </c>
      <c r="D122" s="207">
        <f>Picks!C122</f>
        <v>1</v>
      </c>
      <c r="E122" s="207">
        <f>Picks!D122</f>
        <v>3.5</v>
      </c>
      <c r="F122" s="208">
        <f>IF(C122="","",INDEX(Odds!K:K,MATCH(C122,Odds!G:G,0)))</f>
        <v>1</v>
      </c>
      <c r="G122" s="206">
        <f>IF(C122="","",Picks!M122)</f>
        <v>0</v>
      </c>
      <c r="H122" s="207">
        <f t="shared" si="91"/>
        <v>0</v>
      </c>
      <c r="I122" s="221" t="str">
        <f t="shared" si="93"/>
        <v/>
      </c>
      <c r="X122" s="207">
        <f t="shared" si="92"/>
        <v>2.5</v>
      </c>
    </row>
    <row r="123" spans="2:24">
      <c r="B123" s="206"/>
      <c r="C123" s="206" t="str">
        <f>Picks!B123</f>
        <v>Scunthorpe</v>
      </c>
      <c r="D123" s="207">
        <f>Picks!C123</f>
        <v>1</v>
      </c>
      <c r="E123" s="207">
        <f>Picks!D123</f>
        <v>3.1</v>
      </c>
      <c r="F123" s="208">
        <f>IF(C123="","",INDEX(Odds!K:K,MATCH(C123,Odds!G:G,0)))</f>
        <v>1</v>
      </c>
      <c r="G123" s="206">
        <f>IF(C123="","",Picks!M123)</f>
        <v>1</v>
      </c>
      <c r="H123" s="207">
        <f t="shared" si="91"/>
        <v>2.1</v>
      </c>
      <c r="I123" s="221" t="str">
        <f t="shared" si="93"/>
        <v/>
      </c>
      <c r="X123" s="207">
        <f t="shared" si="92"/>
        <v>2.1</v>
      </c>
    </row>
    <row r="124" spans="2:24" ht="13.15" thickBot="1">
      <c r="B124" s="211"/>
      <c r="C124" s="211" t="str">
        <f>Picks!B124</f>
        <v>Rotherham</v>
      </c>
      <c r="D124" s="212">
        <f>Picks!C124</f>
        <v>1</v>
      </c>
      <c r="E124" s="212">
        <f>Picks!D124</f>
        <v>1.8</v>
      </c>
      <c r="F124" s="224">
        <f>IF(C124="","",INDEX(Odds!K:K,MATCH(C124,Odds!G:G,0)))</f>
        <v>1</v>
      </c>
      <c r="G124" s="211">
        <f>IF(C124="","",Picks!M124)</f>
        <v>0</v>
      </c>
      <c r="H124" s="212">
        <f t="shared" si="91"/>
        <v>0</v>
      </c>
      <c r="I124" s="221" t="str">
        <f t="shared" si="93"/>
        <v/>
      </c>
      <c r="X124" s="207">
        <f t="shared" si="92"/>
        <v>0.8</v>
      </c>
    </row>
    <row r="125" spans="2:24">
      <c r="B125" s="207" t="str">
        <f>$V43</f>
        <v>Mike Penk</v>
      </c>
      <c r="C125" s="206" t="str">
        <f>Picks!B125</f>
        <v>Rotherham</v>
      </c>
      <c r="D125" s="207">
        <f>Picks!C125</f>
        <v>1</v>
      </c>
      <c r="E125" s="207">
        <f>Picks!D125</f>
        <v>1.8</v>
      </c>
      <c r="F125" s="208">
        <f>IF(C125="","",INDEX(Odds!K:K,MATCH(C125,Odds!G:G,0)))</f>
        <v>1</v>
      </c>
      <c r="G125" s="206">
        <f>IF(C125="","",Picks!M125)</f>
        <v>0</v>
      </c>
      <c r="H125" s="207">
        <f t="shared" si="91"/>
        <v>0</v>
      </c>
      <c r="I125" s="221" t="str">
        <f t="shared" si="93"/>
        <v/>
      </c>
      <c r="X125" s="207">
        <f t="shared" si="92"/>
        <v>0.8</v>
      </c>
    </row>
    <row r="126" spans="2:24">
      <c r="B126" s="206"/>
      <c r="C126" s="206" t="str">
        <f>Picks!B126</f>
        <v>Arsenal</v>
      </c>
      <c r="D126" s="207">
        <f>Picks!C126</f>
        <v>1</v>
      </c>
      <c r="E126" s="207">
        <f>Picks!D126</f>
        <v>1.4444444444444444</v>
      </c>
      <c r="F126" s="208">
        <f>IF(C126="","",INDEX(Odds!K:K,MATCH(C126,Odds!G:G,0)))</f>
        <v>1</v>
      </c>
      <c r="G126" s="206">
        <f>IF(C126="","",Picks!M126)</f>
        <v>1</v>
      </c>
      <c r="H126" s="207">
        <f t="shared" si="91"/>
        <v>0.44444444444444442</v>
      </c>
      <c r="I126" s="221" t="str">
        <f t="shared" si="93"/>
        <v/>
      </c>
      <c r="X126" s="207">
        <f t="shared" si="92"/>
        <v>0.44444444444444442</v>
      </c>
    </row>
    <row r="127" spans="2:24" ht="13.15" thickBot="1">
      <c r="B127" s="211"/>
      <c r="C127" s="211" t="str">
        <f>Picks!B127</f>
        <v>Plymouth</v>
      </c>
      <c r="D127" s="212">
        <f>Picks!C127</f>
        <v>1</v>
      </c>
      <c r="E127" s="212">
        <f>Picks!D127</f>
        <v>2.2999999999999998</v>
      </c>
      <c r="F127" s="224">
        <f>IF(C127="","",INDEX(Odds!K:K,MATCH(C127,Odds!G:G,0)))</f>
        <v>1</v>
      </c>
      <c r="G127" s="211">
        <f>IF(C127="","",Picks!M127)</f>
        <v>1</v>
      </c>
      <c r="H127" s="212">
        <f t="shared" si="91"/>
        <v>1.2999999999999998</v>
      </c>
      <c r="I127" s="221" t="str">
        <f t="shared" si="93"/>
        <v/>
      </c>
      <c r="X127" s="207">
        <f t="shared" si="92"/>
        <v>1.2999999999999998</v>
      </c>
    </row>
    <row r="128" spans="2:24">
      <c r="B128" s="206" t="str">
        <f>$V44</f>
        <v>Mo Sudell</v>
      </c>
      <c r="C128" s="206" t="str">
        <f>Picks!B128</f>
        <v>Bromley</v>
      </c>
      <c r="D128" s="207">
        <f>Picks!C128</f>
        <v>1</v>
      </c>
      <c r="E128" s="207">
        <f>Picks!D128</f>
        <v>1.7</v>
      </c>
      <c r="F128" s="208">
        <f>IF(C128="","",INDEX(Odds!K:K,MATCH(C128,Odds!G:G,0)))</f>
        <v>1</v>
      </c>
      <c r="G128" s="206">
        <f>IF(C128="","",Picks!M128)</f>
        <v>0</v>
      </c>
      <c r="H128" s="207">
        <f t="shared" si="91"/>
        <v>0</v>
      </c>
      <c r="I128" s="221" t="str">
        <f t="shared" si="93"/>
        <v/>
      </c>
      <c r="X128" s="207">
        <f t="shared" si="92"/>
        <v>0.7</v>
      </c>
    </row>
    <row r="129" spans="2:24">
      <c r="B129" s="206"/>
      <c r="C129" s="206" t="str">
        <f>Picks!B129</f>
        <v>Dagenham</v>
      </c>
      <c r="D129" s="207">
        <f>Picks!C129</f>
        <v>1</v>
      </c>
      <c r="E129" s="207">
        <f>Picks!D129</f>
        <v>1.6111111111111112</v>
      </c>
      <c r="F129" s="208">
        <f>IF(C129="","",INDEX(Odds!K:K,MATCH(C129,Odds!G:G,0)))</f>
        <v>1</v>
      </c>
      <c r="G129" s="206">
        <f>IF(C129="","",Picks!M129)</f>
        <v>1</v>
      </c>
      <c r="H129" s="207">
        <f t="shared" si="91"/>
        <v>0.61111111111111116</v>
      </c>
      <c r="I129" s="221" t="str">
        <f t="shared" si="93"/>
        <v/>
      </c>
      <c r="X129" s="207">
        <f t="shared" si="92"/>
        <v>0.61111111111111116</v>
      </c>
    </row>
    <row r="130" spans="2:24" ht="13.15" thickBot="1">
      <c r="B130" s="211"/>
      <c r="C130" s="211" t="str">
        <f>Picks!B130</f>
        <v>Mansfield</v>
      </c>
      <c r="D130" s="212">
        <f>Picks!C130</f>
        <v>1</v>
      </c>
      <c r="E130" s="212">
        <f>Picks!D130</f>
        <v>1.9090909090909092</v>
      </c>
      <c r="F130" s="224">
        <f>IF(C130="","",INDEX(Odds!K:K,MATCH(C130,Odds!G:G,0)))</f>
        <v>1</v>
      </c>
      <c r="G130" s="211">
        <f>IF(C130="","",Picks!M130)</f>
        <v>1</v>
      </c>
      <c r="H130" s="212">
        <f t="shared" si="91"/>
        <v>0.90909090909090917</v>
      </c>
      <c r="I130" s="221" t="str">
        <f t="shared" si="93"/>
        <v/>
      </c>
      <c r="X130" s="207">
        <f t="shared" si="92"/>
        <v>0.90909090909090917</v>
      </c>
    </row>
    <row r="131" spans="2:24">
      <c r="B131" s="207" t="str">
        <f>$V45</f>
        <v>Nick Blocksidge</v>
      </c>
      <c r="C131" s="206" t="str">
        <f>Picks!B131</f>
        <v>Man C</v>
      </c>
      <c r="D131" s="207">
        <f>Picks!C131</f>
        <v>1</v>
      </c>
      <c r="E131" s="207">
        <f>Picks!D131</f>
        <v>1.2</v>
      </c>
      <c r="F131" s="208">
        <f>IF(C131="","",INDEX(Odds!K:K,MATCH(C131,Odds!G:G,0)))</f>
        <v>1</v>
      </c>
      <c r="G131" s="206">
        <f>IF(C131="","",Picks!M131)</f>
        <v>1</v>
      </c>
      <c r="H131" s="207">
        <f t="shared" ref="H131:H175" si="94">IF(C131="","",+((E131-1)*G131*F131*A$2))</f>
        <v>0.19999999999999996</v>
      </c>
      <c r="I131" s="221" t="str">
        <f t="shared" si="93"/>
        <v/>
      </c>
      <c r="X131" s="207">
        <f t="shared" ref="X131:X187" si="95">+((E131-1)*F131*A$2)</f>
        <v>0.19999999999999996</v>
      </c>
    </row>
    <row r="132" spans="2:24">
      <c r="B132" s="206"/>
      <c r="C132" s="206" t="str">
        <f>Picks!B132</f>
        <v>Arsenal</v>
      </c>
      <c r="D132" s="207">
        <f>Picks!C132</f>
        <v>1</v>
      </c>
      <c r="E132" s="207">
        <f>Picks!D132</f>
        <v>1.4444444444444444</v>
      </c>
      <c r="F132" s="208">
        <f>IF(C132="","",INDEX(Odds!K:K,MATCH(C132,Odds!G:G,0)))</f>
        <v>1</v>
      </c>
      <c r="G132" s="206">
        <f>IF(C132="","",Picks!M132)</f>
        <v>1</v>
      </c>
      <c r="H132" s="207">
        <f t="shared" si="94"/>
        <v>0.44444444444444442</v>
      </c>
      <c r="I132" s="221" t="str">
        <f t="shared" si="93"/>
        <v/>
      </c>
      <c r="X132" s="207">
        <f t="shared" si="95"/>
        <v>0.44444444444444442</v>
      </c>
    </row>
    <row r="133" spans="2:24" ht="13.15" thickBot="1">
      <c r="B133" s="211"/>
      <c r="C133" s="211" t="str">
        <f>Picks!B133</f>
        <v>Spurs draw</v>
      </c>
      <c r="D133" s="212">
        <f>Picks!C133</f>
        <v>1</v>
      </c>
      <c r="E133" s="212">
        <f>Picks!D133</f>
        <v>3.75</v>
      </c>
      <c r="F133" s="224">
        <f>IF(C133="","",INDEX(Odds!K:K,MATCH(C133,Odds!G:G,0)))</f>
        <v>1</v>
      </c>
      <c r="G133" s="211">
        <f>IF(C133="","",Picks!M133)</f>
        <v>0</v>
      </c>
      <c r="H133" s="212">
        <f t="shared" si="94"/>
        <v>0</v>
      </c>
      <c r="I133" s="221" t="str">
        <f t="shared" si="93"/>
        <v/>
      </c>
      <c r="X133" s="207">
        <f t="shared" si="95"/>
        <v>2.75</v>
      </c>
    </row>
    <row r="134" spans="2:24">
      <c r="B134" s="207" t="str">
        <f>$V46</f>
        <v>Nigel Heyes</v>
      </c>
      <c r="C134" s="206" t="str">
        <f>Picks!B134</f>
        <v>Rotherham</v>
      </c>
      <c r="D134" s="207">
        <f>Picks!C134</f>
        <v>1</v>
      </c>
      <c r="E134" s="207">
        <f>Picks!D134</f>
        <v>1.8</v>
      </c>
      <c r="F134" s="208">
        <f>IF(C134="","",INDEX(Odds!K:K,MATCH(C134,Odds!G:G,0)))</f>
        <v>1</v>
      </c>
      <c r="G134" s="206">
        <f>IF(C134="","",Picks!M134)</f>
        <v>0</v>
      </c>
      <c r="H134" s="207">
        <f t="shared" si="94"/>
        <v>0</v>
      </c>
      <c r="I134" s="221" t="str">
        <f t="shared" si="93"/>
        <v/>
      </c>
      <c r="X134" s="207">
        <f t="shared" si="95"/>
        <v>0.8</v>
      </c>
    </row>
    <row r="135" spans="2:24">
      <c r="B135" s="206"/>
      <c r="C135" s="206" t="str">
        <f>Picks!B135</f>
        <v>Plymouth</v>
      </c>
      <c r="D135" s="207">
        <f>Picks!C135</f>
        <v>1</v>
      </c>
      <c r="E135" s="207">
        <f>Picks!D135</f>
        <v>2.2999999999999998</v>
      </c>
      <c r="F135" s="208">
        <f>IF(C135="","",INDEX(Odds!K:K,MATCH(C135,Odds!G:G,0)))</f>
        <v>1</v>
      </c>
      <c r="G135" s="206">
        <f>IF(C135="","",Picks!M135)</f>
        <v>1</v>
      </c>
      <c r="H135" s="207">
        <f t="shared" si="94"/>
        <v>1.2999999999999998</v>
      </c>
      <c r="I135" s="221" t="str">
        <f t="shared" si="93"/>
        <v/>
      </c>
      <c r="X135" s="207">
        <f t="shared" si="95"/>
        <v>1.2999999999999998</v>
      </c>
    </row>
    <row r="136" spans="2:24" ht="13.15" thickBot="1">
      <c r="B136" s="211"/>
      <c r="C136" s="211" t="str">
        <f>Picks!B136</f>
        <v>MK Dons</v>
      </c>
      <c r="D136" s="212">
        <f>Picks!C136</f>
        <v>1</v>
      </c>
      <c r="E136" s="212">
        <f>Picks!D136</f>
        <v>2.25</v>
      </c>
      <c r="F136" s="224">
        <f>IF(C136="","",INDEX(Odds!K:K,MATCH(C136,Odds!G:G,0)))</f>
        <v>1</v>
      </c>
      <c r="G136" s="211">
        <f>IF(C136="","",Picks!M136)</f>
        <v>1</v>
      </c>
      <c r="H136" s="212">
        <f t="shared" si="94"/>
        <v>1.25</v>
      </c>
      <c r="I136" s="221" t="str">
        <f t="shared" si="93"/>
        <v/>
      </c>
      <c r="X136" s="207">
        <f t="shared" si="95"/>
        <v>1.25</v>
      </c>
    </row>
    <row r="137" spans="2:24">
      <c r="B137" s="206" t="str">
        <f>$V47</f>
        <v>Oscar Jackson</v>
      </c>
      <c r="C137" s="206" t="str">
        <f>Picks!B137</f>
        <v/>
      </c>
      <c r="D137" s="207" t="str">
        <f>Picks!C137</f>
        <v/>
      </c>
      <c r="E137" s="207" t="str">
        <f>Picks!D137</f>
        <v/>
      </c>
      <c r="F137" s="208" t="str">
        <f>IF(C137="","",INDEX(Odds!K:K,MATCH(C137,Odds!G:G,0)))</f>
        <v/>
      </c>
      <c r="G137" s="206" t="str">
        <f>IF(C137="","",Picks!M137)</f>
        <v/>
      </c>
      <c r="H137" s="207" t="str">
        <f t="shared" si="94"/>
        <v/>
      </c>
      <c r="I137" s="221" t="str">
        <f t="shared" si="93"/>
        <v/>
      </c>
      <c r="X137" s="207" t="e">
        <f t="shared" si="95"/>
        <v>#VALUE!</v>
      </c>
    </row>
    <row r="138" spans="2:24">
      <c r="B138" s="206"/>
      <c r="C138" s="206" t="str">
        <f>Picks!B138</f>
        <v/>
      </c>
      <c r="D138" s="207" t="str">
        <f>Picks!C138</f>
        <v/>
      </c>
      <c r="E138" s="207" t="str">
        <f>Picks!D138</f>
        <v/>
      </c>
      <c r="F138" s="208" t="str">
        <f>IF(C138="","",INDEX(Odds!K:K,MATCH(C138,Odds!G:G,0)))</f>
        <v/>
      </c>
      <c r="G138" s="206" t="str">
        <f>IF(C138="","",Picks!M138)</f>
        <v/>
      </c>
      <c r="H138" s="207" t="str">
        <f t="shared" si="94"/>
        <v/>
      </c>
      <c r="I138" s="221" t="str">
        <f t="shared" si="93"/>
        <v/>
      </c>
      <c r="X138" s="207" t="e">
        <f t="shared" si="95"/>
        <v>#VALUE!</v>
      </c>
    </row>
    <row r="139" spans="2:24" ht="13.15" thickBot="1">
      <c r="B139" s="211"/>
      <c r="C139" s="211" t="str">
        <f>Picks!B139</f>
        <v/>
      </c>
      <c r="D139" s="212" t="str">
        <f>Picks!C139</f>
        <v/>
      </c>
      <c r="E139" s="212" t="str">
        <f>Picks!D139</f>
        <v/>
      </c>
      <c r="F139" s="224" t="str">
        <f>IF(C139="","",INDEX(Odds!K:K,MATCH(C139,Odds!G:G,0)))</f>
        <v/>
      </c>
      <c r="G139" s="211" t="str">
        <f>IF(C139="","",Picks!M139)</f>
        <v/>
      </c>
      <c r="H139" s="212" t="str">
        <f t="shared" si="94"/>
        <v/>
      </c>
      <c r="I139" s="221" t="str">
        <f t="shared" si="93"/>
        <v/>
      </c>
      <c r="X139" s="207" t="e">
        <f t="shared" si="95"/>
        <v>#VALUE!</v>
      </c>
    </row>
    <row r="140" spans="2:24">
      <c r="B140" s="207" t="str">
        <f>$V48</f>
        <v>Paul Adderley</v>
      </c>
      <c r="C140" s="206" t="str">
        <f>Picks!B140</f>
        <v>Spurs</v>
      </c>
      <c r="D140" s="207">
        <f>Picks!C140</f>
        <v>1</v>
      </c>
      <c r="E140" s="207">
        <f>Picks!D140</f>
        <v>1.7</v>
      </c>
      <c r="F140" s="208">
        <f>IF(C140="","",INDEX(Odds!K:K,MATCH(C140,Odds!G:G,0)))</f>
        <v>1</v>
      </c>
      <c r="G140" s="206">
        <f>IF(C140="","",Picks!M140)</f>
        <v>1</v>
      </c>
      <c r="H140" s="207">
        <f t="shared" si="94"/>
        <v>0.7</v>
      </c>
      <c r="I140" s="221" t="str">
        <f t="shared" si="93"/>
        <v/>
      </c>
      <c r="X140" s="207">
        <f t="shared" si="95"/>
        <v>0.7</v>
      </c>
    </row>
    <row r="141" spans="2:24">
      <c r="B141" s="206"/>
      <c r="C141" s="206" t="str">
        <f>Picks!B141</f>
        <v>West Ham</v>
      </c>
      <c r="D141" s="207">
        <f>Picks!C141</f>
        <v>1</v>
      </c>
      <c r="E141" s="207">
        <f>Picks!D141</f>
        <v>1.75</v>
      </c>
      <c r="F141" s="208">
        <f>IF(C141="","",INDEX(Odds!K:K,MATCH(C141,Odds!G:G,0)))</f>
        <v>1</v>
      </c>
      <c r="G141" s="206">
        <f>IF(C141="","",Picks!M141)</f>
        <v>0</v>
      </c>
      <c r="H141" s="207">
        <f t="shared" si="94"/>
        <v>0</v>
      </c>
      <c r="I141" s="221" t="str">
        <f t="shared" si="93"/>
        <v/>
      </c>
      <c r="X141" s="207">
        <f t="shared" si="95"/>
        <v>0.75</v>
      </c>
    </row>
    <row r="142" spans="2:24" ht="13.15" thickBot="1">
      <c r="B142" s="211"/>
      <c r="C142" s="211" t="str">
        <f>Picks!B142</f>
        <v>Arsenal</v>
      </c>
      <c r="D142" s="212">
        <f>Picks!C142</f>
        <v>1</v>
      </c>
      <c r="E142" s="212">
        <f>Picks!D142</f>
        <v>1.4444444444444444</v>
      </c>
      <c r="F142" s="224">
        <f>IF(C142="","",INDEX(Odds!K:K,MATCH(C142,Odds!G:G,0)))</f>
        <v>1</v>
      </c>
      <c r="G142" s="211">
        <f>IF(C142="","",Picks!M142)</f>
        <v>1</v>
      </c>
      <c r="H142" s="212">
        <f t="shared" si="94"/>
        <v>0.44444444444444442</v>
      </c>
      <c r="I142" s="221" t="str">
        <f t="shared" si="93"/>
        <v/>
      </c>
      <c r="X142" s="207">
        <f t="shared" si="95"/>
        <v>0.44444444444444442</v>
      </c>
    </row>
    <row r="143" spans="2:24">
      <c r="B143" s="207" t="str">
        <f>$V49</f>
        <v>Paul Allen</v>
      </c>
      <c r="C143" s="206" t="str">
        <f>Picks!B143</f>
        <v>Brighton</v>
      </c>
      <c r="D143" s="207">
        <f>Picks!C143</f>
        <v>1</v>
      </c>
      <c r="E143" s="207">
        <f>Picks!D143</f>
        <v>1.85</v>
      </c>
      <c r="F143" s="208">
        <f>IF(C143="","",INDEX(Odds!K:K,MATCH(C143,Odds!G:G,0)))</f>
        <v>1</v>
      </c>
      <c r="G143" s="206">
        <f>IF(C143="","",Picks!M143)</f>
        <v>1</v>
      </c>
      <c r="H143" s="207">
        <f t="shared" si="94"/>
        <v>0.85000000000000009</v>
      </c>
      <c r="I143" s="221" t="str">
        <f t="shared" si="93"/>
        <v/>
      </c>
      <c r="X143" s="207">
        <f t="shared" si="95"/>
        <v>0.85000000000000009</v>
      </c>
    </row>
    <row r="144" spans="2:24">
      <c r="B144" s="206"/>
      <c r="C144" s="206" t="str">
        <f>Picks!B144</f>
        <v>Spurs</v>
      </c>
      <c r="D144" s="207">
        <f>Picks!C144</f>
        <v>1</v>
      </c>
      <c r="E144" s="207">
        <f>Picks!D144</f>
        <v>1.7</v>
      </c>
      <c r="F144" s="208">
        <f>IF(C144="","",INDEX(Odds!K:K,MATCH(C144,Odds!G:G,0)))</f>
        <v>1</v>
      </c>
      <c r="G144" s="206">
        <f>IF(C144="","",Picks!M144)</f>
        <v>1</v>
      </c>
      <c r="H144" s="207">
        <f t="shared" si="94"/>
        <v>0.7</v>
      </c>
      <c r="I144" s="221" t="str">
        <f t="shared" si="93"/>
        <v/>
      </c>
      <c r="X144" s="207">
        <f t="shared" si="95"/>
        <v>0.7</v>
      </c>
    </row>
    <row r="145" spans="2:24" ht="13.15" thickBot="1">
      <c r="B145" s="211"/>
      <c r="C145" s="211" t="str">
        <f>Picks!B145</f>
        <v>West Ham</v>
      </c>
      <c r="D145" s="212">
        <f>Picks!C145</f>
        <v>1</v>
      </c>
      <c r="E145" s="212">
        <f>Picks!D145</f>
        <v>1.75</v>
      </c>
      <c r="F145" s="224">
        <f>IF(C145="","",INDEX(Odds!K:K,MATCH(C145,Odds!G:G,0)))</f>
        <v>1</v>
      </c>
      <c r="G145" s="211">
        <f>IF(C145="","",Picks!M145)</f>
        <v>0</v>
      </c>
      <c r="H145" s="212">
        <f t="shared" si="94"/>
        <v>0</v>
      </c>
      <c r="I145" s="221" t="str">
        <f t="shared" si="93"/>
        <v/>
      </c>
      <c r="X145" s="207">
        <f t="shared" si="95"/>
        <v>0.75</v>
      </c>
    </row>
    <row r="146" spans="2:24">
      <c r="B146" s="207" t="str">
        <f>$V50</f>
        <v>Paul Barnes</v>
      </c>
      <c r="C146" s="206" t="str">
        <f>Picks!B146</f>
        <v>Arsenal</v>
      </c>
      <c r="D146" s="207">
        <f>Picks!C146</f>
        <v>1</v>
      </c>
      <c r="E146" s="207">
        <f>Picks!D146</f>
        <v>1.4444444444444444</v>
      </c>
      <c r="F146" s="208">
        <f>IF(C146="","",INDEX(Odds!K:K,MATCH(C146,Odds!G:G,0)))</f>
        <v>1</v>
      </c>
      <c r="G146" s="206">
        <f>IF(C146="","",Picks!M146)</f>
        <v>1</v>
      </c>
      <c r="H146" s="207">
        <f t="shared" si="94"/>
        <v>0.44444444444444442</v>
      </c>
      <c r="I146" s="221" t="str">
        <f t="shared" si="93"/>
        <v/>
      </c>
      <c r="X146" s="207">
        <f t="shared" si="95"/>
        <v>0.44444444444444442</v>
      </c>
    </row>
    <row r="147" spans="2:24">
      <c r="B147" s="206"/>
      <c r="C147" s="206" t="str">
        <f>Picks!B147</f>
        <v>Brentford</v>
      </c>
      <c r="D147" s="207">
        <f>Picks!C147</f>
        <v>1</v>
      </c>
      <c r="E147" s="207">
        <f>Picks!D147</f>
        <v>4.2</v>
      </c>
      <c r="F147" s="208">
        <f>IF(C147="","",INDEX(Odds!K:K,MATCH(C147,Odds!G:G,0)))</f>
        <v>1</v>
      </c>
      <c r="G147" s="206">
        <f>IF(C147="","",Picks!M147)</f>
        <v>0</v>
      </c>
      <c r="H147" s="207">
        <f t="shared" si="94"/>
        <v>0</v>
      </c>
      <c r="I147" s="221" t="str">
        <f t="shared" si="93"/>
        <v/>
      </c>
      <c r="X147" s="207">
        <f t="shared" si="95"/>
        <v>3.2</v>
      </c>
    </row>
    <row r="148" spans="2:24" ht="13.15" thickBot="1">
      <c r="B148" s="211"/>
      <c r="C148" s="211" t="str">
        <f>Picks!B148</f>
        <v>Villa draw</v>
      </c>
      <c r="D148" s="212">
        <f>Picks!C148</f>
        <v>1</v>
      </c>
      <c r="E148" s="212">
        <f>Picks!D148</f>
        <v>3.75</v>
      </c>
      <c r="F148" s="224">
        <f>IF(C148="","",INDEX(Odds!K:K,MATCH(C148,Odds!G:G,0)))</f>
        <v>1</v>
      </c>
      <c r="G148" s="211">
        <f>IF(C148="","",Picks!M148)</f>
        <v>0</v>
      </c>
      <c r="H148" s="212">
        <f t="shared" si="94"/>
        <v>0</v>
      </c>
      <c r="I148" s="221" t="str">
        <f t="shared" si="93"/>
        <v/>
      </c>
      <c r="X148" s="207">
        <f t="shared" si="95"/>
        <v>2.75</v>
      </c>
    </row>
    <row r="149" spans="2:24">
      <c r="B149" s="207" t="str">
        <f>$V51</f>
        <v>Paul Fairhurst</v>
      </c>
      <c r="C149" s="206" t="str">
        <f>Picks!B149</f>
        <v>Hull</v>
      </c>
      <c r="D149" s="207">
        <f>Picks!C149</f>
        <v>1</v>
      </c>
      <c r="E149" s="207">
        <f>Picks!D149</f>
        <v>2.875</v>
      </c>
      <c r="F149" s="208">
        <f>IF(C149="","",INDEX(Odds!K:K,MATCH(C149,Odds!G:G,0)))</f>
        <v>0</v>
      </c>
      <c r="G149" s="206">
        <f>IF(C149="","",Picks!M149)</f>
        <v>0</v>
      </c>
      <c r="H149" s="207">
        <f t="shared" si="94"/>
        <v>0</v>
      </c>
      <c r="I149" s="221" t="str">
        <f t="shared" si="93"/>
        <v/>
      </c>
      <c r="X149" s="207">
        <f t="shared" si="95"/>
        <v>0</v>
      </c>
    </row>
    <row r="150" spans="2:24">
      <c r="B150" s="206"/>
      <c r="C150" s="206" t="str">
        <f>Picks!B150</f>
        <v>Lincoln</v>
      </c>
      <c r="D150" s="207">
        <f>Picks!C150</f>
        <v>1</v>
      </c>
      <c r="E150" s="207">
        <f>Picks!D150</f>
        <v>3</v>
      </c>
      <c r="F150" s="208">
        <f>IF(C150="","",INDEX(Odds!K:K,MATCH(C150,Odds!G:G,0)))</f>
        <v>1</v>
      </c>
      <c r="G150" s="206">
        <f>IF(C150="","",Picks!M150)</f>
        <v>0</v>
      </c>
      <c r="H150" s="207">
        <f t="shared" si="94"/>
        <v>0</v>
      </c>
      <c r="I150" s="221" t="str">
        <f t="shared" si="93"/>
        <v/>
      </c>
      <c r="X150" s="207">
        <f t="shared" si="95"/>
        <v>2</v>
      </c>
    </row>
    <row r="151" spans="2:24" ht="13.15" thickBot="1">
      <c r="B151" s="211"/>
      <c r="C151" s="211" t="str">
        <f>Picks!B151</f>
        <v>Colchester</v>
      </c>
      <c r="D151" s="212">
        <f>Picks!C151</f>
        <v>1</v>
      </c>
      <c r="E151" s="212">
        <f>Picks!D151</f>
        <v>3.5</v>
      </c>
      <c r="F151" s="224">
        <f>IF(C151="","",INDEX(Odds!K:K,MATCH(C151,Odds!G:G,0)))</f>
        <v>0</v>
      </c>
      <c r="G151" s="211">
        <f>IF(C151="","",Picks!M151)</f>
        <v>0</v>
      </c>
      <c r="H151" s="212">
        <f t="shared" si="94"/>
        <v>0</v>
      </c>
      <c r="I151" s="221" t="str">
        <f t="shared" si="93"/>
        <v/>
      </c>
      <c r="X151" s="207">
        <f t="shared" si="95"/>
        <v>0</v>
      </c>
    </row>
    <row r="152" spans="2:24">
      <c r="B152" s="207" t="str">
        <f>$V52</f>
        <v>Paul Fiddler</v>
      </c>
      <c r="C152" s="206" t="str">
        <f>Picks!B152</f>
        <v>Arsenal</v>
      </c>
      <c r="D152" s="207">
        <f>Picks!C152</f>
        <v>1</v>
      </c>
      <c r="E152" s="207">
        <f>Picks!D152</f>
        <v>1.4444444444444444</v>
      </c>
      <c r="F152" s="208">
        <f>IF(C152="","",INDEX(Odds!K:K,MATCH(C152,Odds!G:G,0)))</f>
        <v>1</v>
      </c>
      <c r="G152" s="206">
        <f>IF(C152="","",Picks!M152)</f>
        <v>1</v>
      </c>
      <c r="H152" s="207">
        <f t="shared" si="94"/>
        <v>0.44444444444444442</v>
      </c>
      <c r="I152" s="221" t="str">
        <f t="shared" si="93"/>
        <v/>
      </c>
      <c r="X152" s="207">
        <f t="shared" si="95"/>
        <v>0.44444444444444442</v>
      </c>
    </row>
    <row r="153" spans="2:24">
      <c r="B153" s="206"/>
      <c r="C153" s="206" t="str">
        <f>Picks!B153</f>
        <v>Spurs</v>
      </c>
      <c r="D153" s="207">
        <f>Picks!C153</f>
        <v>1</v>
      </c>
      <c r="E153" s="207">
        <f>Picks!D153</f>
        <v>1.7</v>
      </c>
      <c r="F153" s="208">
        <f>IF(C153="","",INDEX(Odds!K:K,MATCH(C153,Odds!G:G,0)))</f>
        <v>1</v>
      </c>
      <c r="G153" s="206">
        <f>IF(C153="","",Picks!M153)</f>
        <v>1</v>
      </c>
      <c r="H153" s="207">
        <f t="shared" si="94"/>
        <v>0.7</v>
      </c>
      <c r="I153" s="221" t="str">
        <f t="shared" si="93"/>
        <v/>
      </c>
      <c r="X153" s="207">
        <f t="shared" si="95"/>
        <v>0.7</v>
      </c>
    </row>
    <row r="154" spans="2:24" ht="13.15" thickBot="1">
      <c r="B154" s="211"/>
      <c r="C154" s="211" t="str">
        <f>Picks!B154</f>
        <v>West Ham</v>
      </c>
      <c r="D154" s="212">
        <f>Picks!C154</f>
        <v>1</v>
      </c>
      <c r="E154" s="212">
        <f>Picks!D154</f>
        <v>1.75</v>
      </c>
      <c r="F154" s="224">
        <f>IF(C154="","",INDEX(Odds!K:K,MATCH(C154,Odds!G:G,0)))</f>
        <v>1</v>
      </c>
      <c r="G154" s="211">
        <f>IF(C154="","",Picks!M154)</f>
        <v>0</v>
      </c>
      <c r="H154" s="212">
        <f t="shared" si="94"/>
        <v>0</v>
      </c>
      <c r="I154" s="221" t="str">
        <f t="shared" si="93"/>
        <v/>
      </c>
      <c r="X154" s="207">
        <f t="shared" si="95"/>
        <v>0.75</v>
      </c>
    </row>
    <row r="155" spans="2:24">
      <c r="B155" s="207" t="str">
        <f>$V53</f>
        <v>Pete Baron</v>
      </c>
      <c r="C155" s="206" t="str">
        <f>Picks!B155</f>
        <v>Man C draw</v>
      </c>
      <c r="D155" s="207">
        <f>Picks!C155</f>
        <v>1</v>
      </c>
      <c r="E155" s="207">
        <f>Picks!D155</f>
        <v>6.5</v>
      </c>
      <c r="F155" s="208">
        <f>IF(C155="","",INDEX(Odds!K:K,MATCH(C155,Odds!G:G,0)))</f>
        <v>1</v>
      </c>
      <c r="G155" s="206">
        <f>IF(C155="","",Picks!M155)</f>
        <v>0</v>
      </c>
      <c r="H155" s="207">
        <f t="shared" si="94"/>
        <v>0</v>
      </c>
      <c r="I155" s="221" t="str">
        <f t="shared" si="93"/>
        <v/>
      </c>
      <c r="X155" s="207">
        <f t="shared" si="95"/>
        <v>5.5</v>
      </c>
    </row>
    <row r="156" spans="2:24">
      <c r="B156" s="206"/>
      <c r="C156" s="206" t="str">
        <f>Picks!B156</f>
        <v>Villa</v>
      </c>
      <c r="D156" s="207">
        <f>Picks!C156</f>
        <v>1</v>
      </c>
      <c r="E156" s="207">
        <f>Picks!D156</f>
        <v>5.8</v>
      </c>
      <c r="F156" s="208">
        <f>IF(C156="","",INDEX(Odds!K:K,MATCH(C156,Odds!G:G,0)))</f>
        <v>1</v>
      </c>
      <c r="G156" s="206">
        <f>IF(C156="","",Picks!M156)</f>
        <v>0</v>
      </c>
      <c r="H156" s="207">
        <f t="shared" si="94"/>
        <v>0</v>
      </c>
      <c r="I156" s="221" t="str">
        <f t="shared" si="93"/>
        <v/>
      </c>
      <c r="X156" s="207">
        <f t="shared" si="95"/>
        <v>4.8</v>
      </c>
    </row>
    <row r="157" spans="2:24" ht="13.15" thickBot="1">
      <c r="B157" s="211"/>
      <c r="C157" s="211" t="str">
        <f>Picks!B157</f>
        <v>Palace</v>
      </c>
      <c r="D157" s="212">
        <f>Picks!C157</f>
        <v>1</v>
      </c>
      <c r="E157" s="212">
        <f>Picks!D157</f>
        <v>4.8</v>
      </c>
      <c r="F157" s="224">
        <f>IF(C157="","",INDEX(Odds!K:K,MATCH(C157,Odds!G:G,0)))</f>
        <v>1</v>
      </c>
      <c r="G157" s="211">
        <f>IF(C157="","",Picks!M157)</f>
        <v>0</v>
      </c>
      <c r="H157" s="212">
        <f t="shared" si="94"/>
        <v>0</v>
      </c>
      <c r="I157" s="221" t="str">
        <f t="shared" si="93"/>
        <v/>
      </c>
      <c r="X157" s="207">
        <f t="shared" si="95"/>
        <v>3.8</v>
      </c>
    </row>
    <row r="158" spans="2:24">
      <c r="B158" s="207" t="str">
        <f>$V54</f>
        <v>Phil Miller</v>
      </c>
      <c r="C158" s="206" t="str">
        <f>Picks!B158</f>
        <v>Spurs</v>
      </c>
      <c r="D158" s="207">
        <f>Picks!C158</f>
        <v>1</v>
      </c>
      <c r="E158" s="207">
        <f>Picks!D158</f>
        <v>1.7</v>
      </c>
      <c r="F158" s="208">
        <f>IF(C158="","",INDEX(Odds!K:K,MATCH(C158,Odds!G:G,0)))</f>
        <v>1</v>
      </c>
      <c r="G158" s="206">
        <f>IF(C158="","",Picks!M158)</f>
        <v>1</v>
      </c>
      <c r="H158" s="207">
        <f t="shared" si="94"/>
        <v>0.7</v>
      </c>
      <c r="I158" s="221" t="str">
        <f t="shared" si="93"/>
        <v/>
      </c>
      <c r="X158" s="207">
        <f t="shared" si="95"/>
        <v>0.7</v>
      </c>
    </row>
    <row r="159" spans="2:24">
      <c r="B159" s="206"/>
      <c r="C159" s="206" t="str">
        <f>Picks!B159</f>
        <v>West Ham</v>
      </c>
      <c r="D159" s="207">
        <f>Picks!C159</f>
        <v>1</v>
      </c>
      <c r="E159" s="207">
        <f>Picks!D159</f>
        <v>1.75</v>
      </c>
      <c r="F159" s="208">
        <f>IF(C159="","",INDEX(Odds!K:K,MATCH(C159,Odds!G:G,0)))</f>
        <v>1</v>
      </c>
      <c r="G159" s="206">
        <f>IF(C159="","",Picks!M159)</f>
        <v>0</v>
      </c>
      <c r="H159" s="207">
        <f t="shared" si="94"/>
        <v>0</v>
      </c>
      <c r="I159" s="221" t="str">
        <f t="shared" si="93"/>
        <v/>
      </c>
      <c r="X159" s="207">
        <f t="shared" si="95"/>
        <v>0.75</v>
      </c>
    </row>
    <row r="160" spans="2:24" ht="13.15" thickBot="1">
      <c r="B160" s="211"/>
      <c r="C160" s="211" t="str">
        <f>Picks!B160</f>
        <v>Chelsea</v>
      </c>
      <c r="D160" s="212">
        <f>Picks!C160</f>
        <v>1</v>
      </c>
      <c r="E160" s="212">
        <f>Picks!D160</f>
        <v>1.6153846153846154</v>
      </c>
      <c r="F160" s="224">
        <f>IF(C160="","",INDEX(Odds!K:K,MATCH(C160,Odds!G:G,0)))</f>
        <v>1</v>
      </c>
      <c r="G160" s="211">
        <f>IF(C160="","",Picks!M160)</f>
        <v>1</v>
      </c>
      <c r="H160" s="212">
        <f t="shared" si="94"/>
        <v>0.61538461538461542</v>
      </c>
      <c r="I160" s="221" t="str">
        <f t="shared" si="93"/>
        <v/>
      </c>
      <c r="X160" s="207">
        <f t="shared" si="95"/>
        <v>0.61538461538461542</v>
      </c>
    </row>
    <row r="161" spans="2:24">
      <c r="B161" s="207" t="str">
        <f>$V55</f>
        <v>Rob England</v>
      </c>
      <c r="C161" s="206" t="str">
        <f>Picks!B161</f>
        <v>Arsenal</v>
      </c>
      <c r="D161" s="207">
        <f>Picks!C161</f>
        <v>1</v>
      </c>
      <c r="E161" s="207">
        <f>Picks!D161</f>
        <v>1.4444444444444444</v>
      </c>
      <c r="F161" s="208">
        <f>IF(C161="","",INDEX(Odds!K:K,MATCH(C161,Odds!G:G,0)))</f>
        <v>1</v>
      </c>
      <c r="G161" s="206">
        <f>IF(C161="","",Picks!M161)</f>
        <v>1</v>
      </c>
      <c r="H161" s="207">
        <f t="shared" si="94"/>
        <v>0.44444444444444442</v>
      </c>
      <c r="I161" s="221" t="str">
        <f t="shared" si="93"/>
        <v/>
      </c>
      <c r="X161" s="207">
        <f t="shared" si="95"/>
        <v>0.44444444444444442</v>
      </c>
    </row>
    <row r="162" spans="2:24">
      <c r="B162" s="206"/>
      <c r="C162" s="206" t="str">
        <f>Picks!B162</f>
        <v>Mansfield</v>
      </c>
      <c r="D162" s="207">
        <f>Picks!C162</f>
        <v>1</v>
      </c>
      <c r="E162" s="207">
        <f>Picks!D162</f>
        <v>1.9090909090909092</v>
      </c>
      <c r="F162" s="208">
        <f>IF(C162="","",INDEX(Odds!K:K,MATCH(C162,Odds!G:G,0)))</f>
        <v>1</v>
      </c>
      <c r="G162" s="206">
        <f>IF(C162="","",Picks!M162)</f>
        <v>1</v>
      </c>
      <c r="H162" s="207">
        <f t="shared" si="94"/>
        <v>0.90909090909090917</v>
      </c>
      <c r="I162" s="221" t="str">
        <f t="shared" si="93"/>
        <v/>
      </c>
      <c r="X162" s="207">
        <f t="shared" si="95"/>
        <v>0.90909090909090917</v>
      </c>
    </row>
    <row r="163" spans="2:24" ht="13.15" thickBot="1">
      <c r="B163" s="211"/>
      <c r="C163" s="211" t="str">
        <f>Picks!B163</f>
        <v>Plymouth</v>
      </c>
      <c r="D163" s="212">
        <f>Picks!C163</f>
        <v>1</v>
      </c>
      <c r="E163" s="212">
        <f>Picks!D163</f>
        <v>2.2999999999999998</v>
      </c>
      <c r="F163" s="224">
        <f>IF(C163="","",INDEX(Odds!K:K,MATCH(C163,Odds!G:G,0)))</f>
        <v>1</v>
      </c>
      <c r="G163" s="211">
        <f>IF(C163="","",Picks!M163)</f>
        <v>1</v>
      </c>
      <c r="H163" s="212">
        <f t="shared" si="94"/>
        <v>1.2999999999999998</v>
      </c>
      <c r="I163" s="221" t="str">
        <f t="shared" si="93"/>
        <v/>
      </c>
      <c r="X163" s="207">
        <f t="shared" si="95"/>
        <v>1.2999999999999998</v>
      </c>
    </row>
    <row r="164" spans="2:24">
      <c r="B164" s="207" t="str">
        <f>$V56</f>
        <v>Sally Williams</v>
      </c>
      <c r="C164" s="206" t="str">
        <f>Picks!B164</f>
        <v>Brighton draw</v>
      </c>
      <c r="D164" s="207">
        <f>Picks!C164</f>
        <v>1</v>
      </c>
      <c r="E164" s="207">
        <f>Picks!D164</f>
        <v>3.5</v>
      </c>
      <c r="F164" s="208">
        <f>IF(C164="","",INDEX(Odds!K:K,MATCH(C164,Odds!G:G,0)))</f>
        <v>1</v>
      </c>
      <c r="G164" s="206">
        <f>IF(C164="","",Picks!M164)</f>
        <v>0</v>
      </c>
      <c r="H164" s="207">
        <f t="shared" si="94"/>
        <v>0</v>
      </c>
      <c r="I164" s="221" t="str">
        <f t="shared" si="93"/>
        <v/>
      </c>
      <c r="X164" s="207">
        <f t="shared" si="95"/>
        <v>2.5</v>
      </c>
    </row>
    <row r="165" spans="2:24">
      <c r="B165" s="206"/>
      <c r="C165" s="206" t="str">
        <f>Picks!B165</f>
        <v>Huddersfield draw</v>
      </c>
      <c r="D165" s="207">
        <f>Picks!C165</f>
        <v>1</v>
      </c>
      <c r="E165" s="207">
        <f>Picks!D165</f>
        <v>3.3</v>
      </c>
      <c r="F165" s="208">
        <f>IF(C165="","",INDEX(Odds!K:K,MATCH(C165,Odds!G:G,0)))</f>
        <v>1</v>
      </c>
      <c r="G165" s="206">
        <f>IF(C165="","",Picks!M165)</f>
        <v>0</v>
      </c>
      <c r="H165" s="207">
        <f t="shared" si="94"/>
        <v>0</v>
      </c>
      <c r="I165" s="221" t="str">
        <f t="shared" si="93"/>
        <v/>
      </c>
      <c r="X165" s="207">
        <f t="shared" si="95"/>
        <v>2.2999999999999998</v>
      </c>
    </row>
    <row r="166" spans="2:24" ht="13.15" thickBot="1">
      <c r="B166" s="211"/>
      <c r="C166" s="211" t="str">
        <f>Picks!B166</f>
        <v>Middlesbro draw</v>
      </c>
      <c r="D166" s="212">
        <f>Picks!C166</f>
        <v>1</v>
      </c>
      <c r="E166" s="212">
        <f>Picks!D166</f>
        <v>3.2</v>
      </c>
      <c r="F166" s="224">
        <f>IF(C166="","",INDEX(Odds!K:K,MATCH(C166,Odds!G:G,0)))</f>
        <v>1</v>
      </c>
      <c r="G166" s="211">
        <f>IF(C166="","",Picks!M166)</f>
        <v>0</v>
      </c>
      <c r="H166" s="212">
        <f t="shared" si="94"/>
        <v>0</v>
      </c>
      <c r="I166" s="221" t="str">
        <f t="shared" si="93"/>
        <v/>
      </c>
      <c r="X166" s="207">
        <f t="shared" si="95"/>
        <v>2.2000000000000002</v>
      </c>
    </row>
    <row r="167" spans="2:24">
      <c r="B167" s="207" t="str">
        <f>$V57</f>
        <v>Simon Greenhalgh</v>
      </c>
      <c r="C167" s="206" t="str">
        <f>Picks!B167</f>
        <v>Oldham</v>
      </c>
      <c r="D167" s="207">
        <f>Picks!C167</f>
        <v>1</v>
      </c>
      <c r="E167" s="207">
        <f>Picks!D167</f>
        <v>2.2000000000000002</v>
      </c>
      <c r="F167" s="208">
        <f>IF(C167="","",INDEX(Odds!K:K,MATCH(C167,Odds!G:G,0)))</f>
        <v>1</v>
      </c>
      <c r="G167" s="206">
        <f>IF(C167="","",Picks!M167)</f>
        <v>0</v>
      </c>
      <c r="H167" s="207">
        <f t="shared" si="94"/>
        <v>0</v>
      </c>
      <c r="I167" s="221" t="str">
        <f t="shared" si="93"/>
        <v/>
      </c>
      <c r="X167" s="207">
        <f t="shared" si="95"/>
        <v>1.2000000000000002</v>
      </c>
    </row>
    <row r="168" spans="2:24">
      <c r="B168" s="206"/>
      <c r="C168" s="206" t="str">
        <f>Picks!B168</f>
        <v>Plymouth</v>
      </c>
      <c r="D168" s="207">
        <f>Picks!C168</f>
        <v>1</v>
      </c>
      <c r="E168" s="207">
        <f>Picks!D168</f>
        <v>2.2999999999999998</v>
      </c>
      <c r="F168" s="208">
        <f>IF(C168="","",INDEX(Odds!K:K,MATCH(C168,Odds!G:G,0)))</f>
        <v>1</v>
      </c>
      <c r="G168" s="206">
        <f>IF(C168="","",Picks!M168)</f>
        <v>1</v>
      </c>
      <c r="H168" s="207">
        <f t="shared" si="94"/>
        <v>1.2999999999999998</v>
      </c>
      <c r="I168" s="221" t="str">
        <f t="shared" si="93"/>
        <v/>
      </c>
      <c r="X168" s="207">
        <f t="shared" si="95"/>
        <v>1.2999999999999998</v>
      </c>
    </row>
    <row r="169" spans="2:24" ht="13.15" thickBot="1">
      <c r="B169" s="211"/>
      <c r="C169" s="211" t="str">
        <f>Picks!B169</f>
        <v>Tranmere</v>
      </c>
      <c r="D169" s="212">
        <f>Picks!C169</f>
        <v>1</v>
      </c>
      <c r="E169" s="212">
        <f>Picks!D169</f>
        <v>2.15</v>
      </c>
      <c r="F169" s="224">
        <f>IF(C169="","",INDEX(Odds!K:K,MATCH(C169,Odds!G:G,0)))</f>
        <v>1</v>
      </c>
      <c r="G169" s="211">
        <f>IF(C169="","",Picks!M169)</f>
        <v>1</v>
      </c>
      <c r="H169" s="212">
        <f t="shared" si="94"/>
        <v>1.1499999999999999</v>
      </c>
      <c r="I169" s="221" t="str">
        <f t="shared" si="93"/>
        <v/>
      </c>
      <c r="X169" s="207">
        <f t="shared" si="95"/>
        <v>1.1499999999999999</v>
      </c>
    </row>
    <row r="170" spans="2:24">
      <c r="B170" s="207" t="str">
        <f>$V58</f>
        <v>Stephen Barr</v>
      </c>
      <c r="C170" s="206" t="str">
        <f>Picks!B170</f>
        <v>West ham</v>
      </c>
      <c r="D170" s="207">
        <f>Picks!C170</f>
        <v>1</v>
      </c>
      <c r="E170" s="207">
        <f>Picks!D170</f>
        <v>1.75</v>
      </c>
      <c r="F170" s="208">
        <f>IF(C170="","",INDEX(Odds!K:K,MATCH(C170,Odds!G:G,0)))</f>
        <v>1</v>
      </c>
      <c r="G170" s="206">
        <f>IF(C170="","",Picks!M170)</f>
        <v>0</v>
      </c>
      <c r="H170" s="207">
        <f t="shared" si="94"/>
        <v>0</v>
      </c>
      <c r="I170" s="221" t="str">
        <f t="shared" si="93"/>
        <v/>
      </c>
      <c r="X170" s="207">
        <f t="shared" si="95"/>
        <v>0.75</v>
      </c>
    </row>
    <row r="171" spans="2:24">
      <c r="B171" s="206"/>
      <c r="C171" s="206" t="str">
        <f>Picks!B171</f>
        <v>Spurs</v>
      </c>
      <c r="D171" s="207">
        <f>Picks!C171</f>
        <v>1</v>
      </c>
      <c r="E171" s="207">
        <f>Picks!D171</f>
        <v>1.7</v>
      </c>
      <c r="F171" s="208">
        <f>IF(C171="","",INDEX(Odds!K:K,MATCH(C171,Odds!G:G,0)))</f>
        <v>1</v>
      </c>
      <c r="G171" s="206">
        <f>IF(C171="","",Picks!M171)</f>
        <v>1</v>
      </c>
      <c r="H171" s="207">
        <f t="shared" si="94"/>
        <v>0.7</v>
      </c>
      <c r="I171" s="221" t="str">
        <f t="shared" si="93"/>
        <v/>
      </c>
      <c r="X171" s="207">
        <f t="shared" si="95"/>
        <v>0.7</v>
      </c>
    </row>
    <row r="172" spans="2:24" ht="13.15" thickBot="1">
      <c r="B172" s="211"/>
      <c r="C172" s="211" t="str">
        <f>Picks!B172</f>
        <v>Arsenal</v>
      </c>
      <c r="D172" s="212">
        <f>Picks!C172</f>
        <v>1</v>
      </c>
      <c r="E172" s="212">
        <f>Picks!D172</f>
        <v>1.4444444444444444</v>
      </c>
      <c r="F172" s="224">
        <f>IF(C172="","",INDEX(Odds!K:K,MATCH(C172,Odds!G:G,0)))</f>
        <v>1</v>
      </c>
      <c r="G172" s="209">
        <f>IF(C172="","",Picks!M172)</f>
        <v>1</v>
      </c>
      <c r="H172" s="212">
        <f t="shared" si="94"/>
        <v>0.44444444444444442</v>
      </c>
      <c r="I172" s="221" t="str">
        <f t="shared" si="93"/>
        <v/>
      </c>
      <c r="X172" s="207">
        <f t="shared" si="95"/>
        <v>0.44444444444444442</v>
      </c>
    </row>
    <row r="173" spans="2:24">
      <c r="B173" s="207" t="str">
        <f>$V59</f>
        <v>Stephen Troop</v>
      </c>
      <c r="C173" s="206" t="str">
        <f>Picks!B173</f>
        <v>Villa draw</v>
      </c>
      <c r="D173" s="207">
        <f>Picks!C173</f>
        <v>1</v>
      </c>
      <c r="E173" s="207">
        <f>Picks!D173</f>
        <v>3.75</v>
      </c>
      <c r="F173" s="208">
        <f>IF(C173="","",INDEX(Odds!K:K,MATCH(C173,Odds!G:G,0)))</f>
        <v>1</v>
      </c>
      <c r="G173" s="709">
        <f>IF(C173="","",Picks!M173)</f>
        <v>0</v>
      </c>
      <c r="H173" s="207">
        <f t="shared" si="94"/>
        <v>0</v>
      </c>
      <c r="I173" s="221" t="str">
        <f t="shared" si="93"/>
        <v/>
      </c>
      <c r="X173" s="207">
        <f t="shared" si="95"/>
        <v>2.75</v>
      </c>
    </row>
    <row r="174" spans="2:24">
      <c r="B174" s="206"/>
      <c r="C174" s="206" t="str">
        <f>Picks!B174</f>
        <v>West Ham</v>
      </c>
      <c r="D174" s="207">
        <f>Picks!C174</f>
        <v>1</v>
      </c>
      <c r="E174" s="207">
        <f>Picks!D174</f>
        <v>1.75</v>
      </c>
      <c r="F174" s="208">
        <f>IF(C174="","",INDEX(Odds!K:K,MATCH(C174,Odds!G:G,0)))</f>
        <v>1</v>
      </c>
      <c r="G174" s="206">
        <f>IF(C174="","",Picks!M174)</f>
        <v>0</v>
      </c>
      <c r="H174" s="207">
        <f t="shared" si="94"/>
        <v>0</v>
      </c>
      <c r="I174" s="221" t="str">
        <f t="shared" si="93"/>
        <v/>
      </c>
      <c r="X174" s="207">
        <f t="shared" si="95"/>
        <v>0.75</v>
      </c>
    </row>
    <row r="175" spans="2:24" ht="13.15" thickBot="1">
      <c r="B175" s="211"/>
      <c r="C175" s="211" t="str">
        <f>Picks!B175</f>
        <v>Leicester</v>
      </c>
      <c r="D175" s="212">
        <f>Picks!C175</f>
        <v>1</v>
      </c>
      <c r="E175" s="212">
        <f>Picks!D175</f>
        <v>13</v>
      </c>
      <c r="F175" s="224">
        <f>IF(C175="","",INDEX(Odds!K:K,MATCH(C175,Odds!G:G,0)))</f>
        <v>1</v>
      </c>
      <c r="G175" s="211">
        <f>IF(C175="","",Picks!M175)</f>
        <v>0</v>
      </c>
      <c r="H175" s="212">
        <f t="shared" si="94"/>
        <v>0</v>
      </c>
      <c r="I175" s="221" t="str">
        <f t="shared" si="93"/>
        <v/>
      </c>
      <c r="X175" s="207">
        <f t="shared" si="95"/>
        <v>12</v>
      </c>
    </row>
    <row r="176" spans="2:24">
      <c r="B176" s="210" t="str">
        <f>$V60</f>
        <v>Steve Baxter</v>
      </c>
      <c r="C176" s="209" t="str">
        <f>Picks!B176</f>
        <v>Arsenal</v>
      </c>
      <c r="D176" s="210">
        <f>Picks!C176</f>
        <v>1</v>
      </c>
      <c r="E176" s="210">
        <f>Picks!D176</f>
        <v>1.4444444444444444</v>
      </c>
      <c r="F176" s="209">
        <f>IF(C176="","",INDEX(Odds!K:K,MATCH(C176,Odds!G:G,0)))</f>
        <v>1</v>
      </c>
      <c r="G176" s="709">
        <f>IF(C176="","",Picks!M176)</f>
        <v>1</v>
      </c>
      <c r="H176" s="210">
        <f t="shared" ref="H176:H181" si="96">IF(C176="","",+((E176-1)*G176*F176*A$2))</f>
        <v>0.44444444444444442</v>
      </c>
      <c r="I176" s="221" t="str">
        <f t="shared" si="93"/>
        <v/>
      </c>
      <c r="X176" s="210">
        <f t="shared" si="95"/>
        <v>0.44444444444444442</v>
      </c>
    </row>
    <row r="177" spans="2:25">
      <c r="B177" s="209"/>
      <c r="C177" s="209" t="str">
        <f>Picks!B177</f>
        <v>Chelsea</v>
      </c>
      <c r="D177" s="210">
        <f>Picks!C177</f>
        <v>1</v>
      </c>
      <c r="E177" s="210">
        <f>Picks!D177</f>
        <v>1.6153846153846154</v>
      </c>
      <c r="F177" s="209">
        <f>IF(C177="","",INDEX(Odds!K:K,MATCH(C177,Odds!G:G,0)))</f>
        <v>1</v>
      </c>
      <c r="G177" s="209">
        <f>IF(C177="","",Picks!M177)</f>
        <v>1</v>
      </c>
      <c r="H177" s="210">
        <f t="shared" si="96"/>
        <v>0.61538461538461542</v>
      </c>
      <c r="I177" s="221" t="str">
        <f t="shared" si="93"/>
        <v/>
      </c>
      <c r="X177" s="210">
        <f t="shared" si="95"/>
        <v>0.61538461538461542</v>
      </c>
    </row>
    <row r="178" spans="2:25" ht="13.15" thickBot="1">
      <c r="B178" s="224"/>
      <c r="C178" s="224" t="str">
        <f>Picks!B178</f>
        <v>Huddersfield</v>
      </c>
      <c r="D178" s="212">
        <f>Picks!C178</f>
        <v>1</v>
      </c>
      <c r="E178" s="212">
        <f>Picks!D178</f>
        <v>2.1</v>
      </c>
      <c r="F178" s="224">
        <f>IF(C178="","",INDEX(Odds!K:K,MATCH(C178,Odds!G:G,0)))</f>
        <v>1</v>
      </c>
      <c r="G178" s="224">
        <f>IF(C178="","",Picks!M178)</f>
        <v>1</v>
      </c>
      <c r="H178" s="212">
        <f t="shared" si="96"/>
        <v>1.1000000000000001</v>
      </c>
      <c r="I178" s="221" t="str">
        <f t="shared" si="93"/>
        <v/>
      </c>
      <c r="X178" s="210">
        <f t="shared" si="95"/>
        <v>1.1000000000000001</v>
      </c>
    </row>
    <row r="179" spans="2:25">
      <c r="B179" s="210" t="str">
        <f>$V61</f>
        <v>Steve Carter</v>
      </c>
      <c r="C179" s="209" t="str">
        <f>Picks!B179</f>
        <v>Huddersfield</v>
      </c>
      <c r="D179" s="210">
        <f>Picks!C179</f>
        <v>1</v>
      </c>
      <c r="E179" s="210">
        <f>Picks!D179</f>
        <v>2.1</v>
      </c>
      <c r="F179" s="209">
        <f>IF(C179="","",INDEX(Odds!K:K,MATCH(C179,Odds!G:G,0)))</f>
        <v>1</v>
      </c>
      <c r="G179" s="709">
        <f>IF(C179="","",Picks!M179)</f>
        <v>1</v>
      </c>
      <c r="H179" s="210">
        <f t="shared" si="96"/>
        <v>1.1000000000000001</v>
      </c>
      <c r="I179" s="221" t="str">
        <f t="shared" si="93"/>
        <v/>
      </c>
      <c r="X179" s="210">
        <f t="shared" si="95"/>
        <v>1.1000000000000001</v>
      </c>
    </row>
    <row r="180" spans="2:25">
      <c r="B180" s="209"/>
      <c r="C180" s="209" t="str">
        <f>Picks!B180</f>
        <v>Brighton draw</v>
      </c>
      <c r="D180" s="210">
        <f>Picks!C180</f>
        <v>1</v>
      </c>
      <c r="E180" s="210">
        <f>Picks!D180</f>
        <v>3.5</v>
      </c>
      <c r="F180" s="209">
        <f>IF(C180="","",INDEX(Odds!K:K,MATCH(C180,Odds!G:G,0)))</f>
        <v>1</v>
      </c>
      <c r="G180" s="209">
        <f>IF(C180="","",Picks!M180)</f>
        <v>0</v>
      </c>
      <c r="H180" s="210">
        <f t="shared" si="96"/>
        <v>0</v>
      </c>
      <c r="I180" s="221" t="str">
        <f t="shared" si="93"/>
        <v/>
      </c>
      <c r="X180" s="210">
        <f t="shared" si="95"/>
        <v>2.5</v>
      </c>
    </row>
    <row r="181" spans="2:25" ht="13.15" thickBot="1">
      <c r="B181" s="224"/>
      <c r="C181" s="224" t="str">
        <f>Picks!B181</f>
        <v>Tranmere</v>
      </c>
      <c r="D181" s="212">
        <f>Picks!C181</f>
        <v>1</v>
      </c>
      <c r="E181" s="212">
        <f>Picks!D181</f>
        <v>2.15</v>
      </c>
      <c r="F181" s="224">
        <f>IF(C181="","",INDEX(Odds!K:K,MATCH(C181,Odds!G:G,0)))</f>
        <v>1</v>
      </c>
      <c r="G181" s="224">
        <f>IF(C181="","",Picks!M181)</f>
        <v>1</v>
      </c>
      <c r="H181" s="212">
        <f t="shared" si="96"/>
        <v>1.1499999999999999</v>
      </c>
      <c r="I181" s="221" t="str">
        <f t="shared" si="93"/>
        <v/>
      </c>
      <c r="X181" s="210">
        <f t="shared" si="95"/>
        <v>1.1499999999999999</v>
      </c>
    </row>
    <row r="182" spans="2:25">
      <c r="B182" s="210" t="str">
        <f>$V62</f>
        <v>Tom Robinson</v>
      </c>
      <c r="C182" s="209" t="str">
        <f>Picks!B182</f>
        <v>Spurs</v>
      </c>
      <c r="D182" s="210">
        <f>Picks!C182</f>
        <v>1</v>
      </c>
      <c r="E182" s="210">
        <f>Picks!D182</f>
        <v>1.7</v>
      </c>
      <c r="F182" s="209">
        <f>IF(C182="","",INDEX(Odds!K:K,MATCH(C182,Odds!G:G,0)))</f>
        <v>1</v>
      </c>
      <c r="G182" s="709">
        <f>IF(C182="","",Picks!M182)</f>
        <v>1</v>
      </c>
      <c r="H182" s="210">
        <f t="shared" ref="H182:H184" si="97">IF(C182="","",+((E182-1)*G182*F182*A$2))</f>
        <v>0.7</v>
      </c>
      <c r="I182" s="221" t="str">
        <f t="shared" ref="I182:I189" si="98">IF(V182="","",V182)</f>
        <v/>
      </c>
      <c r="X182" s="210">
        <f t="shared" si="95"/>
        <v>0.7</v>
      </c>
    </row>
    <row r="183" spans="2:25">
      <c r="B183" s="209"/>
      <c r="C183" s="209" t="str">
        <f>Picks!B183</f>
        <v>Stockport</v>
      </c>
      <c r="D183" s="210">
        <f>Picks!C183</f>
        <v>1</v>
      </c>
      <c r="E183" s="210">
        <f>Picks!D183</f>
        <v>1.7222222222222223</v>
      </c>
      <c r="F183" s="209">
        <f>IF(C183="","",INDEX(Odds!K:K,MATCH(C183,Odds!G:G,0)))</f>
        <v>1</v>
      </c>
      <c r="G183" s="209">
        <f>IF(C183="","",Picks!M183)</f>
        <v>1</v>
      </c>
      <c r="H183" s="210">
        <f t="shared" si="97"/>
        <v>0.72222222222222232</v>
      </c>
      <c r="I183" s="221" t="str">
        <f t="shared" si="98"/>
        <v/>
      </c>
      <c r="X183" s="210">
        <f t="shared" si="95"/>
        <v>0.72222222222222232</v>
      </c>
    </row>
    <row r="184" spans="2:25" ht="13.15" thickBot="1">
      <c r="B184" s="224"/>
      <c r="C184" s="224" t="str">
        <f>Picks!B184</f>
        <v>Oldham</v>
      </c>
      <c r="D184" s="212">
        <f>Picks!C184</f>
        <v>1</v>
      </c>
      <c r="E184" s="212">
        <f>Picks!D184</f>
        <v>2.2000000000000002</v>
      </c>
      <c r="F184" s="224">
        <f>IF(C184="","",INDEX(Odds!K:K,MATCH(C184,Odds!G:G,0)))</f>
        <v>1</v>
      </c>
      <c r="G184" s="224">
        <f>IF(C184="","",Picks!M184)</f>
        <v>0</v>
      </c>
      <c r="H184" s="212">
        <f t="shared" si="97"/>
        <v>0</v>
      </c>
      <c r="I184" s="221" t="str">
        <f t="shared" si="98"/>
        <v/>
      </c>
      <c r="X184" s="210">
        <f t="shared" si="95"/>
        <v>1.2000000000000002</v>
      </c>
    </row>
    <row r="185" spans="2:25">
      <c r="B185" s="210" t="str">
        <f>$V63</f>
        <v>Vinny Topping</v>
      </c>
      <c r="C185" s="209" t="str">
        <f>Picks!B185</f>
        <v>Fleetwood</v>
      </c>
      <c r="D185" s="210">
        <f>Picks!C185</f>
        <v>1</v>
      </c>
      <c r="E185" s="210">
        <f>Picks!D185</f>
        <v>2.2000000000000002</v>
      </c>
      <c r="F185" s="209">
        <f>IF(C185="","",INDEX(Odds!K:K,MATCH(C185,Odds!G:G,0)))</f>
        <v>1</v>
      </c>
      <c r="G185" s="709">
        <f>IF(C185="","",Picks!M185)</f>
        <v>0</v>
      </c>
      <c r="H185" s="210">
        <f t="shared" ref="H185:H187" si="99">IF(C185="","",+((E185-1)*G185*F185*A$2))</f>
        <v>0</v>
      </c>
      <c r="I185" s="221" t="str">
        <f t="shared" si="98"/>
        <v/>
      </c>
      <c r="X185" s="210">
        <f t="shared" si="95"/>
        <v>1.2000000000000002</v>
      </c>
    </row>
    <row r="186" spans="2:25">
      <c r="B186" s="209"/>
      <c r="C186" s="209" t="str">
        <f>Picks!B186</f>
        <v>Mansfield</v>
      </c>
      <c r="D186" s="210">
        <f>Picks!C186</f>
        <v>1</v>
      </c>
      <c r="E186" s="210">
        <f>Picks!D186</f>
        <v>1.9090909090909092</v>
      </c>
      <c r="F186" s="209">
        <f>IF(C186="","",INDEX(Odds!K:K,MATCH(C186,Odds!G:G,0)))</f>
        <v>1</v>
      </c>
      <c r="G186" s="209">
        <f>IF(C186="","",Picks!M186)</f>
        <v>1</v>
      </c>
      <c r="H186" s="210">
        <f t="shared" si="99"/>
        <v>0.90909090909090917</v>
      </c>
      <c r="I186" s="221" t="str">
        <f t="shared" si="98"/>
        <v/>
      </c>
      <c r="X186" s="210">
        <f t="shared" si="95"/>
        <v>0.90909090909090917</v>
      </c>
    </row>
    <row r="187" spans="2:25" ht="13.15" thickBot="1">
      <c r="B187" s="224"/>
      <c r="C187" s="224" t="str">
        <f>Picks!B187</f>
        <v>Tranmere</v>
      </c>
      <c r="D187" s="212">
        <f>Picks!C187</f>
        <v>1</v>
      </c>
      <c r="E187" s="212">
        <f>Picks!D187</f>
        <v>2.15</v>
      </c>
      <c r="F187" s="224">
        <f>IF(C187="","",INDEX(Odds!K:K,MATCH(C187,Odds!G:G,0)))</f>
        <v>1</v>
      </c>
      <c r="G187" s="224">
        <f>IF(C187="","",Picks!M187)</f>
        <v>1</v>
      </c>
      <c r="H187" s="212">
        <f t="shared" si="99"/>
        <v>1.1499999999999999</v>
      </c>
      <c r="I187" s="221" t="str">
        <f t="shared" si="98"/>
        <v/>
      </c>
      <c r="X187" s="210">
        <f t="shared" si="95"/>
        <v>1.1499999999999999</v>
      </c>
    </row>
    <row r="188" spans="2:25">
      <c r="I188" s="221" t="str">
        <f t="shared" si="98"/>
        <v/>
      </c>
    </row>
    <row r="189" spans="2:25">
      <c r="I189" s="221" t="str">
        <f t="shared" si="98"/>
        <v/>
      </c>
      <c r="Y189" s="11" t="s">
        <v>193</v>
      </c>
    </row>
  </sheetData>
  <autoFilter ref="A1:AI271" xr:uid="{00000000-0009-0000-0000-00000C000000}"/>
  <sortState xmlns:xlrd2="http://schemas.microsoft.com/office/spreadsheetml/2017/richdata2" ref="V2:V63">
    <sortCondition ref="V2:V63"/>
  </sortState>
  <phoneticPr fontId="0" type="noConversion"/>
  <hyperlinks>
    <hyperlink ref="A1" location="Menu!A1" display="stake" xr:uid="{00000000-0004-0000-0C00-000000000000}"/>
  </hyperlinks>
  <printOptions gridLines="1"/>
  <pageMargins left="0.74803149606299213" right="0.74803149606299213" top="0.98425196850393704" bottom="0.98425196850393704" header="0.51181102362204722" footer="0.51181102362204722"/>
  <pageSetup paperSize="9" scale="59" orientation="portrait" r:id="rId1"/>
  <headerFooter alignWithMargins="0">
    <oddHeader>&amp;C1a - with corrected "played" formula</oddHeader>
  </headerFooter>
  <ignoredErrors>
    <ignoredError sqref="W2:W59"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pageSetUpPr fitToPage="1"/>
  </sheetPr>
  <dimension ref="A1:S157"/>
  <sheetViews>
    <sheetView workbookViewId="0">
      <selection activeCell="A4" sqref="A4"/>
    </sheetView>
  </sheetViews>
  <sheetFormatPr defaultRowHeight="12.75"/>
  <cols>
    <col min="1" max="1" width="2.73046875" customWidth="1"/>
    <col min="2" max="2" width="20" customWidth="1"/>
    <col min="3" max="3" width="4.53125" customWidth="1"/>
    <col min="6" max="6" width="10.86328125" hidden="1" customWidth="1"/>
    <col min="7" max="7" width="3.1328125" customWidth="1"/>
    <col min="8" max="8" width="8.86328125" hidden="1" customWidth="1"/>
    <col min="9" max="10" width="9.1328125" hidden="1" customWidth="1"/>
  </cols>
  <sheetData>
    <row r="1" spans="1:18" ht="29.1" customHeight="1">
      <c r="A1" s="400" t="s">
        <v>363</v>
      </c>
      <c r="B1" s="707" t="str">
        <f>"Round "&amp;CurrentWeek</f>
        <v>Round 20</v>
      </c>
      <c r="C1" s="82"/>
      <c r="D1" s="82"/>
      <c r="E1" s="82"/>
      <c r="F1" s="82"/>
      <c r="G1" s="82"/>
      <c r="H1" s="82"/>
      <c r="I1" s="82"/>
      <c r="J1" s="82"/>
      <c r="K1" s="82"/>
      <c r="L1" s="82"/>
      <c r="M1" s="82"/>
      <c r="N1" s="82"/>
      <c r="O1" s="82"/>
      <c r="P1" s="82"/>
      <c r="Q1" s="82"/>
      <c r="R1" s="82"/>
    </row>
    <row r="2" spans="1:18">
      <c r="A2" s="82"/>
      <c r="B2" s="82"/>
      <c r="C2" s="160"/>
      <c r="D2" s="174"/>
      <c r="E2" s="174"/>
      <c r="F2" s="174" t="s">
        <v>25</v>
      </c>
      <c r="G2" s="179"/>
      <c r="H2" s="87"/>
      <c r="I2" s="87"/>
      <c r="J2" s="87"/>
      <c r="K2" s="178" t="s">
        <v>182</v>
      </c>
      <c r="L2" s="178" t="s">
        <v>183</v>
      </c>
      <c r="M2" s="178" t="s">
        <v>184</v>
      </c>
      <c r="N2" s="178" t="s">
        <v>185</v>
      </c>
      <c r="O2" s="178" t="s">
        <v>186</v>
      </c>
      <c r="P2" s="178" t="s">
        <v>187</v>
      </c>
      <c r="Q2" s="178" t="s">
        <v>188</v>
      </c>
      <c r="R2" s="82"/>
    </row>
    <row r="3" spans="1:18">
      <c r="A3" s="82"/>
      <c r="B3" s="364">
        <f>COUNTIF($B4:$B6,"")</f>
        <v>0</v>
      </c>
      <c r="C3" s="160"/>
      <c r="D3" s="175" t="s">
        <v>164</v>
      </c>
      <c r="E3" s="175" t="s">
        <v>165</v>
      </c>
      <c r="F3" s="176" t="s">
        <v>13</v>
      </c>
      <c r="G3" s="179"/>
      <c r="H3" s="171" t="e">
        <f>E4</f>
        <v>#N/A</v>
      </c>
      <c r="I3" s="171">
        <f>E5</f>
        <v>3.6</v>
      </c>
      <c r="J3" s="171">
        <f>E6</f>
        <v>1.65</v>
      </c>
      <c r="K3" s="706" t="e">
        <f>IF(B3&lt;&gt;0,"",H3)</f>
        <v>#N/A</v>
      </c>
      <c r="L3" s="172">
        <f>IF(B3&lt;&gt;0,"",I3)</f>
        <v>3.6</v>
      </c>
      <c r="M3" s="172">
        <f>IF(B3&lt;&gt;0,"",J3)</f>
        <v>1.65</v>
      </c>
      <c r="N3" s="706" t="e">
        <f>IF(B3&lt;&gt;0,"",H3*I3)</f>
        <v>#N/A</v>
      </c>
      <c r="O3" s="172">
        <f>IF(B3&lt;&gt;0,"",I3*J3)</f>
        <v>5.9399999999999995</v>
      </c>
      <c r="P3" s="172" t="e">
        <f>IF(B3&lt;&gt;0,"",H3*J3)</f>
        <v>#N/A</v>
      </c>
      <c r="Q3" s="172" t="e">
        <f>IF(B3&lt;&gt;0,"",N3*J3)</f>
        <v>#N/A</v>
      </c>
      <c r="R3" s="82"/>
    </row>
    <row r="4" spans="1:18" ht="16.149999999999999" thickBot="1">
      <c r="A4" s="708">
        <v>1</v>
      </c>
      <c r="B4" s="97" t="s">
        <v>177</v>
      </c>
      <c r="C4" s="177" t="s">
        <v>192</v>
      </c>
      <c r="D4" s="705" t="e">
        <f>IF(B3&lt;&gt;0,"",INDEX(Odds!H:H,MATCH(B4,Odds!G:G,0)))</f>
        <v>#N/A</v>
      </c>
      <c r="E4" s="706" t="e">
        <f>IF(B3&lt;&gt;0,"",INDEX(Odds!I:I,MATCH(B4,Odds!G:G,0)))</f>
        <v>#N/A</v>
      </c>
      <c r="F4" s="170">
        <v>1</v>
      </c>
      <c r="G4" s="179"/>
      <c r="H4" s="87"/>
      <c r="I4" s="87"/>
      <c r="J4" s="87"/>
      <c r="K4" s="87"/>
      <c r="L4" s="87"/>
      <c r="M4" s="87"/>
      <c r="N4" s="428" t="s">
        <v>541</v>
      </c>
      <c r="O4" s="428" t="s">
        <v>540</v>
      </c>
      <c r="P4" s="428" t="s">
        <v>542</v>
      </c>
      <c r="Q4" s="428" t="s">
        <v>543</v>
      </c>
      <c r="R4" s="82"/>
    </row>
    <row r="5" spans="1:18" ht="15.75">
      <c r="A5" s="708">
        <v>2</v>
      </c>
      <c r="B5" s="97" t="s">
        <v>555</v>
      </c>
      <c r="C5" s="177"/>
      <c r="D5" s="705" t="str">
        <f>IF(B3&lt;&gt;0,"",INDEX(Odds!H:H,MATCH(B5,Odds!G:G,0)))</f>
        <v>13/5</v>
      </c>
      <c r="E5" s="706">
        <f>IF(B3&lt;&gt;0,"",INDEX(Odds!I:I,MATCH(B5,Odds!G:G,0)))</f>
        <v>3.6</v>
      </c>
      <c r="F5" s="170">
        <v>1</v>
      </c>
      <c r="G5" s="179"/>
      <c r="H5" s="87"/>
      <c r="I5" s="87"/>
      <c r="J5" s="87"/>
      <c r="K5" s="5" t="s">
        <v>13</v>
      </c>
      <c r="L5" s="5" t="s">
        <v>28</v>
      </c>
      <c r="M5" s="82"/>
      <c r="N5" s="82"/>
      <c r="O5" s="87"/>
      <c r="P5" s="87"/>
      <c r="Q5" s="87"/>
      <c r="R5" s="82"/>
    </row>
    <row r="6" spans="1:18" ht="16.149999999999999" thickBot="1">
      <c r="A6" s="708">
        <v>3</v>
      </c>
      <c r="B6" s="97" t="s">
        <v>451</v>
      </c>
      <c r="C6" s="177" t="s">
        <v>192</v>
      </c>
      <c r="D6" s="705" t="str">
        <f>IF(B3&lt;&gt;0,"",INDEX(Odds!H:H,MATCH(B6,Odds!G:G,0)))</f>
        <v>13/20</v>
      </c>
      <c r="E6" s="706">
        <f>IF(B3&lt;&gt;0,"",INDEX(Odds!I:I,MATCH(B6,Odds!G:G,0)))</f>
        <v>1.65</v>
      </c>
      <c r="F6" s="170">
        <v>1</v>
      </c>
      <c r="G6" s="179"/>
      <c r="H6" s="87"/>
      <c r="I6" s="87"/>
      <c r="J6" s="87"/>
      <c r="K6" s="6">
        <f>IF(B3&lt;&gt;0,"",SUM(F4:F6))</f>
        <v>3</v>
      </c>
      <c r="L6" s="7" t="e">
        <f>IF(B3&lt;&gt;0,"",SUM(K3:Q3)-7)</f>
        <v>#N/A</v>
      </c>
      <c r="M6" s="82"/>
      <c r="N6" s="82"/>
      <c r="O6" s="87"/>
      <c r="P6" s="87"/>
      <c r="Q6" s="87"/>
      <c r="R6" s="82"/>
    </row>
    <row r="7" spans="1:18">
      <c r="A7" s="82"/>
      <c r="B7" s="82"/>
      <c r="C7" s="82"/>
      <c r="D7" s="87"/>
      <c r="E7" s="87"/>
      <c r="F7" s="87"/>
      <c r="G7" s="87"/>
      <c r="H7" s="82"/>
      <c r="I7" s="82"/>
      <c r="J7" s="87"/>
      <c r="K7" s="87"/>
      <c r="L7" s="87"/>
      <c r="M7" s="87"/>
      <c r="N7" s="87"/>
      <c r="O7" s="87"/>
      <c r="P7" s="87"/>
      <c r="Q7" s="87"/>
      <c r="R7" s="87"/>
    </row>
    <row r="8" spans="1:18">
      <c r="A8" s="82"/>
      <c r="B8" s="82"/>
      <c r="C8" s="82"/>
      <c r="D8" s="87"/>
      <c r="E8" s="87"/>
      <c r="F8" s="87"/>
      <c r="G8" s="87"/>
      <c r="H8" s="82"/>
      <c r="I8" s="82"/>
      <c r="J8" s="87"/>
      <c r="K8" s="87"/>
      <c r="L8" s="87"/>
      <c r="M8" s="87"/>
      <c r="N8" s="87"/>
      <c r="O8" s="87"/>
      <c r="P8" s="87"/>
      <c r="Q8" s="87"/>
      <c r="R8" s="87"/>
    </row>
    <row r="9" spans="1:18">
      <c r="A9" s="82"/>
      <c r="B9" s="82"/>
      <c r="C9" s="174" t="s">
        <v>25</v>
      </c>
      <c r="D9" s="174" t="s">
        <v>189</v>
      </c>
      <c r="E9" s="174" t="s">
        <v>189</v>
      </c>
      <c r="F9" s="174" t="s">
        <v>25</v>
      </c>
      <c r="G9" s="179"/>
      <c r="H9" s="87"/>
      <c r="I9" s="87"/>
      <c r="J9" s="87"/>
      <c r="K9" s="178" t="s">
        <v>182</v>
      </c>
      <c r="L9" s="178" t="s">
        <v>183</v>
      </c>
      <c r="M9" s="178" t="s">
        <v>184</v>
      </c>
      <c r="N9" s="178" t="s">
        <v>185</v>
      </c>
      <c r="O9" s="178" t="s">
        <v>186</v>
      </c>
      <c r="P9" s="178" t="s">
        <v>187</v>
      </c>
      <c r="Q9" s="178" t="s">
        <v>188</v>
      </c>
      <c r="R9" s="87"/>
    </row>
    <row r="10" spans="1:18">
      <c r="A10" s="82"/>
      <c r="B10" s="82"/>
      <c r="C10" s="175" t="s">
        <v>190</v>
      </c>
      <c r="D10" s="176" t="s">
        <v>26</v>
      </c>
      <c r="E10" s="176" t="s">
        <v>27</v>
      </c>
      <c r="F10" s="176" t="s">
        <v>13</v>
      </c>
      <c r="G10" s="179"/>
      <c r="H10" s="171" t="e">
        <f>E11</f>
        <v>#REF!</v>
      </c>
      <c r="I10" s="171" t="e">
        <f>E12</f>
        <v>#REF!</v>
      </c>
      <c r="J10" s="171" t="e">
        <f>E13</f>
        <v>#REF!</v>
      </c>
      <c r="K10" s="172" t="e">
        <f>IF(H10=0,0,1)+H10</f>
        <v>#REF!</v>
      </c>
      <c r="L10" s="172" t="e">
        <f>IF(I10=0,0,1)+I10</f>
        <v>#REF!</v>
      </c>
      <c r="M10" s="172" t="e">
        <f>IF(J10=0,0,1)+J10</f>
        <v>#REF!</v>
      </c>
      <c r="N10" s="172" t="e">
        <f>IF(I10=0,0,(K10*I10)+K10)</f>
        <v>#REF!</v>
      </c>
      <c r="O10" s="172" t="e">
        <f>IF(J10=0,0,(L10*J10)+L10)</f>
        <v>#REF!</v>
      </c>
      <c r="P10" s="172" t="e">
        <f>IF(H10=0,0,(M10*H10)+M10)</f>
        <v>#REF!</v>
      </c>
      <c r="Q10" s="172" t="e">
        <f>IF(J10=0,0,(N10*J10)+N10)</f>
        <v>#REF!</v>
      </c>
      <c r="R10" s="87"/>
    </row>
    <row r="11" spans="1:18" ht="16.149999999999999" thickBot="1">
      <c r="A11" s="82"/>
      <c r="B11" s="97" t="s">
        <v>177</v>
      </c>
      <c r="C11" s="182" t="s">
        <v>191</v>
      </c>
      <c r="D11" s="173" t="s">
        <v>179</v>
      </c>
      <c r="E11" s="172" t="e">
        <f>+((#REF!-1)*F11)</f>
        <v>#REF!</v>
      </c>
      <c r="F11" s="170">
        <v>0</v>
      </c>
      <c r="G11" s="179"/>
      <c r="H11" s="87"/>
      <c r="I11" s="87"/>
      <c r="J11" s="87"/>
      <c r="K11" s="87"/>
      <c r="L11" s="87"/>
      <c r="M11" s="87"/>
      <c r="N11" s="87"/>
      <c r="O11" s="87"/>
      <c r="P11" s="87"/>
      <c r="Q11" s="87"/>
      <c r="R11" s="87"/>
    </row>
    <row r="12" spans="1:18" ht="15.75">
      <c r="A12" s="82"/>
      <c r="B12" s="97" t="s">
        <v>555</v>
      </c>
      <c r="C12" s="177" t="s">
        <v>192</v>
      </c>
      <c r="D12" s="173" t="s">
        <v>180</v>
      </c>
      <c r="E12" s="172" t="e">
        <f>+((#REF!-1)*F12)</f>
        <v>#REF!</v>
      </c>
      <c r="F12" s="170">
        <v>1</v>
      </c>
      <c r="G12" s="179"/>
      <c r="H12" s="87"/>
      <c r="I12" s="87"/>
      <c r="J12" s="87"/>
      <c r="K12" s="5" t="s">
        <v>13</v>
      </c>
      <c r="L12" s="5" t="s">
        <v>28</v>
      </c>
      <c r="M12" s="82"/>
      <c r="N12" s="82"/>
      <c r="O12" s="87"/>
      <c r="P12" s="87"/>
      <c r="Q12" s="87"/>
      <c r="R12" s="87"/>
    </row>
    <row r="13" spans="1:18" ht="16.149999999999999" thickBot="1">
      <c r="A13" s="82"/>
      <c r="B13" s="97" t="s">
        <v>451</v>
      </c>
      <c r="C13" s="177" t="s">
        <v>192</v>
      </c>
      <c r="D13" s="173" t="s">
        <v>181</v>
      </c>
      <c r="E13" s="172" t="e">
        <f>+((#REF!-1)*F13)</f>
        <v>#REF!</v>
      </c>
      <c r="F13" s="170">
        <v>1</v>
      </c>
      <c r="G13" s="179"/>
      <c r="H13" s="87"/>
      <c r="I13" s="87"/>
      <c r="J13" s="87"/>
      <c r="K13" s="6">
        <f>SUM(F11:F13)</f>
        <v>2</v>
      </c>
      <c r="L13" s="7" t="e">
        <f>SUM(K10:Q10)-7</f>
        <v>#REF!</v>
      </c>
      <c r="M13" s="82"/>
      <c r="N13" s="82"/>
      <c r="O13" s="87"/>
      <c r="P13" s="87"/>
      <c r="Q13" s="87"/>
      <c r="R13" s="87"/>
    </row>
    <row r="14" spans="1:18">
      <c r="A14" s="82"/>
      <c r="B14" s="82"/>
      <c r="C14" s="82"/>
      <c r="D14" s="87"/>
      <c r="E14" s="87"/>
      <c r="F14" s="87"/>
      <c r="G14" s="87"/>
      <c r="H14" s="82"/>
      <c r="I14" s="82"/>
      <c r="J14" s="87"/>
      <c r="K14" s="87"/>
      <c r="L14" s="87"/>
      <c r="M14" s="87"/>
      <c r="N14" s="87"/>
      <c r="O14" s="87"/>
      <c r="P14" s="87"/>
      <c r="Q14" s="87"/>
      <c r="R14" s="87"/>
    </row>
    <row r="15" spans="1:18">
      <c r="A15" s="82"/>
      <c r="B15" s="82"/>
      <c r="C15" s="82"/>
      <c r="D15" s="87"/>
      <c r="E15" s="87"/>
      <c r="F15" s="87"/>
      <c r="G15" s="87"/>
      <c r="H15" s="82"/>
      <c r="I15" s="82"/>
      <c r="J15" s="87"/>
      <c r="K15" s="87"/>
      <c r="L15" s="87"/>
      <c r="M15" s="87"/>
      <c r="N15" s="87"/>
      <c r="O15" s="87"/>
      <c r="P15" s="87"/>
      <c r="Q15" s="87"/>
      <c r="R15" s="87"/>
    </row>
    <row r="16" spans="1:18">
      <c r="A16" s="82"/>
      <c r="B16" s="82"/>
      <c r="C16" s="174" t="s">
        <v>25</v>
      </c>
      <c r="D16" s="174" t="s">
        <v>189</v>
      </c>
      <c r="E16" s="174" t="s">
        <v>189</v>
      </c>
      <c r="F16" s="174" t="s">
        <v>25</v>
      </c>
      <c r="G16" s="179"/>
      <c r="H16" s="87"/>
      <c r="I16" s="87"/>
      <c r="J16" s="87"/>
      <c r="K16" s="178" t="s">
        <v>182</v>
      </c>
      <c r="L16" s="178" t="s">
        <v>183</v>
      </c>
      <c r="M16" s="178" t="s">
        <v>184</v>
      </c>
      <c r="N16" s="178" t="s">
        <v>185</v>
      </c>
      <c r="O16" s="178" t="s">
        <v>186</v>
      </c>
      <c r="P16" s="178" t="s">
        <v>187</v>
      </c>
      <c r="Q16" s="178" t="s">
        <v>188</v>
      </c>
      <c r="R16" s="87"/>
    </row>
    <row r="17" spans="1:19">
      <c r="A17" s="82"/>
      <c r="B17" s="82"/>
      <c r="C17" s="175" t="s">
        <v>190</v>
      </c>
      <c r="D17" s="176" t="s">
        <v>26</v>
      </c>
      <c r="E17" s="176" t="s">
        <v>27</v>
      </c>
      <c r="F17" s="176" t="s">
        <v>13</v>
      </c>
      <c r="G17" s="179"/>
      <c r="H17" s="171" t="e">
        <f>E18</f>
        <v>#REF!</v>
      </c>
      <c r="I17" s="171" t="e">
        <f>E19</f>
        <v>#REF!</v>
      </c>
      <c r="J17" s="171" t="e">
        <f>E20</f>
        <v>#REF!</v>
      </c>
      <c r="K17" s="172" t="e">
        <f>IF(H17=0,0,1)+H17</f>
        <v>#REF!</v>
      </c>
      <c r="L17" s="172" t="e">
        <f>IF(I17=0,0,1)+I17</f>
        <v>#REF!</v>
      </c>
      <c r="M17" s="172" t="e">
        <f>IF(J17=0,0,1)+J17</f>
        <v>#REF!</v>
      </c>
      <c r="N17" s="172" t="e">
        <f>IF(I17=0,0,(K17*I17)+K17)</f>
        <v>#REF!</v>
      </c>
      <c r="O17" s="172" t="e">
        <f>IF(J17=0,0,(L17*J17)+L17)</f>
        <v>#REF!</v>
      </c>
      <c r="P17" s="172" t="e">
        <f>IF(H17=0,0,(M17*H17)+M17)</f>
        <v>#REF!</v>
      </c>
      <c r="Q17" s="172" t="e">
        <f>IF(J17=0,0,(N17*J17)+N17)</f>
        <v>#REF!</v>
      </c>
      <c r="R17" s="87"/>
    </row>
    <row r="18" spans="1:19" ht="16.149999999999999" thickBot="1">
      <c r="A18" s="82"/>
      <c r="B18" s="97" t="s">
        <v>178</v>
      </c>
      <c r="C18" s="182" t="s">
        <v>191</v>
      </c>
      <c r="D18" s="173" t="s">
        <v>179</v>
      </c>
      <c r="E18" s="172" t="e">
        <f>+((#REF!-1)*F18)</f>
        <v>#REF!</v>
      </c>
      <c r="F18" s="170">
        <v>0</v>
      </c>
      <c r="G18" s="179"/>
      <c r="H18" s="87"/>
      <c r="I18" s="87"/>
      <c r="J18" s="87"/>
      <c r="K18" s="87"/>
      <c r="L18" s="87"/>
      <c r="M18" s="87"/>
      <c r="N18" s="87"/>
      <c r="O18" s="87"/>
      <c r="P18" s="87"/>
      <c r="Q18" s="87"/>
      <c r="R18" s="87"/>
    </row>
    <row r="19" spans="1:19" ht="15.75">
      <c r="A19" s="82"/>
      <c r="B19" s="97" t="s">
        <v>176</v>
      </c>
      <c r="C19" s="182" t="s">
        <v>191</v>
      </c>
      <c r="D19" s="173" t="s">
        <v>180</v>
      </c>
      <c r="E19" s="172" t="e">
        <f>+((#REF!-1)*F19)</f>
        <v>#REF!</v>
      </c>
      <c r="F19" s="170">
        <v>0</v>
      </c>
      <c r="G19" s="179"/>
      <c r="H19" s="87"/>
      <c r="I19" s="87"/>
      <c r="J19" s="87"/>
      <c r="K19" s="5" t="s">
        <v>13</v>
      </c>
      <c r="L19" s="5" t="s">
        <v>28</v>
      </c>
      <c r="M19" s="82"/>
      <c r="N19" s="82"/>
      <c r="O19" s="87"/>
      <c r="P19" s="87"/>
      <c r="Q19" s="87"/>
      <c r="R19" s="87"/>
    </row>
    <row r="20" spans="1:19" ht="16.149999999999999" thickBot="1">
      <c r="A20" s="82"/>
      <c r="B20" s="97" t="s">
        <v>177</v>
      </c>
      <c r="C20" s="177" t="s">
        <v>192</v>
      </c>
      <c r="D20" s="173" t="s">
        <v>181</v>
      </c>
      <c r="E20" s="172" t="e">
        <f>+((#REF!-1)*F20)</f>
        <v>#REF!</v>
      </c>
      <c r="F20" s="170">
        <v>1</v>
      </c>
      <c r="G20" s="179"/>
      <c r="H20" s="87"/>
      <c r="I20" s="87"/>
      <c r="J20" s="87"/>
      <c r="K20" s="6">
        <f>SUM(F18:F20)</f>
        <v>1</v>
      </c>
      <c r="L20" s="7" t="e">
        <f>SUM(K17:Q17)-7</f>
        <v>#REF!</v>
      </c>
      <c r="M20" s="82"/>
      <c r="N20" s="82"/>
      <c r="O20" s="87"/>
      <c r="P20" s="87"/>
      <c r="Q20" s="87"/>
      <c r="R20" s="87"/>
    </row>
    <row r="21" spans="1:19" ht="13.15">
      <c r="A21" s="82"/>
      <c r="B21" s="82"/>
      <c r="C21" s="82"/>
      <c r="D21" s="87"/>
      <c r="E21" s="87"/>
      <c r="F21" s="87"/>
      <c r="G21" s="87"/>
      <c r="H21" s="82"/>
      <c r="I21" s="82"/>
      <c r="J21" s="87"/>
      <c r="K21" s="180"/>
      <c r="L21" s="181"/>
      <c r="M21" s="82"/>
      <c r="N21" s="82"/>
      <c r="O21" s="87"/>
      <c r="P21" s="87"/>
      <c r="Q21" s="87"/>
      <c r="R21" s="87"/>
      <c r="S21" s="82"/>
    </row>
    <row r="22" spans="1:19" ht="13.15">
      <c r="A22" s="82"/>
      <c r="B22" s="82"/>
      <c r="C22" s="82"/>
      <c r="D22" s="87"/>
      <c r="E22" s="87"/>
      <c r="F22" s="87"/>
      <c r="G22" s="87"/>
      <c r="H22" s="82"/>
      <c r="I22" s="82"/>
      <c r="J22" s="87"/>
      <c r="K22" s="180"/>
      <c r="L22" s="181"/>
      <c r="M22" s="82"/>
      <c r="N22" s="82"/>
      <c r="O22" s="87"/>
      <c r="P22" s="87"/>
      <c r="Q22" s="87"/>
      <c r="R22" s="87"/>
      <c r="S22" s="82"/>
    </row>
    <row r="23" spans="1:19">
      <c r="A23" s="82"/>
      <c r="B23" s="82"/>
      <c r="C23" s="174" t="s">
        <v>25</v>
      </c>
      <c r="D23" s="174" t="s">
        <v>189</v>
      </c>
      <c r="E23" s="174" t="s">
        <v>189</v>
      </c>
      <c r="F23" s="174" t="s">
        <v>25</v>
      </c>
      <c r="G23" s="179"/>
      <c r="H23" s="87"/>
      <c r="I23" s="87"/>
      <c r="J23" s="87"/>
      <c r="K23" s="178" t="s">
        <v>182</v>
      </c>
      <c r="L23" s="178" t="s">
        <v>183</v>
      </c>
      <c r="M23" s="178" t="s">
        <v>184</v>
      </c>
      <c r="N23" s="178" t="s">
        <v>185</v>
      </c>
      <c r="O23" s="178" t="s">
        <v>186</v>
      </c>
      <c r="P23" s="178" t="s">
        <v>187</v>
      </c>
      <c r="Q23" s="178" t="s">
        <v>188</v>
      </c>
      <c r="R23" s="87"/>
    </row>
    <row r="24" spans="1:19">
      <c r="A24" s="82"/>
      <c r="B24" s="82"/>
      <c r="C24" s="175" t="s">
        <v>190</v>
      </c>
      <c r="D24" s="176" t="s">
        <v>26</v>
      </c>
      <c r="E24" s="176" t="s">
        <v>27</v>
      </c>
      <c r="F24" s="176" t="s">
        <v>13</v>
      </c>
      <c r="G24" s="179"/>
      <c r="H24" s="171" t="e">
        <f>E25</f>
        <v>#REF!</v>
      </c>
      <c r="I24" s="171" t="e">
        <f>E26</f>
        <v>#REF!</v>
      </c>
      <c r="J24" s="171" t="e">
        <f>E27</f>
        <v>#REF!</v>
      </c>
      <c r="K24" s="172" t="e">
        <f>IF(H24=0,0,1)+H24</f>
        <v>#REF!</v>
      </c>
      <c r="L24" s="172" t="e">
        <f>IF(I24=0,0,1)+I24</f>
        <v>#REF!</v>
      </c>
      <c r="M24" s="172" t="e">
        <f>IF(J24=0,0,1)+J24</f>
        <v>#REF!</v>
      </c>
      <c r="N24" s="172" t="e">
        <f>IF(I24=0,0,(K24*I24)+K24)</f>
        <v>#REF!</v>
      </c>
      <c r="O24" s="172" t="e">
        <f>IF(J24=0,0,(L24*J24)+L24)</f>
        <v>#REF!</v>
      </c>
      <c r="P24" s="172" t="e">
        <f>IF(H24=0,0,(M24*H24)+M24)</f>
        <v>#REF!</v>
      </c>
      <c r="Q24" s="172" t="e">
        <f>IF(J24=0,0,(N24*J24)+N24)</f>
        <v>#REF!</v>
      </c>
      <c r="R24" s="87"/>
    </row>
    <row r="25" spans="1:19" ht="16.149999999999999" thickBot="1">
      <c r="A25" s="82"/>
      <c r="B25" s="97" t="s">
        <v>178</v>
      </c>
      <c r="C25" s="182" t="s">
        <v>191</v>
      </c>
      <c r="D25" s="173" t="s">
        <v>179</v>
      </c>
      <c r="E25" s="172" t="e">
        <f>+((#REF!-1)*F25)</f>
        <v>#REF!</v>
      </c>
      <c r="F25" s="170">
        <v>0</v>
      </c>
      <c r="G25" s="179"/>
      <c r="H25" s="87"/>
      <c r="I25" s="87"/>
      <c r="J25" s="87"/>
      <c r="K25" s="87"/>
      <c r="L25" s="87"/>
      <c r="M25" s="87"/>
      <c r="N25" s="87"/>
      <c r="O25" s="87"/>
      <c r="P25" s="87"/>
      <c r="Q25" s="87"/>
      <c r="R25" s="87"/>
    </row>
    <row r="26" spans="1:19" ht="15.75">
      <c r="A26" s="82"/>
      <c r="B26" s="97" t="s">
        <v>176</v>
      </c>
      <c r="C26" s="182" t="s">
        <v>191</v>
      </c>
      <c r="D26" s="173" t="s">
        <v>180</v>
      </c>
      <c r="E26" s="172" t="e">
        <f>+((#REF!-1)*F26)</f>
        <v>#REF!</v>
      </c>
      <c r="F26" s="170">
        <v>0</v>
      </c>
      <c r="G26" s="179"/>
      <c r="H26" s="87"/>
      <c r="I26" s="87"/>
      <c r="J26" s="87"/>
      <c r="K26" s="5" t="s">
        <v>13</v>
      </c>
      <c r="L26" s="5" t="s">
        <v>28</v>
      </c>
      <c r="M26" s="82"/>
      <c r="N26" s="82"/>
      <c r="O26" s="87"/>
      <c r="P26" s="87"/>
      <c r="Q26" s="87"/>
      <c r="R26" s="87"/>
    </row>
    <row r="27" spans="1:19" ht="16.149999999999999" thickBot="1">
      <c r="A27" s="82"/>
      <c r="B27" s="97" t="s">
        <v>177</v>
      </c>
      <c r="C27" s="182" t="s">
        <v>191</v>
      </c>
      <c r="D27" s="173" t="s">
        <v>181</v>
      </c>
      <c r="E27" s="172" t="e">
        <f>+((#REF!-1)*F27)</f>
        <v>#REF!</v>
      </c>
      <c r="F27" s="170">
        <v>0</v>
      </c>
      <c r="G27" s="179"/>
      <c r="H27" s="87"/>
      <c r="I27" s="87"/>
      <c r="J27" s="87"/>
      <c r="K27" s="6">
        <f>SUM(F25:F27)</f>
        <v>0</v>
      </c>
      <c r="L27" s="7" t="e">
        <f>SUM(K24:Q24)-7</f>
        <v>#REF!</v>
      </c>
      <c r="M27" s="82"/>
      <c r="N27" s="82"/>
      <c r="O27" s="87"/>
      <c r="P27" s="87"/>
      <c r="Q27" s="87"/>
      <c r="R27" s="87"/>
    </row>
    <row r="28" spans="1:19" ht="13.15">
      <c r="A28" s="82"/>
      <c r="B28" s="82"/>
      <c r="C28" s="82"/>
      <c r="D28" s="87"/>
      <c r="E28" s="87"/>
      <c r="F28" s="87"/>
      <c r="G28" s="87"/>
      <c r="H28" s="82"/>
      <c r="I28" s="82"/>
      <c r="J28" s="87"/>
      <c r="K28" s="180"/>
      <c r="L28" s="181"/>
      <c r="M28" s="82"/>
      <c r="N28" s="82"/>
      <c r="O28" s="87"/>
      <c r="P28" s="87"/>
      <c r="Q28" s="87"/>
      <c r="R28" s="87"/>
    </row>
    <row r="29" spans="1:19">
      <c r="A29" s="82"/>
      <c r="B29" s="98"/>
      <c r="C29" s="82"/>
      <c r="D29" s="87"/>
      <c r="E29" s="87"/>
      <c r="F29" s="87"/>
      <c r="G29" s="87"/>
      <c r="H29" s="82"/>
      <c r="I29" s="82"/>
      <c r="J29" s="82"/>
      <c r="K29" s="82"/>
      <c r="L29" s="82"/>
      <c r="M29" s="82"/>
      <c r="N29" s="82"/>
      <c r="O29" s="82"/>
      <c r="P29" s="82"/>
      <c r="Q29" s="82"/>
      <c r="R29" s="82"/>
    </row>
    <row r="30" spans="1:19">
      <c r="A30" s="82"/>
      <c r="B30" s="82"/>
      <c r="C30" s="82"/>
      <c r="D30" s="87"/>
      <c r="E30" s="87"/>
      <c r="F30" s="87"/>
      <c r="G30" s="87"/>
      <c r="H30" s="82"/>
      <c r="I30" s="82"/>
      <c r="J30" s="82"/>
      <c r="K30" s="82"/>
      <c r="L30" s="82"/>
      <c r="M30" s="82"/>
      <c r="N30" s="82"/>
      <c r="O30" s="82"/>
      <c r="P30" s="82"/>
      <c r="Q30" s="82"/>
    </row>
    <row r="31" spans="1:19">
      <c r="A31" s="82"/>
      <c r="B31" s="82"/>
      <c r="C31" s="82"/>
      <c r="D31" s="87"/>
      <c r="E31" s="87"/>
      <c r="F31" s="87"/>
      <c r="G31" s="87"/>
      <c r="H31" s="82"/>
      <c r="I31" s="82"/>
      <c r="J31" s="82"/>
      <c r="K31" s="82"/>
      <c r="L31" s="82"/>
      <c r="M31" s="82"/>
      <c r="N31" s="82"/>
      <c r="O31" s="82"/>
      <c r="P31" s="82"/>
      <c r="Q31" s="82"/>
    </row>
    <row r="32" spans="1:19">
      <c r="D32" s="1"/>
      <c r="E32" s="1"/>
      <c r="F32" s="1"/>
      <c r="G32" s="87"/>
    </row>
    <row r="33" spans="3:7" ht="15.75">
      <c r="C33" s="177" t="s">
        <v>192</v>
      </c>
      <c r="D33" s="1"/>
      <c r="E33" s="1"/>
      <c r="F33" s="1"/>
      <c r="G33" s="87"/>
    </row>
    <row r="34" spans="3:7">
      <c r="D34" s="8"/>
      <c r="E34" s="1"/>
      <c r="F34" s="1"/>
      <c r="G34" s="87"/>
    </row>
    <row r="35" spans="3:7">
      <c r="D35" s="1"/>
      <c r="E35" s="1"/>
      <c r="F35" s="1"/>
      <c r="G35" s="87"/>
    </row>
    <row r="36" spans="3:7">
      <c r="D36" s="1"/>
      <c r="E36" s="1"/>
      <c r="F36" s="1"/>
      <c r="G36" s="87"/>
    </row>
    <row r="37" spans="3:7">
      <c r="D37" s="1"/>
      <c r="E37" s="1"/>
      <c r="F37" s="1"/>
      <c r="G37" s="87"/>
    </row>
    <row r="38" spans="3:7">
      <c r="D38" s="1"/>
      <c r="E38" s="1"/>
      <c r="F38" s="1"/>
      <c r="G38" s="87"/>
    </row>
    <row r="39" spans="3:7">
      <c r="D39" s="1"/>
      <c r="E39" s="1"/>
      <c r="F39" s="1"/>
      <c r="G39" s="87"/>
    </row>
    <row r="40" spans="3:7">
      <c r="D40" s="1"/>
      <c r="E40" s="1"/>
      <c r="F40" s="1"/>
      <c r="G40" s="87"/>
    </row>
    <row r="41" spans="3:7">
      <c r="D41" s="1"/>
      <c r="E41" s="1"/>
      <c r="F41" s="1"/>
      <c r="G41" s="87"/>
    </row>
    <row r="42" spans="3:7">
      <c r="D42" s="1"/>
      <c r="E42" s="1"/>
      <c r="F42" s="1"/>
      <c r="G42" s="87"/>
    </row>
    <row r="43" spans="3:7">
      <c r="D43" s="1"/>
      <c r="E43" s="1"/>
      <c r="F43" s="1"/>
      <c r="G43" s="1"/>
    </row>
    <row r="44" spans="3:7">
      <c r="D44" s="1"/>
      <c r="E44" s="1"/>
      <c r="F44" s="1"/>
      <c r="G44" s="1"/>
    </row>
    <row r="45" spans="3:7">
      <c r="D45" s="1"/>
      <c r="E45" s="1"/>
      <c r="F45" s="1"/>
      <c r="G45" s="1"/>
    </row>
    <row r="46" spans="3:7">
      <c r="D46" s="1"/>
      <c r="E46" s="1"/>
      <c r="F46" s="1"/>
      <c r="G46" s="1"/>
    </row>
    <row r="47" spans="3:7">
      <c r="D47" s="1"/>
      <c r="E47" s="1"/>
      <c r="F47" s="1"/>
      <c r="G47" s="1"/>
    </row>
    <row r="48" spans="3:7">
      <c r="D48" s="1"/>
      <c r="E48" s="1"/>
      <c r="F48" s="1"/>
      <c r="G48" s="1"/>
    </row>
    <row r="49" spans="4:7">
      <c r="D49" s="1"/>
      <c r="E49" s="1"/>
      <c r="F49" s="1"/>
      <c r="G49" s="1"/>
    </row>
    <row r="50" spans="4:7">
      <c r="D50" s="1"/>
      <c r="E50" s="1"/>
      <c r="F50" s="1"/>
      <c r="G50" s="1"/>
    </row>
    <row r="51" spans="4:7">
      <c r="D51" s="1"/>
      <c r="E51" s="1"/>
      <c r="F51" s="1"/>
      <c r="G51" s="1"/>
    </row>
    <row r="52" spans="4:7">
      <c r="D52" s="1"/>
      <c r="E52" s="1"/>
      <c r="F52" s="1"/>
      <c r="G52" s="1"/>
    </row>
    <row r="53" spans="4:7">
      <c r="D53" s="1"/>
      <c r="E53" s="1"/>
      <c r="F53" s="1"/>
      <c r="G53" s="1"/>
    </row>
    <row r="54" spans="4:7">
      <c r="D54" s="1"/>
      <c r="E54" s="1"/>
      <c r="F54" s="1"/>
      <c r="G54" s="1"/>
    </row>
    <row r="55" spans="4:7">
      <c r="D55" s="1"/>
      <c r="E55" s="1"/>
      <c r="F55" s="1"/>
      <c r="G55" s="1"/>
    </row>
    <row r="56" spans="4:7">
      <c r="D56" s="1"/>
      <c r="E56" s="1"/>
      <c r="F56" s="1"/>
      <c r="G56" s="1"/>
    </row>
    <row r="57" spans="4:7">
      <c r="D57" s="1"/>
      <c r="E57" s="1"/>
      <c r="F57" s="1"/>
      <c r="G57" s="1"/>
    </row>
    <row r="58" spans="4:7">
      <c r="D58" s="1"/>
      <c r="E58" s="1"/>
      <c r="F58" s="1"/>
      <c r="G58" s="1"/>
    </row>
    <row r="59" spans="4:7">
      <c r="D59" s="1"/>
      <c r="E59" s="1"/>
      <c r="F59" s="1"/>
      <c r="G59" s="1"/>
    </row>
    <row r="60" spans="4:7">
      <c r="D60" s="1"/>
      <c r="E60" s="1"/>
      <c r="F60" s="1"/>
      <c r="G60" s="1"/>
    </row>
    <row r="61" spans="4:7">
      <c r="D61" s="1"/>
      <c r="E61" s="1"/>
      <c r="F61" s="1"/>
      <c r="G61" s="1"/>
    </row>
    <row r="62" spans="4:7">
      <c r="D62" s="1"/>
      <c r="E62" s="1"/>
      <c r="F62" s="1"/>
      <c r="G62" s="1"/>
    </row>
    <row r="63" spans="4:7">
      <c r="D63" s="1"/>
      <c r="E63" s="1"/>
      <c r="F63" s="1"/>
      <c r="G63" s="1"/>
    </row>
    <row r="64" spans="4:7">
      <c r="D64" s="1"/>
      <c r="E64" s="1"/>
      <c r="F64" s="1"/>
      <c r="G64" s="1"/>
    </row>
    <row r="65" spans="4:7">
      <c r="D65" s="1"/>
      <c r="E65" s="1"/>
      <c r="F65" s="1"/>
      <c r="G65" s="1"/>
    </row>
    <row r="66" spans="4:7">
      <c r="D66" s="1"/>
      <c r="E66" s="1"/>
      <c r="F66" s="1"/>
      <c r="G66" s="1"/>
    </row>
    <row r="67" spans="4:7">
      <c r="D67" s="1"/>
      <c r="E67" s="1"/>
      <c r="F67" s="1"/>
      <c r="G67" s="1"/>
    </row>
    <row r="68" spans="4:7">
      <c r="D68" s="1"/>
      <c r="E68" s="1"/>
      <c r="F68" s="1"/>
      <c r="G68" s="1"/>
    </row>
    <row r="69" spans="4:7">
      <c r="D69" s="1"/>
      <c r="E69" s="1"/>
      <c r="F69" s="1"/>
      <c r="G69" s="1"/>
    </row>
    <row r="70" spans="4:7">
      <c r="D70" s="1"/>
      <c r="E70" s="1"/>
      <c r="F70" s="1"/>
      <c r="G70" s="1"/>
    </row>
    <row r="71" spans="4:7">
      <c r="D71" s="1"/>
      <c r="E71" s="1"/>
      <c r="F71" s="1"/>
      <c r="G71" s="1"/>
    </row>
    <row r="72" spans="4:7">
      <c r="D72" s="1"/>
      <c r="E72" s="1"/>
      <c r="F72" s="1"/>
      <c r="G72" s="1"/>
    </row>
    <row r="73" spans="4:7">
      <c r="D73" s="1"/>
      <c r="E73" s="1"/>
      <c r="F73" s="1"/>
      <c r="G73" s="1"/>
    </row>
    <row r="74" spans="4:7">
      <c r="D74" s="1"/>
      <c r="E74" s="1"/>
      <c r="F74" s="1"/>
      <c r="G74" s="1"/>
    </row>
    <row r="75" spans="4:7">
      <c r="D75" s="1"/>
      <c r="E75" s="1"/>
      <c r="F75" s="1"/>
      <c r="G75" s="1"/>
    </row>
    <row r="76" spans="4:7">
      <c r="D76" s="1"/>
      <c r="E76" s="1"/>
      <c r="F76" s="1"/>
      <c r="G76" s="1"/>
    </row>
    <row r="77" spans="4:7">
      <c r="D77" s="1"/>
      <c r="E77" s="1"/>
      <c r="F77" s="1"/>
      <c r="G77" s="1"/>
    </row>
    <row r="78" spans="4:7">
      <c r="D78" s="1"/>
      <c r="E78" s="1"/>
      <c r="F78" s="1"/>
      <c r="G78" s="1"/>
    </row>
    <row r="79" spans="4:7">
      <c r="D79" s="1"/>
      <c r="E79" s="1"/>
      <c r="F79" s="1"/>
      <c r="G79" s="1"/>
    </row>
    <row r="80" spans="4:7">
      <c r="D80" s="1"/>
      <c r="E80" s="1"/>
      <c r="F80" s="1"/>
      <c r="G80" s="1"/>
    </row>
    <row r="81" spans="4:7">
      <c r="D81" s="1"/>
      <c r="E81" s="1"/>
      <c r="F81" s="1"/>
      <c r="G81" s="1"/>
    </row>
    <row r="82" spans="4:7">
      <c r="D82" s="1"/>
      <c r="E82" s="1"/>
      <c r="F82" s="1"/>
      <c r="G82" s="1"/>
    </row>
    <row r="83" spans="4:7">
      <c r="D83" s="1"/>
      <c r="E83" s="1"/>
      <c r="F83" s="1"/>
      <c r="G83" s="1"/>
    </row>
    <row r="84" spans="4:7">
      <c r="D84" s="1"/>
      <c r="E84" s="1"/>
      <c r="F84" s="1"/>
      <c r="G84" s="1"/>
    </row>
    <row r="85" spans="4:7">
      <c r="D85" s="1"/>
      <c r="E85" s="1"/>
      <c r="F85" s="1"/>
      <c r="G85" s="1"/>
    </row>
    <row r="86" spans="4:7">
      <c r="D86" s="1"/>
      <c r="E86" s="1"/>
      <c r="F86" s="1"/>
      <c r="G86" s="1"/>
    </row>
    <row r="87" spans="4:7">
      <c r="D87" s="1"/>
      <c r="E87" s="1"/>
      <c r="F87" s="1"/>
      <c r="G87" s="1"/>
    </row>
    <row r="88" spans="4:7">
      <c r="D88" s="1"/>
      <c r="E88" s="1"/>
      <c r="F88" s="1"/>
      <c r="G88" s="1"/>
    </row>
    <row r="89" spans="4:7">
      <c r="D89" s="1"/>
      <c r="E89" s="1"/>
      <c r="F89" s="1"/>
      <c r="G89" s="1"/>
    </row>
    <row r="90" spans="4:7">
      <c r="D90" s="1"/>
      <c r="E90" s="1"/>
      <c r="F90" s="1"/>
      <c r="G90" s="1"/>
    </row>
    <row r="91" spans="4:7">
      <c r="D91" s="1"/>
      <c r="E91" s="1"/>
      <c r="F91" s="1"/>
      <c r="G91" s="1"/>
    </row>
    <row r="92" spans="4:7">
      <c r="D92" s="1"/>
      <c r="E92" s="1"/>
      <c r="F92" s="1"/>
      <c r="G92" s="1"/>
    </row>
    <row r="93" spans="4:7">
      <c r="D93" s="1"/>
      <c r="E93" s="1"/>
      <c r="F93" s="1"/>
      <c r="G93" s="1"/>
    </row>
    <row r="94" spans="4:7">
      <c r="D94" s="1"/>
      <c r="E94" s="1"/>
      <c r="F94" s="1"/>
      <c r="G94" s="1"/>
    </row>
    <row r="95" spans="4:7">
      <c r="D95" s="1"/>
      <c r="E95" s="1"/>
      <c r="F95" s="1"/>
      <c r="G95" s="1"/>
    </row>
    <row r="96" spans="4:7">
      <c r="D96" s="1"/>
      <c r="E96" s="1"/>
      <c r="F96" s="1"/>
      <c r="G96" s="1"/>
    </row>
    <row r="97" spans="4:7">
      <c r="D97" s="1"/>
      <c r="E97" s="1"/>
      <c r="F97" s="1"/>
      <c r="G97" s="1"/>
    </row>
    <row r="98" spans="4:7">
      <c r="D98" s="1"/>
      <c r="E98" s="1"/>
      <c r="F98" s="1"/>
      <c r="G98" s="1"/>
    </row>
    <row r="99" spans="4:7">
      <c r="D99" s="1"/>
      <c r="E99" s="1"/>
      <c r="F99" s="1"/>
      <c r="G99" s="1"/>
    </row>
    <row r="100" spans="4:7">
      <c r="D100" s="1"/>
      <c r="E100" s="1"/>
      <c r="F100" s="1"/>
      <c r="G100" s="1"/>
    </row>
    <row r="101" spans="4:7">
      <c r="D101" s="1"/>
      <c r="E101" s="1"/>
      <c r="F101" s="1"/>
      <c r="G101" s="1"/>
    </row>
    <row r="102" spans="4:7">
      <c r="D102" s="1"/>
      <c r="E102" s="1"/>
      <c r="F102" s="1"/>
      <c r="G102" s="1"/>
    </row>
    <row r="103" spans="4:7">
      <c r="D103" s="1"/>
      <c r="E103" s="1"/>
      <c r="F103" s="1"/>
      <c r="G103" s="1"/>
    </row>
    <row r="104" spans="4:7">
      <c r="D104" s="1"/>
      <c r="E104" s="1"/>
      <c r="F104" s="1"/>
      <c r="G104" s="1"/>
    </row>
    <row r="105" spans="4:7">
      <c r="D105" s="1"/>
      <c r="E105" s="1"/>
      <c r="F105" s="1"/>
      <c r="G105" s="1"/>
    </row>
    <row r="106" spans="4:7">
      <c r="D106" s="1"/>
      <c r="E106" s="1"/>
      <c r="F106" s="1"/>
      <c r="G106" s="1"/>
    </row>
    <row r="107" spans="4:7">
      <c r="D107" s="1"/>
      <c r="E107" s="1"/>
      <c r="F107" s="1"/>
      <c r="G107" s="1"/>
    </row>
    <row r="108" spans="4:7">
      <c r="D108" s="1"/>
      <c r="E108" s="1"/>
      <c r="F108" s="1"/>
      <c r="G108" s="1"/>
    </row>
    <row r="109" spans="4:7">
      <c r="D109" s="1"/>
      <c r="E109" s="1"/>
      <c r="F109" s="1"/>
      <c r="G109" s="1"/>
    </row>
    <row r="110" spans="4:7">
      <c r="D110" s="1"/>
      <c r="E110" s="1"/>
      <c r="F110" s="1"/>
      <c r="G110" s="1"/>
    </row>
    <row r="111" spans="4:7">
      <c r="D111" s="1"/>
      <c r="E111" s="1"/>
      <c r="F111" s="1"/>
      <c r="G111" s="1"/>
    </row>
    <row r="112" spans="4:7">
      <c r="D112" s="1"/>
      <c r="E112" s="1"/>
      <c r="F112" s="1"/>
      <c r="G112" s="1"/>
    </row>
    <row r="113" spans="4:7">
      <c r="D113" s="1"/>
      <c r="E113" s="1"/>
      <c r="F113" s="1"/>
      <c r="G113" s="1"/>
    </row>
    <row r="114" spans="4:7">
      <c r="D114" s="1"/>
      <c r="E114" s="1"/>
      <c r="F114" s="1"/>
      <c r="G114" s="1"/>
    </row>
    <row r="115" spans="4:7">
      <c r="D115" s="1"/>
      <c r="E115" s="1"/>
      <c r="F115" s="1"/>
      <c r="G115" s="1"/>
    </row>
    <row r="116" spans="4:7">
      <c r="D116" s="1"/>
      <c r="E116" s="1"/>
      <c r="F116" s="1"/>
      <c r="G116" s="1"/>
    </row>
    <row r="117" spans="4:7">
      <c r="D117" s="1"/>
      <c r="E117" s="1"/>
      <c r="F117" s="1"/>
      <c r="G117" s="1"/>
    </row>
    <row r="118" spans="4:7">
      <c r="D118" s="1"/>
      <c r="E118" s="1"/>
      <c r="F118" s="1"/>
      <c r="G118" s="1"/>
    </row>
    <row r="119" spans="4:7">
      <c r="D119" s="1"/>
      <c r="E119" s="1"/>
      <c r="F119" s="1"/>
      <c r="G119" s="1"/>
    </row>
    <row r="120" spans="4:7">
      <c r="D120" s="1"/>
      <c r="E120" s="1"/>
      <c r="F120" s="1"/>
      <c r="G120" s="1"/>
    </row>
    <row r="121" spans="4:7">
      <c r="D121" s="1"/>
      <c r="E121" s="1"/>
      <c r="F121" s="1"/>
      <c r="G121" s="1"/>
    </row>
    <row r="122" spans="4:7">
      <c r="D122" s="1"/>
      <c r="E122" s="1"/>
      <c r="F122" s="1"/>
      <c r="G122" s="1"/>
    </row>
    <row r="123" spans="4:7">
      <c r="D123" s="1"/>
      <c r="E123" s="1"/>
      <c r="F123" s="1"/>
      <c r="G123" s="1"/>
    </row>
    <row r="124" spans="4:7">
      <c r="D124" s="1"/>
      <c r="E124" s="1"/>
      <c r="F124" s="1"/>
      <c r="G124" s="1"/>
    </row>
    <row r="125" spans="4:7">
      <c r="D125" s="1"/>
      <c r="E125" s="1"/>
      <c r="F125" s="1"/>
      <c r="G125" s="1"/>
    </row>
    <row r="126" spans="4:7">
      <c r="D126" s="1"/>
      <c r="E126" s="1"/>
      <c r="F126" s="1"/>
      <c r="G126" s="1"/>
    </row>
    <row r="127" spans="4:7">
      <c r="D127" s="1"/>
      <c r="E127" s="1"/>
      <c r="F127" s="1"/>
      <c r="G127" s="1"/>
    </row>
    <row r="128" spans="4:7">
      <c r="D128" s="1"/>
      <c r="E128" s="1"/>
      <c r="F128" s="1"/>
      <c r="G128" s="1"/>
    </row>
    <row r="129" spans="4:7">
      <c r="D129" s="1"/>
      <c r="E129" s="1"/>
      <c r="F129" s="1"/>
      <c r="G129" s="1"/>
    </row>
    <row r="130" spans="4:7">
      <c r="D130" s="1"/>
      <c r="E130" s="1"/>
      <c r="F130" s="1"/>
      <c r="G130" s="1"/>
    </row>
    <row r="131" spans="4:7">
      <c r="D131" s="1"/>
      <c r="E131" s="1"/>
      <c r="F131" s="1"/>
      <c r="G131" s="1"/>
    </row>
    <row r="132" spans="4:7">
      <c r="D132" s="1"/>
      <c r="E132" s="1"/>
      <c r="F132" s="1"/>
      <c r="G132" s="1"/>
    </row>
    <row r="133" spans="4:7">
      <c r="D133" s="1"/>
      <c r="E133" s="1"/>
      <c r="F133" s="1"/>
      <c r="G133" s="1"/>
    </row>
    <row r="134" spans="4:7">
      <c r="D134" s="1"/>
      <c r="E134" s="1"/>
      <c r="F134" s="1"/>
      <c r="G134" s="1"/>
    </row>
    <row r="135" spans="4:7">
      <c r="D135" s="1"/>
      <c r="E135" s="1"/>
      <c r="F135" s="1"/>
      <c r="G135" s="1"/>
    </row>
    <row r="136" spans="4:7">
      <c r="D136" s="1"/>
      <c r="E136" s="1"/>
      <c r="F136" s="1"/>
      <c r="G136" s="1"/>
    </row>
    <row r="137" spans="4:7">
      <c r="D137" s="1"/>
      <c r="E137" s="1"/>
      <c r="F137" s="1"/>
      <c r="G137" s="1"/>
    </row>
    <row r="138" spans="4:7">
      <c r="D138" s="1"/>
      <c r="E138" s="1"/>
      <c r="F138" s="1"/>
      <c r="G138" s="1"/>
    </row>
    <row r="139" spans="4:7">
      <c r="D139" s="1"/>
      <c r="E139" s="1"/>
      <c r="F139" s="1"/>
      <c r="G139" s="1"/>
    </row>
    <row r="140" spans="4:7">
      <c r="D140" s="1"/>
      <c r="E140" s="1"/>
      <c r="F140" s="1"/>
      <c r="G140" s="1"/>
    </row>
    <row r="141" spans="4:7">
      <c r="D141" s="1"/>
      <c r="E141" s="1"/>
      <c r="F141" s="1"/>
      <c r="G141" s="1"/>
    </row>
    <row r="142" spans="4:7">
      <c r="D142" s="1"/>
      <c r="E142" s="1"/>
      <c r="F142" s="1"/>
      <c r="G142" s="1"/>
    </row>
    <row r="143" spans="4:7">
      <c r="D143" s="1"/>
      <c r="E143" s="1"/>
      <c r="F143" s="1"/>
      <c r="G143" s="1"/>
    </row>
    <row r="144" spans="4:7">
      <c r="D144" s="1"/>
      <c r="E144" s="1"/>
      <c r="F144" s="1"/>
      <c r="G144" s="1"/>
    </row>
    <row r="145" spans="4:7">
      <c r="D145" s="1"/>
      <c r="E145" s="1"/>
      <c r="F145" s="1"/>
      <c r="G145" s="1"/>
    </row>
    <row r="146" spans="4:7">
      <c r="D146" s="1"/>
      <c r="E146" s="1"/>
      <c r="F146" s="1"/>
      <c r="G146" s="1"/>
    </row>
    <row r="147" spans="4:7">
      <c r="D147" s="1"/>
      <c r="E147" s="1"/>
      <c r="F147" s="1"/>
      <c r="G147" s="1"/>
    </row>
    <row r="148" spans="4:7">
      <c r="D148" s="1"/>
      <c r="E148" s="1"/>
      <c r="F148" s="1"/>
      <c r="G148" s="1"/>
    </row>
    <row r="149" spans="4:7">
      <c r="D149" s="1"/>
      <c r="E149" s="1"/>
      <c r="F149" s="1"/>
      <c r="G149" s="1"/>
    </row>
    <row r="150" spans="4:7">
      <c r="D150" s="1"/>
      <c r="E150" s="1"/>
      <c r="F150" s="1"/>
      <c r="G150" s="1"/>
    </row>
    <row r="151" spans="4:7">
      <c r="D151" s="1"/>
      <c r="E151" s="1"/>
      <c r="F151" s="1"/>
      <c r="G151" s="1"/>
    </row>
    <row r="152" spans="4:7">
      <c r="D152" s="1"/>
      <c r="E152" s="1"/>
      <c r="F152" s="1"/>
      <c r="G152" s="1"/>
    </row>
    <row r="153" spans="4:7">
      <c r="D153" s="1"/>
      <c r="E153" s="1"/>
      <c r="F153" s="1"/>
      <c r="G153" s="1"/>
    </row>
    <row r="154" spans="4:7">
      <c r="D154" s="1"/>
      <c r="E154" s="1"/>
      <c r="F154" s="1"/>
      <c r="G154" s="1"/>
    </row>
    <row r="155" spans="4:7">
      <c r="D155" s="1"/>
      <c r="E155" s="1"/>
      <c r="F155" s="1"/>
      <c r="G155" s="1"/>
    </row>
    <row r="156" spans="4:7">
      <c r="D156" s="1"/>
      <c r="E156" s="1"/>
      <c r="F156" s="1"/>
      <c r="G156" s="1"/>
    </row>
    <row r="157" spans="4:7">
      <c r="D157" s="1"/>
      <c r="E157" s="1"/>
      <c r="F157" s="1"/>
      <c r="G157" s="1"/>
    </row>
  </sheetData>
  <phoneticPr fontId="0" type="noConversion"/>
  <hyperlinks>
    <hyperlink ref="A1" location="Menu!A1" display="Menu!A1" xr:uid="{00000000-0004-0000-1500-000000000000}"/>
  </hyperlink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dimension ref="A1:B9"/>
  <sheetViews>
    <sheetView workbookViewId="0">
      <selection activeCell="A6" sqref="A6"/>
    </sheetView>
  </sheetViews>
  <sheetFormatPr defaultRowHeight="12.75"/>
  <cols>
    <col min="1" max="1" width="15.1328125" bestFit="1" customWidth="1"/>
    <col min="2" max="2" width="4.73046875" bestFit="1" customWidth="1"/>
    <col min="3" max="6" width="15.73046875" bestFit="1" customWidth="1"/>
    <col min="7" max="7" width="10.59765625" bestFit="1" customWidth="1"/>
  </cols>
  <sheetData>
    <row r="1" spans="1:2">
      <c r="A1" s="401" t="s">
        <v>363</v>
      </c>
    </row>
    <row r="3" spans="1:2">
      <c r="A3" s="367" t="s">
        <v>151</v>
      </c>
      <c r="B3" s="368"/>
    </row>
    <row r="4" spans="1:2">
      <c r="A4" s="367" t="s">
        <v>127</v>
      </c>
      <c r="B4" s="368" t="s">
        <v>149</v>
      </c>
    </row>
    <row r="5" spans="1:2">
      <c r="A5" s="509">
        <v>3</v>
      </c>
      <c r="B5" s="523">
        <v>5</v>
      </c>
    </row>
    <row r="6" spans="1:2">
      <c r="A6" s="510">
        <v>2</v>
      </c>
      <c r="B6" s="524">
        <v>28</v>
      </c>
    </row>
    <row r="7" spans="1:2">
      <c r="A7" s="510">
        <v>1</v>
      </c>
      <c r="B7" s="524">
        <v>11</v>
      </c>
    </row>
    <row r="8" spans="1:2">
      <c r="A8" s="510">
        <v>0</v>
      </c>
      <c r="B8" s="524">
        <v>18</v>
      </c>
    </row>
    <row r="9" spans="1:2">
      <c r="A9" s="511" t="s">
        <v>150</v>
      </c>
      <c r="B9" s="525">
        <v>62</v>
      </c>
    </row>
  </sheetData>
  <hyperlinks>
    <hyperlink ref="A1" location="Menu!A1" display="Menu!A1" xr:uid="{00000000-0004-0000-0D00-000000000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dimension ref="A1:L132"/>
  <sheetViews>
    <sheetView workbookViewId="0">
      <selection activeCell="I4" sqref="I4"/>
    </sheetView>
  </sheetViews>
  <sheetFormatPr defaultRowHeight="12.75"/>
  <cols>
    <col min="1" max="1" width="15.265625" bestFit="1" customWidth="1"/>
    <col min="2" max="4" width="8.73046875" bestFit="1" customWidth="1"/>
    <col min="5" max="5" width="10.265625" bestFit="1" customWidth="1"/>
    <col min="9" max="9" width="29" customWidth="1"/>
    <col min="10" max="11" width="11.73046875" customWidth="1"/>
  </cols>
  <sheetData>
    <row r="1" spans="1:11" ht="96" customHeight="1"/>
    <row r="3" spans="1:11">
      <c r="A3" s="367" t="s">
        <v>445</v>
      </c>
      <c r="B3" s="367" t="s">
        <v>17</v>
      </c>
      <c r="C3" s="679"/>
      <c r="D3" s="679"/>
      <c r="E3" s="577"/>
    </row>
    <row r="4" spans="1:11">
      <c r="A4" s="367" t="s">
        <v>478</v>
      </c>
      <c r="B4" s="509">
        <v>0</v>
      </c>
      <c r="C4" s="680">
        <v>1</v>
      </c>
      <c r="D4" s="680" t="s">
        <v>532</v>
      </c>
      <c r="E4" s="368" t="s">
        <v>150</v>
      </c>
      <c r="I4" s="97" t="s">
        <v>512</v>
      </c>
      <c r="J4" s="653" t="s">
        <v>511</v>
      </c>
      <c r="K4" s="653" t="s">
        <v>52</v>
      </c>
    </row>
    <row r="5" spans="1:11">
      <c r="A5" s="509" t="s">
        <v>594</v>
      </c>
      <c r="B5" s="588"/>
      <c r="C5" s="593">
        <v>11</v>
      </c>
      <c r="D5" s="593"/>
      <c r="E5" s="523">
        <v>11</v>
      </c>
      <c r="I5" s="509" t="s">
        <v>654</v>
      </c>
      <c r="J5" s="509">
        <v>13</v>
      </c>
      <c r="K5" s="680"/>
    </row>
    <row r="6" spans="1:11">
      <c r="A6" s="510" t="s">
        <v>577</v>
      </c>
      <c r="B6" s="681">
        <v>5</v>
      </c>
      <c r="C6" s="526"/>
      <c r="D6" s="526"/>
      <c r="E6" s="524">
        <v>5</v>
      </c>
      <c r="I6" s="509" t="s">
        <v>646</v>
      </c>
      <c r="J6" s="509">
        <v>7</v>
      </c>
      <c r="K6" s="680"/>
    </row>
    <row r="7" spans="1:11">
      <c r="A7" s="510" t="s">
        <v>573</v>
      </c>
      <c r="B7" s="681">
        <v>3</v>
      </c>
      <c r="C7" s="526"/>
      <c r="D7" s="526"/>
      <c r="E7" s="524">
        <v>3</v>
      </c>
      <c r="I7" s="509" t="s">
        <v>450</v>
      </c>
      <c r="J7" s="509">
        <v>6</v>
      </c>
      <c r="K7" s="680"/>
    </row>
    <row r="8" spans="1:11">
      <c r="A8" s="510" t="s">
        <v>607</v>
      </c>
      <c r="B8" s="681"/>
      <c r="C8" s="526">
        <v>5</v>
      </c>
      <c r="D8" s="526"/>
      <c r="E8" s="524">
        <v>5</v>
      </c>
      <c r="I8" s="509" t="s">
        <v>577</v>
      </c>
      <c r="J8" s="509">
        <v>5</v>
      </c>
      <c r="K8" s="680"/>
    </row>
    <row r="9" spans="1:11">
      <c r="A9" s="510" t="s">
        <v>646</v>
      </c>
      <c r="B9" s="681">
        <v>7</v>
      </c>
      <c r="C9" s="526"/>
      <c r="D9" s="526"/>
      <c r="E9" s="524">
        <v>7</v>
      </c>
      <c r="I9" s="509" t="s">
        <v>592</v>
      </c>
      <c r="J9" s="509">
        <v>5</v>
      </c>
      <c r="K9" s="680"/>
    </row>
    <row r="10" spans="1:11">
      <c r="A10" s="510" t="s">
        <v>571</v>
      </c>
      <c r="B10" s="681"/>
      <c r="C10" s="526">
        <v>4</v>
      </c>
      <c r="D10" s="526"/>
      <c r="E10" s="524">
        <v>4</v>
      </c>
      <c r="I10" s="509" t="s">
        <v>606</v>
      </c>
      <c r="J10" s="509">
        <v>4</v>
      </c>
      <c r="K10" s="680"/>
    </row>
    <row r="11" spans="1:11">
      <c r="A11" s="510" t="s">
        <v>583</v>
      </c>
      <c r="B11" s="681">
        <v>2</v>
      </c>
      <c r="C11" s="526"/>
      <c r="D11" s="526"/>
      <c r="E11" s="524">
        <v>2</v>
      </c>
      <c r="I11" s="509" t="s">
        <v>648</v>
      </c>
      <c r="J11" s="509">
        <v>4</v>
      </c>
      <c r="K11" s="680"/>
    </row>
    <row r="12" spans="1:11">
      <c r="A12" s="510" t="s">
        <v>580</v>
      </c>
      <c r="B12" s="681">
        <v>1</v>
      </c>
      <c r="C12" s="526"/>
      <c r="D12" s="526"/>
      <c r="E12" s="524">
        <v>1</v>
      </c>
      <c r="I12" s="509" t="s">
        <v>573</v>
      </c>
      <c r="J12" s="509">
        <v>3</v>
      </c>
      <c r="K12" s="680"/>
    </row>
    <row r="13" spans="1:11">
      <c r="A13" s="510" t="s">
        <v>659</v>
      </c>
      <c r="B13" s="681"/>
      <c r="C13" s="526">
        <v>1</v>
      </c>
      <c r="D13" s="526"/>
      <c r="E13" s="524">
        <v>1</v>
      </c>
      <c r="I13" s="509" t="s">
        <v>604</v>
      </c>
      <c r="J13" s="509">
        <v>3</v>
      </c>
      <c r="K13" s="680"/>
    </row>
    <row r="14" spans="1:11">
      <c r="A14" s="510" t="s">
        <v>570</v>
      </c>
      <c r="B14" s="681">
        <v>2</v>
      </c>
      <c r="C14" s="526"/>
      <c r="D14" s="526"/>
      <c r="E14" s="524">
        <v>2</v>
      </c>
      <c r="I14" s="509" t="s">
        <v>657</v>
      </c>
      <c r="J14" s="509">
        <v>3</v>
      </c>
      <c r="K14" s="680"/>
    </row>
    <row r="15" spans="1:11">
      <c r="A15" s="510" t="s">
        <v>606</v>
      </c>
      <c r="B15" s="681">
        <v>4</v>
      </c>
      <c r="C15" s="526"/>
      <c r="D15" s="526"/>
      <c r="E15" s="524">
        <v>4</v>
      </c>
      <c r="I15" s="509" t="s">
        <v>599</v>
      </c>
      <c r="J15" s="509">
        <v>3</v>
      </c>
      <c r="K15" s="680"/>
    </row>
    <row r="16" spans="1:11">
      <c r="A16" s="510" t="s">
        <v>616</v>
      </c>
      <c r="B16" s="681">
        <v>1</v>
      </c>
      <c r="C16" s="526"/>
      <c r="D16" s="526"/>
      <c r="E16" s="524">
        <v>1</v>
      </c>
      <c r="I16" s="509" t="s">
        <v>641</v>
      </c>
      <c r="J16" s="509">
        <v>3</v>
      </c>
      <c r="K16" s="680"/>
    </row>
    <row r="17" spans="1:11">
      <c r="A17" s="510" t="s">
        <v>608</v>
      </c>
      <c r="B17" s="681">
        <v>2</v>
      </c>
      <c r="C17" s="526"/>
      <c r="D17" s="526"/>
      <c r="E17" s="524">
        <v>2</v>
      </c>
      <c r="I17" s="509" t="s">
        <v>583</v>
      </c>
      <c r="J17" s="509">
        <v>2</v>
      </c>
      <c r="K17" s="680"/>
    </row>
    <row r="18" spans="1:11">
      <c r="A18" s="510" t="s">
        <v>609</v>
      </c>
      <c r="B18" s="681">
        <v>1</v>
      </c>
      <c r="C18" s="526"/>
      <c r="D18" s="526"/>
      <c r="E18" s="524">
        <v>1</v>
      </c>
      <c r="I18" s="509" t="s">
        <v>570</v>
      </c>
      <c r="J18" s="509">
        <v>2</v>
      </c>
      <c r="K18" s="680"/>
    </row>
    <row r="19" spans="1:11">
      <c r="A19" s="510" t="s">
        <v>449</v>
      </c>
      <c r="B19" s="681">
        <v>1</v>
      </c>
      <c r="C19" s="526"/>
      <c r="D19" s="526"/>
      <c r="E19" s="524">
        <v>1</v>
      </c>
      <c r="I19" s="509" t="s">
        <v>608</v>
      </c>
      <c r="J19" s="509">
        <v>2</v>
      </c>
      <c r="K19" s="680"/>
    </row>
    <row r="20" spans="1:11">
      <c r="A20" s="510" t="s">
        <v>574</v>
      </c>
      <c r="B20" s="681"/>
      <c r="C20" s="526">
        <v>1</v>
      </c>
      <c r="D20" s="526"/>
      <c r="E20" s="524">
        <v>1</v>
      </c>
      <c r="I20" s="509" t="s">
        <v>649</v>
      </c>
      <c r="J20" s="588">
        <v>2</v>
      </c>
      <c r="K20" s="593"/>
    </row>
    <row r="21" spans="1:11">
      <c r="A21" s="510" t="s">
        <v>453</v>
      </c>
      <c r="B21" s="681"/>
      <c r="C21" s="526">
        <v>11</v>
      </c>
      <c r="D21" s="526"/>
      <c r="E21" s="524">
        <v>11</v>
      </c>
      <c r="I21" s="509" t="s">
        <v>622</v>
      </c>
      <c r="J21" s="509">
        <v>2</v>
      </c>
      <c r="K21" s="680"/>
    </row>
    <row r="22" spans="1:11">
      <c r="A22" s="510" t="s">
        <v>604</v>
      </c>
      <c r="B22" s="681">
        <v>3</v>
      </c>
      <c r="C22" s="526"/>
      <c r="D22" s="526"/>
      <c r="E22" s="524">
        <v>3</v>
      </c>
      <c r="I22" s="509" t="s">
        <v>586</v>
      </c>
      <c r="J22" s="509">
        <v>2</v>
      </c>
      <c r="K22" s="680"/>
    </row>
    <row r="23" spans="1:11">
      <c r="A23" s="510" t="s">
        <v>450</v>
      </c>
      <c r="B23" s="681">
        <v>6</v>
      </c>
      <c r="C23" s="526"/>
      <c r="D23" s="526"/>
      <c r="E23" s="524">
        <v>6</v>
      </c>
      <c r="I23" s="509" t="s">
        <v>580</v>
      </c>
      <c r="J23" s="509">
        <v>1</v>
      </c>
      <c r="K23" s="680"/>
    </row>
    <row r="24" spans="1:11">
      <c r="A24" s="510" t="s">
        <v>648</v>
      </c>
      <c r="B24" s="681">
        <v>4</v>
      </c>
      <c r="C24" s="526"/>
      <c r="D24" s="526"/>
      <c r="E24" s="524">
        <v>4</v>
      </c>
      <c r="I24" s="509" t="s">
        <v>616</v>
      </c>
      <c r="J24" s="588">
        <v>1</v>
      </c>
      <c r="K24" s="593"/>
    </row>
    <row r="25" spans="1:11">
      <c r="A25" s="510" t="s">
        <v>654</v>
      </c>
      <c r="B25" s="681">
        <v>13</v>
      </c>
      <c r="C25" s="526"/>
      <c r="D25" s="526"/>
      <c r="E25" s="524">
        <v>13</v>
      </c>
      <c r="I25" s="509" t="s">
        <v>609</v>
      </c>
      <c r="J25" s="509">
        <v>1</v>
      </c>
      <c r="K25" s="680"/>
    </row>
    <row r="26" spans="1:11">
      <c r="A26" s="510" t="s">
        <v>369</v>
      </c>
      <c r="B26" s="681">
        <v>1</v>
      </c>
      <c r="C26" s="526"/>
      <c r="D26" s="526"/>
      <c r="E26" s="524">
        <v>1</v>
      </c>
      <c r="I26" s="509" t="s">
        <v>449</v>
      </c>
      <c r="J26" s="509">
        <v>1</v>
      </c>
      <c r="K26" s="680"/>
    </row>
    <row r="27" spans="1:11">
      <c r="A27" s="510" t="s">
        <v>575</v>
      </c>
      <c r="B27" s="681">
        <v>1</v>
      </c>
      <c r="C27" s="526"/>
      <c r="D27" s="526"/>
      <c r="E27" s="524">
        <v>1</v>
      </c>
      <c r="I27" s="509" t="s">
        <v>369</v>
      </c>
      <c r="J27" s="509">
        <v>1</v>
      </c>
      <c r="K27" s="680"/>
    </row>
    <row r="28" spans="1:11">
      <c r="A28" s="510" t="s">
        <v>447</v>
      </c>
      <c r="B28" s="681"/>
      <c r="C28" s="526"/>
      <c r="D28" s="526">
        <v>15</v>
      </c>
      <c r="E28" s="524">
        <v>15</v>
      </c>
      <c r="I28" s="509" t="s">
        <v>575</v>
      </c>
      <c r="J28" s="509">
        <v>1</v>
      </c>
      <c r="K28" s="680"/>
    </row>
    <row r="29" spans="1:11">
      <c r="A29" s="510" t="s">
        <v>647</v>
      </c>
      <c r="B29" s="681"/>
      <c r="C29" s="526">
        <v>1</v>
      </c>
      <c r="D29" s="526"/>
      <c r="E29" s="524">
        <v>1</v>
      </c>
      <c r="I29" s="509" t="s">
        <v>660</v>
      </c>
      <c r="J29" s="509">
        <v>1</v>
      </c>
      <c r="K29" s="680"/>
    </row>
    <row r="30" spans="1:11">
      <c r="A30" s="510" t="s">
        <v>593</v>
      </c>
      <c r="B30" s="681"/>
      <c r="C30" s="526">
        <v>2</v>
      </c>
      <c r="D30" s="526"/>
      <c r="E30" s="524">
        <v>2</v>
      </c>
      <c r="I30" s="509" t="s">
        <v>655</v>
      </c>
      <c r="J30" s="509">
        <v>1</v>
      </c>
      <c r="K30" s="680"/>
    </row>
    <row r="31" spans="1:11">
      <c r="A31" s="510" t="s">
        <v>605</v>
      </c>
      <c r="B31" s="681"/>
      <c r="C31" s="526">
        <v>1</v>
      </c>
      <c r="D31" s="526"/>
      <c r="E31" s="524">
        <v>1</v>
      </c>
      <c r="I31" s="509" t="s">
        <v>601</v>
      </c>
      <c r="J31" s="509">
        <v>1</v>
      </c>
      <c r="K31" s="680"/>
    </row>
    <row r="32" spans="1:11">
      <c r="A32" s="510" t="s">
        <v>582</v>
      </c>
      <c r="B32" s="681"/>
      <c r="C32" s="526">
        <v>1</v>
      </c>
      <c r="D32" s="526"/>
      <c r="E32" s="524">
        <v>1</v>
      </c>
      <c r="I32" s="509" t="s">
        <v>629</v>
      </c>
      <c r="J32" s="509">
        <v>1</v>
      </c>
      <c r="K32" s="680"/>
    </row>
    <row r="33" spans="1:12">
      <c r="A33" s="510" t="s">
        <v>649</v>
      </c>
      <c r="B33" s="681">
        <v>2</v>
      </c>
      <c r="C33" s="526"/>
      <c r="D33" s="526"/>
      <c r="E33" s="524">
        <v>2</v>
      </c>
      <c r="I33" s="509" t="s">
        <v>627</v>
      </c>
      <c r="J33" s="588">
        <v>1</v>
      </c>
      <c r="K33" s="593"/>
    </row>
    <row r="34" spans="1:12">
      <c r="A34" s="510" t="s">
        <v>657</v>
      </c>
      <c r="B34" s="681">
        <v>3</v>
      </c>
      <c r="C34" s="526"/>
      <c r="D34" s="526"/>
      <c r="E34" s="524">
        <v>3</v>
      </c>
      <c r="I34" s="509" t="s">
        <v>651</v>
      </c>
      <c r="J34" s="509">
        <v>1</v>
      </c>
      <c r="K34" s="680"/>
    </row>
    <row r="35" spans="1:12">
      <c r="A35" s="510" t="s">
        <v>579</v>
      </c>
      <c r="B35" s="681"/>
      <c r="C35" s="526">
        <v>2</v>
      </c>
      <c r="D35" s="526"/>
      <c r="E35" s="524">
        <v>2</v>
      </c>
      <c r="I35" s="509" t="s">
        <v>632</v>
      </c>
      <c r="J35" s="509">
        <v>1</v>
      </c>
      <c r="K35" s="680"/>
      <c r="L35">
        <v>12</v>
      </c>
    </row>
    <row r="36" spans="1:12">
      <c r="A36" s="510" t="s">
        <v>658</v>
      </c>
      <c r="B36" s="681"/>
      <c r="C36" s="526">
        <v>1</v>
      </c>
      <c r="D36" s="526"/>
      <c r="E36" s="524">
        <v>1</v>
      </c>
      <c r="I36" s="509" t="s">
        <v>639</v>
      </c>
      <c r="J36" s="509">
        <v>1</v>
      </c>
      <c r="K36" s="680"/>
    </row>
    <row r="37" spans="1:12">
      <c r="A37" s="510" t="s">
        <v>631</v>
      </c>
      <c r="B37" s="681"/>
      <c r="C37" s="526">
        <v>4</v>
      </c>
      <c r="D37" s="526"/>
      <c r="E37" s="524">
        <v>4</v>
      </c>
      <c r="I37" s="509" t="s">
        <v>656</v>
      </c>
      <c r="J37" s="509">
        <v>1</v>
      </c>
      <c r="K37" s="680"/>
    </row>
    <row r="38" spans="1:12">
      <c r="A38" s="510" t="s">
        <v>660</v>
      </c>
      <c r="B38" s="681">
        <v>1</v>
      </c>
      <c r="C38" s="526"/>
      <c r="D38" s="526"/>
      <c r="E38" s="524">
        <v>1</v>
      </c>
      <c r="I38" s="509" t="s">
        <v>594</v>
      </c>
      <c r="J38" s="509"/>
      <c r="K38" s="680">
        <v>11</v>
      </c>
    </row>
    <row r="39" spans="1:12">
      <c r="A39" s="510" t="s">
        <v>655</v>
      </c>
      <c r="B39" s="681">
        <v>1</v>
      </c>
      <c r="C39" s="526"/>
      <c r="D39" s="526"/>
      <c r="E39" s="524">
        <v>1</v>
      </c>
      <c r="I39" s="509" t="s">
        <v>453</v>
      </c>
      <c r="J39" s="509"/>
      <c r="K39" s="680">
        <v>11</v>
      </c>
    </row>
    <row r="40" spans="1:12">
      <c r="A40" s="510" t="s">
        <v>635</v>
      </c>
      <c r="B40" s="681"/>
      <c r="C40" s="526">
        <v>2</v>
      </c>
      <c r="D40" s="526"/>
      <c r="E40" s="524">
        <v>2</v>
      </c>
      <c r="I40" s="509" t="s">
        <v>559</v>
      </c>
      <c r="J40" s="509"/>
      <c r="K40" s="680">
        <v>8</v>
      </c>
    </row>
    <row r="41" spans="1:12">
      <c r="A41" s="510" t="s">
        <v>619</v>
      </c>
      <c r="B41" s="681"/>
      <c r="C41" s="526">
        <v>2</v>
      </c>
      <c r="D41" s="526"/>
      <c r="E41" s="524">
        <v>2</v>
      </c>
      <c r="I41" s="509" t="s">
        <v>607</v>
      </c>
      <c r="J41" s="509"/>
      <c r="K41" s="680">
        <v>5</v>
      </c>
    </row>
    <row r="42" spans="1:12">
      <c r="A42" s="510" t="s">
        <v>601</v>
      </c>
      <c r="B42" s="681">
        <v>1</v>
      </c>
      <c r="C42" s="526"/>
      <c r="D42" s="526"/>
      <c r="E42" s="524">
        <v>1</v>
      </c>
      <c r="I42" s="509" t="s">
        <v>571</v>
      </c>
      <c r="J42" s="588"/>
      <c r="K42" s="593">
        <v>4</v>
      </c>
    </row>
    <row r="43" spans="1:12">
      <c r="A43" s="510" t="s">
        <v>559</v>
      </c>
      <c r="B43" s="681"/>
      <c r="C43" s="526">
        <v>8</v>
      </c>
      <c r="D43" s="526"/>
      <c r="E43" s="524">
        <v>8</v>
      </c>
      <c r="I43" s="509" t="s">
        <v>631</v>
      </c>
      <c r="J43" s="509"/>
      <c r="K43" s="680">
        <v>4</v>
      </c>
    </row>
    <row r="44" spans="1:12">
      <c r="A44" s="510" t="s">
        <v>622</v>
      </c>
      <c r="B44" s="681">
        <v>2</v>
      </c>
      <c r="C44" s="526"/>
      <c r="D44" s="526"/>
      <c r="E44" s="524">
        <v>2</v>
      </c>
      <c r="I44" s="509" t="s">
        <v>562</v>
      </c>
      <c r="J44" s="509"/>
      <c r="K44" s="680">
        <v>4</v>
      </c>
    </row>
    <row r="45" spans="1:12">
      <c r="A45" s="510" t="s">
        <v>623</v>
      </c>
      <c r="B45" s="681"/>
      <c r="C45" s="526">
        <v>2</v>
      </c>
      <c r="D45" s="526"/>
      <c r="E45" s="524">
        <v>2</v>
      </c>
      <c r="I45" s="509" t="s">
        <v>643</v>
      </c>
      <c r="J45" s="509"/>
      <c r="K45" s="680">
        <v>4</v>
      </c>
    </row>
    <row r="46" spans="1:12">
      <c r="A46" s="510" t="s">
        <v>629</v>
      </c>
      <c r="B46" s="681">
        <v>1</v>
      </c>
      <c r="C46" s="526"/>
      <c r="D46" s="526"/>
      <c r="E46" s="524">
        <v>1</v>
      </c>
      <c r="I46" s="509" t="s">
        <v>593</v>
      </c>
      <c r="J46" s="509"/>
      <c r="K46" s="680">
        <v>2</v>
      </c>
    </row>
    <row r="47" spans="1:12">
      <c r="A47" s="510" t="s">
        <v>586</v>
      </c>
      <c r="B47" s="681">
        <v>2</v>
      </c>
      <c r="C47" s="526"/>
      <c r="D47" s="526"/>
      <c r="E47" s="524">
        <v>2</v>
      </c>
      <c r="I47" s="509" t="s">
        <v>579</v>
      </c>
      <c r="J47" s="509"/>
      <c r="K47" s="680">
        <v>2</v>
      </c>
    </row>
    <row r="48" spans="1:12">
      <c r="A48" s="510" t="s">
        <v>627</v>
      </c>
      <c r="B48" s="681">
        <v>1</v>
      </c>
      <c r="C48" s="526"/>
      <c r="D48" s="526"/>
      <c r="E48" s="524">
        <v>1</v>
      </c>
      <c r="I48" s="509" t="s">
        <v>635</v>
      </c>
      <c r="J48" s="509"/>
      <c r="K48" s="680">
        <v>2</v>
      </c>
    </row>
    <row r="49" spans="1:11">
      <c r="A49" s="510" t="s">
        <v>562</v>
      </c>
      <c r="B49" s="681"/>
      <c r="C49" s="526">
        <v>4</v>
      </c>
      <c r="D49" s="526"/>
      <c r="E49" s="524">
        <v>4</v>
      </c>
      <c r="I49" s="509" t="s">
        <v>619</v>
      </c>
      <c r="J49" s="509"/>
      <c r="K49" s="680">
        <v>2</v>
      </c>
    </row>
    <row r="50" spans="1:11">
      <c r="A50" s="510" t="s">
        <v>599</v>
      </c>
      <c r="B50" s="681">
        <v>3</v>
      </c>
      <c r="C50" s="526"/>
      <c r="D50" s="526"/>
      <c r="E50" s="524">
        <v>3</v>
      </c>
      <c r="I50" s="509" t="s">
        <v>623</v>
      </c>
      <c r="J50" s="509"/>
      <c r="K50" s="680">
        <v>2</v>
      </c>
    </row>
    <row r="51" spans="1:11">
      <c r="A51" s="510" t="s">
        <v>652</v>
      </c>
      <c r="B51" s="681"/>
      <c r="C51" s="526">
        <v>1</v>
      </c>
      <c r="D51" s="526"/>
      <c r="E51" s="524">
        <v>1</v>
      </c>
      <c r="I51" s="509" t="s">
        <v>588</v>
      </c>
      <c r="J51" s="509"/>
      <c r="K51" s="680">
        <v>2</v>
      </c>
    </row>
    <row r="52" spans="1:11">
      <c r="A52" s="510" t="s">
        <v>588</v>
      </c>
      <c r="B52" s="681"/>
      <c r="C52" s="526">
        <v>2</v>
      </c>
      <c r="D52" s="526"/>
      <c r="E52" s="524">
        <v>2</v>
      </c>
      <c r="I52" s="509" t="s">
        <v>602</v>
      </c>
      <c r="J52" s="588"/>
      <c r="K52" s="593">
        <v>2</v>
      </c>
    </row>
    <row r="53" spans="1:11">
      <c r="A53" s="510" t="s">
        <v>641</v>
      </c>
      <c r="B53" s="681">
        <v>3</v>
      </c>
      <c r="C53" s="526"/>
      <c r="D53" s="526"/>
      <c r="E53" s="524">
        <v>3</v>
      </c>
      <c r="I53" s="509" t="s">
        <v>659</v>
      </c>
      <c r="J53" s="509"/>
      <c r="K53" s="680">
        <v>1</v>
      </c>
    </row>
    <row r="54" spans="1:11">
      <c r="A54" s="510" t="s">
        <v>651</v>
      </c>
      <c r="B54" s="681">
        <v>1</v>
      </c>
      <c r="C54" s="526"/>
      <c r="D54" s="526"/>
      <c r="E54" s="524">
        <v>1</v>
      </c>
      <c r="I54" s="509" t="s">
        <v>574</v>
      </c>
      <c r="J54" s="509"/>
      <c r="K54" s="680">
        <v>1</v>
      </c>
    </row>
    <row r="55" spans="1:11">
      <c r="A55" s="510" t="s">
        <v>592</v>
      </c>
      <c r="B55" s="681">
        <v>5</v>
      </c>
      <c r="C55" s="526"/>
      <c r="D55" s="526"/>
      <c r="E55" s="524">
        <v>5</v>
      </c>
      <c r="I55" s="509" t="s">
        <v>647</v>
      </c>
      <c r="J55" s="509"/>
      <c r="K55" s="680">
        <v>1</v>
      </c>
    </row>
    <row r="56" spans="1:11">
      <c r="A56" s="510" t="s">
        <v>602</v>
      </c>
      <c r="B56" s="681"/>
      <c r="C56" s="526">
        <v>2</v>
      </c>
      <c r="D56" s="526"/>
      <c r="E56" s="524">
        <v>2</v>
      </c>
      <c r="I56" s="509" t="s">
        <v>605</v>
      </c>
      <c r="J56" s="509"/>
      <c r="K56" s="680">
        <v>1</v>
      </c>
    </row>
    <row r="57" spans="1:11">
      <c r="A57" s="510" t="s">
        <v>653</v>
      </c>
      <c r="B57" s="681"/>
      <c r="C57" s="526">
        <v>1</v>
      </c>
      <c r="D57" s="526"/>
      <c r="E57" s="524">
        <v>1</v>
      </c>
      <c r="I57" s="509" t="s">
        <v>582</v>
      </c>
      <c r="J57" s="509"/>
      <c r="K57" s="680">
        <v>1</v>
      </c>
    </row>
    <row r="58" spans="1:11">
      <c r="A58" s="510" t="s">
        <v>643</v>
      </c>
      <c r="B58" s="681"/>
      <c r="C58" s="526">
        <v>4</v>
      </c>
      <c r="D58" s="526"/>
      <c r="E58" s="524">
        <v>4</v>
      </c>
      <c r="I58" s="509" t="s">
        <v>658</v>
      </c>
      <c r="J58" s="509"/>
      <c r="K58" s="680">
        <v>1</v>
      </c>
    </row>
    <row r="59" spans="1:11">
      <c r="A59" s="510" t="s">
        <v>632</v>
      </c>
      <c r="B59" s="681">
        <v>1</v>
      </c>
      <c r="C59" s="526"/>
      <c r="D59" s="526"/>
      <c r="E59" s="524">
        <v>1</v>
      </c>
      <c r="I59" s="509" t="s">
        <v>652</v>
      </c>
      <c r="J59" s="509"/>
      <c r="K59" s="680">
        <v>1</v>
      </c>
    </row>
    <row r="60" spans="1:11">
      <c r="A60" s="510" t="s">
        <v>639</v>
      </c>
      <c r="B60" s="681">
        <v>1</v>
      </c>
      <c r="C60" s="526"/>
      <c r="D60" s="526"/>
      <c r="E60" s="524">
        <v>1</v>
      </c>
      <c r="I60" s="509" t="s">
        <v>653</v>
      </c>
      <c r="J60" s="588"/>
      <c r="K60" s="593">
        <v>1</v>
      </c>
    </row>
    <row r="61" spans="1:11">
      <c r="A61" s="510" t="s">
        <v>656</v>
      </c>
      <c r="B61" s="681">
        <v>1</v>
      </c>
      <c r="C61" s="526"/>
      <c r="D61" s="526"/>
      <c r="E61" s="524">
        <v>1</v>
      </c>
      <c r="I61" s="509" t="s">
        <v>447</v>
      </c>
      <c r="J61" s="509"/>
      <c r="K61" s="680"/>
    </row>
    <row r="62" spans="1:11">
      <c r="A62" s="511" t="s">
        <v>150</v>
      </c>
      <c r="B62" s="578">
        <v>86</v>
      </c>
      <c r="C62" s="682">
        <v>73</v>
      </c>
      <c r="D62" s="682">
        <v>15</v>
      </c>
      <c r="E62" s="525">
        <v>174</v>
      </c>
      <c r="I62" s="509"/>
      <c r="J62" s="509"/>
      <c r="K62" s="680"/>
    </row>
    <row r="63" spans="1:11">
      <c r="I63" s="509"/>
      <c r="J63" s="509"/>
      <c r="K63" s="680"/>
    </row>
    <row r="64" spans="1:11">
      <c r="I64" s="509"/>
      <c r="J64" s="509"/>
      <c r="K64" s="680"/>
    </row>
    <row r="65" spans="9:11">
      <c r="I65" s="509"/>
      <c r="J65" s="509"/>
      <c r="K65" s="680"/>
    </row>
    <row r="66" spans="9:11">
      <c r="I66" s="509"/>
      <c r="J66" s="509"/>
      <c r="K66" s="680"/>
    </row>
    <row r="67" spans="9:11">
      <c r="I67" s="509"/>
      <c r="J67" s="509"/>
      <c r="K67" s="680"/>
    </row>
    <row r="68" spans="9:11">
      <c r="I68" s="509"/>
      <c r="J68" s="509"/>
      <c r="K68" s="680"/>
    </row>
    <row r="69" spans="9:11">
      <c r="I69" s="509"/>
      <c r="J69" s="509"/>
      <c r="K69" s="680"/>
    </row>
    <row r="70" spans="9:11">
      <c r="I70" s="509"/>
      <c r="J70" s="509"/>
      <c r="K70" s="680"/>
    </row>
    <row r="71" spans="9:11">
      <c r="I71" s="509"/>
      <c r="J71" s="509"/>
      <c r="K71" s="680"/>
    </row>
    <row r="72" spans="9:11">
      <c r="I72" s="509"/>
      <c r="J72" s="509"/>
      <c r="K72" s="680"/>
    </row>
    <row r="73" spans="9:11">
      <c r="I73" s="509"/>
      <c r="J73" s="509"/>
      <c r="K73" s="680"/>
    </row>
    <row r="74" spans="9:11">
      <c r="I74" s="509"/>
      <c r="J74" s="509"/>
      <c r="K74" s="680"/>
    </row>
    <row r="75" spans="9:11">
      <c r="I75" s="509"/>
      <c r="J75" s="509"/>
      <c r="K75" s="680"/>
    </row>
    <row r="76" spans="9:11">
      <c r="I76" s="509"/>
      <c r="J76" s="509"/>
      <c r="K76" s="680"/>
    </row>
    <row r="77" spans="9:11">
      <c r="I77" s="509"/>
      <c r="J77" s="509"/>
      <c r="K77" s="680"/>
    </row>
    <row r="78" spans="9:11">
      <c r="I78" s="509"/>
      <c r="J78" s="509"/>
      <c r="K78" s="680"/>
    </row>
    <row r="79" spans="9:11">
      <c r="I79" s="509"/>
      <c r="J79" s="509"/>
      <c r="K79" s="680"/>
    </row>
    <row r="80" spans="9:11">
      <c r="I80" s="509"/>
      <c r="J80" s="509"/>
      <c r="K80" s="680"/>
    </row>
    <row r="81" spans="9:11">
      <c r="I81" s="509"/>
      <c r="J81" s="509"/>
      <c r="K81" s="680"/>
    </row>
    <row r="82" spans="9:11">
      <c r="I82" s="509"/>
      <c r="J82" s="588"/>
      <c r="K82" s="593"/>
    </row>
    <row r="83" spans="9:11">
      <c r="I83" s="509"/>
      <c r="J83" s="588"/>
      <c r="K83" s="593"/>
    </row>
    <row r="84" spans="9:11">
      <c r="I84" s="509"/>
      <c r="J84" s="588"/>
      <c r="K84" s="593"/>
    </row>
    <row r="85" spans="9:11">
      <c r="I85" s="509"/>
      <c r="J85" s="588"/>
      <c r="K85" s="593"/>
    </row>
    <row r="86" spans="9:11">
      <c r="I86" s="509"/>
      <c r="J86" s="588"/>
      <c r="K86" s="593"/>
    </row>
    <row r="87" spans="9:11">
      <c r="I87" s="509"/>
      <c r="J87" s="588"/>
      <c r="K87" s="593"/>
    </row>
    <row r="88" spans="9:11">
      <c r="I88" s="509"/>
      <c r="J88" s="588"/>
      <c r="K88" s="593"/>
    </row>
    <row r="89" spans="9:11">
      <c r="I89" s="509"/>
      <c r="J89" s="588"/>
      <c r="K89" s="593"/>
    </row>
    <row r="90" spans="9:11">
      <c r="I90" s="509"/>
      <c r="J90" s="588"/>
      <c r="K90" s="593"/>
    </row>
    <row r="91" spans="9:11">
      <c r="I91" s="509"/>
      <c r="J91" s="588"/>
      <c r="K91" s="593"/>
    </row>
    <row r="92" spans="9:11">
      <c r="I92" s="509"/>
      <c r="J92" s="588"/>
      <c r="K92" s="593"/>
    </row>
    <row r="93" spans="9:11">
      <c r="I93" s="509"/>
      <c r="J93" s="588"/>
      <c r="K93" s="593"/>
    </row>
    <row r="94" spans="9:11">
      <c r="I94" s="509"/>
      <c r="J94" s="588"/>
      <c r="K94" s="593"/>
    </row>
    <row r="95" spans="9:11">
      <c r="I95" s="509"/>
      <c r="J95" s="588"/>
      <c r="K95" s="593"/>
    </row>
    <row r="96" spans="9:11">
      <c r="I96" s="509"/>
      <c r="J96" s="588"/>
      <c r="K96" s="593"/>
    </row>
    <row r="97" spans="9:11">
      <c r="I97" s="509"/>
      <c r="J97" s="588"/>
      <c r="K97" s="593"/>
    </row>
    <row r="98" spans="9:11">
      <c r="I98" s="509"/>
      <c r="J98" s="588"/>
      <c r="K98" s="593"/>
    </row>
    <row r="99" spans="9:11">
      <c r="I99" s="509"/>
      <c r="J99" s="588"/>
      <c r="K99" s="593"/>
    </row>
    <row r="100" spans="9:11">
      <c r="I100" s="509"/>
      <c r="J100" s="588"/>
      <c r="K100" s="593"/>
    </row>
    <row r="101" spans="9:11">
      <c r="I101" s="509"/>
      <c r="J101" s="588"/>
      <c r="K101" s="593"/>
    </row>
    <row r="102" spans="9:11">
      <c r="I102" s="509"/>
      <c r="J102" s="588"/>
      <c r="K102" s="593"/>
    </row>
    <row r="103" spans="9:11">
      <c r="I103" s="509"/>
      <c r="J103" s="588"/>
      <c r="K103" s="593"/>
    </row>
    <row r="104" spans="9:11">
      <c r="I104" s="509"/>
      <c r="J104" s="588"/>
      <c r="K104" s="593"/>
    </row>
    <row r="105" spans="9:11">
      <c r="I105" s="258"/>
      <c r="J105" s="258"/>
      <c r="K105" s="258"/>
    </row>
    <row r="106" spans="9:11">
      <c r="I106" s="258"/>
      <c r="J106" s="258"/>
      <c r="K106" s="258"/>
    </row>
    <row r="107" spans="9:11">
      <c r="I107" s="258"/>
      <c r="J107" s="258"/>
      <c r="K107" s="258"/>
    </row>
    <row r="108" spans="9:11">
      <c r="I108" s="258"/>
      <c r="J108" s="258"/>
      <c r="K108" s="258"/>
    </row>
    <row r="109" spans="9:11">
      <c r="I109" s="258"/>
      <c r="J109" s="258"/>
      <c r="K109" s="258"/>
    </row>
    <row r="110" spans="9:11">
      <c r="I110" s="258"/>
      <c r="J110" s="258"/>
      <c r="K110" s="258"/>
    </row>
    <row r="111" spans="9:11">
      <c r="I111" s="258"/>
      <c r="J111" s="258"/>
      <c r="K111" s="258"/>
    </row>
    <row r="112" spans="9:11">
      <c r="I112" s="258"/>
      <c r="J112" s="258"/>
      <c r="K112" s="258"/>
    </row>
    <row r="113" spans="9:11">
      <c r="I113" s="258"/>
      <c r="J113" s="258"/>
      <c r="K113" s="258"/>
    </row>
    <row r="114" spans="9:11">
      <c r="I114" s="258"/>
      <c r="J114" s="258"/>
      <c r="K114" s="258"/>
    </row>
    <row r="115" spans="9:11">
      <c r="I115" s="258"/>
      <c r="J115" s="258"/>
      <c r="K115" s="258"/>
    </row>
    <row r="116" spans="9:11">
      <c r="I116" s="258"/>
      <c r="J116" s="258"/>
      <c r="K116" s="258"/>
    </row>
    <row r="117" spans="9:11">
      <c r="I117" s="258"/>
      <c r="J117" s="258"/>
      <c r="K117" s="258"/>
    </row>
    <row r="118" spans="9:11">
      <c r="I118" s="258"/>
      <c r="J118" s="258"/>
      <c r="K118" s="258"/>
    </row>
    <row r="119" spans="9:11">
      <c r="I119" s="258"/>
      <c r="J119" s="258"/>
      <c r="K119" s="258"/>
    </row>
    <row r="120" spans="9:11">
      <c r="I120" s="258"/>
      <c r="J120" s="258"/>
      <c r="K120" s="258"/>
    </row>
    <row r="121" spans="9:11">
      <c r="I121" s="258"/>
      <c r="J121" s="258"/>
      <c r="K121" s="258"/>
    </row>
    <row r="122" spans="9:11">
      <c r="I122" s="258"/>
      <c r="J122" s="258"/>
      <c r="K122" s="258"/>
    </row>
    <row r="123" spans="9:11">
      <c r="I123" s="258"/>
      <c r="J123" s="258"/>
      <c r="K123" s="258"/>
    </row>
    <row r="124" spans="9:11">
      <c r="I124" s="258"/>
      <c r="J124" s="258"/>
      <c r="K124" s="258"/>
    </row>
    <row r="125" spans="9:11">
      <c r="I125" s="258"/>
      <c r="J125" s="258"/>
      <c r="K125" s="258"/>
    </row>
    <row r="126" spans="9:11">
      <c r="I126" s="258"/>
      <c r="J126" s="258"/>
      <c r="K126" s="258"/>
    </row>
    <row r="127" spans="9:11">
      <c r="I127" s="258"/>
      <c r="J127" s="258"/>
      <c r="K127" s="258"/>
    </row>
    <row r="128" spans="9:11">
      <c r="I128" s="258"/>
      <c r="J128" s="258"/>
      <c r="K128" s="258"/>
    </row>
    <row r="129" spans="9:11">
      <c r="I129" s="258"/>
      <c r="J129" s="258"/>
      <c r="K129" s="258"/>
    </row>
    <row r="130" spans="9:11">
      <c r="I130" s="258"/>
      <c r="J130" s="258"/>
      <c r="K130" s="258"/>
    </row>
    <row r="131" spans="9:11">
      <c r="I131" s="258"/>
      <c r="J131" s="258"/>
      <c r="K131" s="258"/>
    </row>
    <row r="132" spans="9:11">
      <c r="I132" s="258"/>
      <c r="J132" s="258"/>
      <c r="K132" s="258"/>
    </row>
  </sheetData>
  <sortState xmlns:xlrd2="http://schemas.microsoft.com/office/spreadsheetml/2017/richdata2" ref="I5:K132">
    <sortCondition descending="1" ref="J5:J132"/>
  </sortState>
  <pageMargins left="0.7" right="0.7" top="0.75" bottom="0.75" header="0.3" footer="0.3"/>
  <pageSetup paperSize="9" orientation="portrait"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rgb="FF7030A0"/>
    <pageSetUpPr fitToPage="1"/>
  </sheetPr>
  <dimension ref="A1:AX82"/>
  <sheetViews>
    <sheetView topLeftCell="B1" zoomScaleNormal="100" workbookViewId="0">
      <selection activeCell="B3" sqref="B3:H28"/>
    </sheetView>
  </sheetViews>
  <sheetFormatPr defaultRowHeight="12.75"/>
  <cols>
    <col min="1" max="1" width="9.1328125" hidden="1" customWidth="1"/>
    <col min="3" max="3" width="7.59765625" style="4" customWidth="1"/>
    <col min="4" max="4" width="9.73046875" style="4" customWidth="1"/>
    <col min="5" max="5" width="9" style="1" customWidth="1"/>
    <col min="6" max="6" width="25.73046875" customWidth="1"/>
    <col min="7" max="7" width="9.73046875" customWidth="1"/>
    <col min="8" max="8" width="9.73046875" style="1" customWidth="1"/>
    <col min="9" max="9" width="2" customWidth="1"/>
    <col min="10" max="10" width="3.53125" style="4" customWidth="1"/>
    <col min="11" max="12" width="8.59765625" customWidth="1"/>
    <col min="13" max="13" width="15.59765625" customWidth="1"/>
    <col min="14" max="14" width="6.59765625" customWidth="1"/>
    <col min="15" max="15" width="8.265625" customWidth="1"/>
    <col min="16" max="17" width="6.59765625" customWidth="1"/>
    <col min="18" max="18" width="6.73046875" customWidth="1"/>
    <col min="19" max="19" width="7.59765625" customWidth="1"/>
    <col min="20" max="20" width="1.265625" customWidth="1"/>
    <col min="21" max="25" width="8.86328125" hidden="1" customWidth="1"/>
    <col min="26" max="26" width="1.3984375" customWidth="1"/>
    <col min="27" max="27" width="4.73046875" hidden="1" customWidth="1"/>
    <col min="28" max="28" width="15.1328125" customWidth="1"/>
    <col min="29" max="29" width="7.59765625" style="223" customWidth="1"/>
    <col min="30" max="30" width="3.73046875" hidden="1" customWidth="1"/>
    <col min="31" max="31" width="16.1328125" customWidth="1"/>
    <col min="32" max="32" width="7.73046875" customWidth="1"/>
    <col min="33" max="33" width="4.73046875" hidden="1" customWidth="1"/>
    <col min="34" max="34" width="16.265625" customWidth="1"/>
    <col min="35" max="35" width="7.1328125" customWidth="1"/>
    <col min="36" max="36" width="3.86328125" hidden="1" customWidth="1"/>
    <col min="37" max="37" width="15.59765625" customWidth="1"/>
    <col min="38" max="38" width="7.59765625" customWidth="1"/>
  </cols>
  <sheetData>
    <row r="1" spans="1:49" ht="23" customHeight="1">
      <c r="B1" s="591" t="s">
        <v>503</v>
      </c>
      <c r="C1" s="592" t="s">
        <v>545</v>
      </c>
      <c r="D1" s="83"/>
      <c r="E1" s="179"/>
      <c r="F1" s="160"/>
      <c r="G1" s="160"/>
      <c r="H1" s="179"/>
      <c r="I1" s="160"/>
      <c r="J1" s="83"/>
      <c r="K1" s="160"/>
      <c r="L1" s="160"/>
      <c r="M1" s="160"/>
      <c r="N1" s="160"/>
      <c r="O1" s="160"/>
      <c r="P1" s="160"/>
      <c r="Q1" s="160"/>
      <c r="R1" s="160"/>
      <c r="S1" s="160"/>
      <c r="T1" s="160"/>
      <c r="U1" s="160"/>
      <c r="V1" s="160"/>
      <c r="W1" s="160"/>
      <c r="X1" s="160"/>
      <c r="Y1" s="160"/>
      <c r="Z1" s="160"/>
      <c r="AA1" s="160"/>
      <c r="AB1" s="160"/>
      <c r="AC1" s="94"/>
      <c r="AD1" s="160"/>
      <c r="AE1" s="160"/>
      <c r="AF1" s="160"/>
      <c r="AG1" s="160"/>
      <c r="AH1" s="160"/>
      <c r="AI1" s="160"/>
      <c r="AJ1" s="160"/>
      <c r="AK1" s="160"/>
      <c r="AL1" s="160"/>
      <c r="AM1" s="160"/>
      <c r="AN1" s="160"/>
      <c r="AO1" s="160"/>
      <c r="AP1" s="160"/>
      <c r="AQ1" s="160"/>
      <c r="AR1" s="160"/>
    </row>
    <row r="2" spans="1:49" ht="23.25" customHeight="1">
      <c r="B2" s="591" t="s">
        <v>521</v>
      </c>
      <c r="C2" s="592">
        <v>20</v>
      </c>
      <c r="D2" s="83"/>
      <c r="E2" s="179"/>
      <c r="F2" s="160"/>
      <c r="G2" s="160"/>
      <c r="H2" s="179"/>
      <c r="I2" s="160"/>
      <c r="J2" s="83"/>
      <c r="K2" s="160"/>
      <c r="L2" s="160"/>
      <c r="M2" s="160"/>
      <c r="N2" s="160"/>
      <c r="O2" s="160"/>
      <c r="P2" s="160"/>
      <c r="Q2" s="160"/>
      <c r="R2" s="160"/>
      <c r="S2" s="160"/>
      <c r="T2" s="567"/>
      <c r="U2" s="82"/>
      <c r="V2" s="82"/>
      <c r="W2" s="82"/>
      <c r="X2" s="82"/>
      <c r="Y2" s="82"/>
      <c r="Z2" s="160"/>
      <c r="AA2" s="160"/>
      <c r="AB2" s="160"/>
      <c r="AC2" s="94"/>
      <c r="AD2" s="160"/>
      <c r="AE2" s="160"/>
      <c r="AF2" s="160"/>
      <c r="AG2" s="160"/>
      <c r="AH2" s="160"/>
      <c r="AI2" s="160"/>
      <c r="AJ2" s="160"/>
      <c r="AK2" s="160"/>
      <c r="AL2" s="160"/>
      <c r="AM2" s="160"/>
      <c r="AN2" s="160"/>
      <c r="AO2" s="160"/>
      <c r="AP2" s="160"/>
      <c r="AQ2" s="160"/>
      <c r="AR2" s="160"/>
      <c r="AS2" s="160"/>
      <c r="AT2" s="82"/>
      <c r="AU2" s="82"/>
      <c r="AV2" s="82"/>
      <c r="AW2" s="82"/>
    </row>
    <row r="3" spans="1:49" ht="26.25" customHeight="1">
      <c r="B3" s="82"/>
      <c r="C3" s="157"/>
      <c r="D3" s="755" t="str">
        <f>CONCATENATE("Promotion/Prize Places (Top 6) In Division after Round ",$C$2)</f>
        <v>Promotion/Prize Places (Top 6) In Division after Round 20</v>
      </c>
      <c r="E3" s="756"/>
      <c r="F3" s="756"/>
      <c r="G3" s="756"/>
      <c r="H3" s="757"/>
      <c r="I3" s="157"/>
      <c r="J3" s="366"/>
      <c r="K3" s="755" t="str">
        <f>CONCATENATE("Weekly Top 12 for Round ",$C$2)</f>
        <v>Weekly Top 12 for Round 20</v>
      </c>
      <c r="L3" s="756"/>
      <c r="M3" s="756"/>
      <c r="N3" s="756"/>
      <c r="O3" s="756"/>
      <c r="P3" s="756"/>
      <c r="Q3" s="756"/>
      <c r="R3" s="756"/>
      <c r="S3" s="757"/>
      <c r="T3" s="160"/>
      <c r="U3" s="590"/>
      <c r="V3" s="82"/>
      <c r="W3" s="82"/>
      <c r="X3" s="82"/>
      <c r="Y3" s="82"/>
      <c r="Z3" s="82"/>
      <c r="AA3" s="447"/>
      <c r="AB3" s="755" t="str">
        <f>CONCATENATE("League Standings after Round ",$C$2)</f>
        <v>League Standings after Round 20</v>
      </c>
      <c r="AC3" s="756"/>
      <c r="AD3" s="756"/>
      <c r="AE3" s="756"/>
      <c r="AF3" s="756"/>
      <c r="AG3" s="756"/>
      <c r="AH3" s="756"/>
      <c r="AI3" s="756"/>
      <c r="AJ3" s="756"/>
      <c r="AK3" s="756"/>
      <c r="AL3" s="757"/>
      <c r="AM3" s="82"/>
      <c r="AN3" s="82"/>
      <c r="AO3" s="82"/>
      <c r="AP3" s="82"/>
      <c r="AQ3" s="82"/>
      <c r="AR3" s="82"/>
      <c r="AS3" s="82"/>
      <c r="AT3" s="82"/>
      <c r="AU3" s="82"/>
      <c r="AV3" s="82"/>
      <c r="AW3" s="82"/>
    </row>
    <row r="4" spans="1:49" ht="27" customHeight="1">
      <c r="B4" s="82"/>
      <c r="C4" s="260" t="s">
        <v>228</v>
      </c>
      <c r="D4" s="338" t="s">
        <v>283</v>
      </c>
      <c r="E4" s="339" t="s">
        <v>284</v>
      </c>
      <c r="F4" s="151" t="s">
        <v>174</v>
      </c>
      <c r="G4" s="326" t="s">
        <v>285</v>
      </c>
      <c r="H4" s="327" t="s">
        <v>127</v>
      </c>
      <c r="I4" s="158"/>
      <c r="J4" s="366"/>
      <c r="K4" s="604" t="s">
        <v>102</v>
      </c>
      <c r="L4" s="748" t="s">
        <v>174</v>
      </c>
      <c r="M4" s="738"/>
      <c r="N4" s="620" t="s">
        <v>494</v>
      </c>
      <c r="O4" s="618" t="s">
        <v>236</v>
      </c>
      <c r="P4" s="620" t="s">
        <v>501</v>
      </c>
      <c r="Q4" s="620" t="s">
        <v>493</v>
      </c>
      <c r="R4" s="610" t="s">
        <v>491</v>
      </c>
      <c r="S4" s="611" t="s">
        <v>492</v>
      </c>
      <c r="T4" s="160"/>
      <c r="U4" s="82"/>
      <c r="V4" s="62" t="s">
        <v>238</v>
      </c>
      <c r="W4" s="62" t="s">
        <v>174</v>
      </c>
      <c r="X4" s="62" t="s">
        <v>13</v>
      </c>
      <c r="Y4" s="62" t="s">
        <v>53</v>
      </c>
      <c r="Z4" s="82"/>
      <c r="AA4" s="448"/>
      <c r="AB4" s="758" t="s">
        <v>232</v>
      </c>
      <c r="AC4" s="759"/>
      <c r="AD4" s="513"/>
      <c r="AE4" s="758" t="s">
        <v>233</v>
      </c>
      <c r="AF4" s="759"/>
      <c r="AG4" s="513"/>
      <c r="AH4" s="758" t="s">
        <v>234</v>
      </c>
      <c r="AI4" s="759"/>
      <c r="AJ4" s="513"/>
      <c r="AK4" s="758" t="s">
        <v>235</v>
      </c>
      <c r="AL4" s="759"/>
      <c r="AM4" s="82"/>
      <c r="AN4" s="82"/>
      <c r="AO4" s="82"/>
      <c r="AP4" s="82"/>
      <c r="AQ4" s="82"/>
      <c r="AR4" s="82"/>
      <c r="AS4" s="82"/>
      <c r="AT4" s="82"/>
      <c r="AU4" s="82"/>
      <c r="AV4" s="82"/>
      <c r="AW4" s="82"/>
    </row>
    <row r="5" spans="1:49" ht="18" customHeight="1">
      <c r="A5" s="9" t="s">
        <v>38</v>
      </c>
      <c r="B5" s="767" t="s">
        <v>232</v>
      </c>
      <c r="C5" s="261">
        <v>1</v>
      </c>
      <c r="D5" s="340">
        <f>INDEX(Table!I:I,MATCH($A5,Table!$B:$B,0))</f>
        <v>169.73645789898993</v>
      </c>
      <c r="E5" s="155">
        <f>INDEX(Table!J:J,MATCH($A5,Table!$B:$B,0))</f>
        <v>18</v>
      </c>
      <c r="F5" s="156" t="str">
        <f>INDEX(Table!F:F,MATCH($A5,Table!$B:$B,0))</f>
        <v>Paul Fairhurst</v>
      </c>
      <c r="G5" s="340">
        <f>INDEX(Table!K:K,MATCH($A5,Table!$B:$B,0))</f>
        <v>-1</v>
      </c>
      <c r="H5" s="155">
        <f>INDEX(Table!L:L,MATCH($A5,Table!$B:$B,0))</f>
        <v>0</v>
      </c>
      <c r="I5" s="157"/>
      <c r="J5" s="698">
        <v>1</v>
      </c>
      <c r="K5" s="264">
        <v>10</v>
      </c>
      <c r="L5" s="770" t="str">
        <f>INDEX(Weekly!E:E,MATCH($J5,Weekly!$B:$B,0))</f>
        <v>Frank Allen</v>
      </c>
      <c r="M5" s="771"/>
      <c r="N5" s="621">
        <f>INDEX(Weekly!A:A,MATCH($L5,Weekly!$E:$E,0))</f>
        <v>10</v>
      </c>
      <c r="O5" s="616" t="str">
        <f>INDEX(Weekly!D:D,MATCH($L5,Weekly!$E:$E,0))</f>
        <v>D</v>
      </c>
      <c r="P5" s="616">
        <f>INDEX(Table!D:D,MATCH($L5,Table!$F:$F,0))</f>
        <v>4</v>
      </c>
      <c r="Q5" s="625">
        <f>INDEX(Weekly!F:F,MATCH($L5,Weekly!$E:$E,0))</f>
        <v>22.895535256410259</v>
      </c>
      <c r="R5" s="629">
        <f>INDEX(Weekly!I:I,MATCH($L5,Weekly!$E:$E,0))</f>
        <v>3</v>
      </c>
      <c r="S5" s="405">
        <f>INDEX(Weekly!H:H,MATCH($L5,Weekly!$E:$E,0))</f>
        <v>21.781818181818181</v>
      </c>
      <c r="T5" s="160"/>
      <c r="U5" s="82">
        <v>1</v>
      </c>
      <c r="V5" s="82"/>
      <c r="W5" s="82"/>
      <c r="X5" s="82"/>
      <c r="Y5" s="82"/>
      <c r="Z5" s="82"/>
      <c r="AA5" s="449" t="s">
        <v>38</v>
      </c>
      <c r="AB5" s="452" t="str">
        <f>INDEX(Table!$F:$F,MATCH(AA5,Table!$B:$B,0))</f>
        <v>Paul Fairhurst</v>
      </c>
      <c r="AC5" s="453">
        <f>INDEX(Table!$I:$I,MATCH(AA5,Table!$B:$B,0))</f>
        <v>169.73645789898993</v>
      </c>
      <c r="AD5" s="454" t="s">
        <v>250</v>
      </c>
      <c r="AE5" s="535" t="str">
        <f>INDEX(Table!$F:$F,MATCH(AD5,Table!$B:$B,0))</f>
        <v>John Ronan</v>
      </c>
      <c r="AF5" s="453">
        <f>INDEX(Table!$I:$I,MATCH(AD5,Table!$B:$B,0))</f>
        <v>47.911267676767679</v>
      </c>
      <c r="AG5" s="454" t="s">
        <v>255</v>
      </c>
      <c r="AH5" s="535" t="str">
        <f>INDEX(Table!$F:$F,MATCH(AG5,Table!$B:$B,0))</f>
        <v>Rob England</v>
      </c>
      <c r="AI5" s="453">
        <f>INDEX(Table!$I:$I,MATCH(AG5,Table!$B:$B,0))</f>
        <v>81.989544230342304</v>
      </c>
      <c r="AJ5" s="454" t="s">
        <v>36</v>
      </c>
      <c r="AK5" s="535" t="str">
        <f>INDEX(Table!$F:$F,MATCH(AJ5,Table!$B:$B,0))</f>
        <v>Alan Bond</v>
      </c>
      <c r="AL5" s="453">
        <f>INDEX(Table!$I:$I,MATCH(AJ5,Table!$B:$B,0))</f>
        <v>81.85363636363634</v>
      </c>
      <c r="AM5" s="82"/>
      <c r="AN5" s="82"/>
      <c r="AO5" s="82"/>
      <c r="AP5" s="82"/>
      <c r="AQ5" s="82"/>
      <c r="AR5" s="82"/>
      <c r="AS5" s="82"/>
      <c r="AT5" s="82"/>
      <c r="AU5" s="82"/>
      <c r="AV5" s="82"/>
      <c r="AW5" s="82"/>
    </row>
    <row r="6" spans="1:49" ht="18" customHeight="1">
      <c r="A6" s="9" t="s">
        <v>39</v>
      </c>
      <c r="B6" s="768"/>
      <c r="C6" s="261">
        <v>2</v>
      </c>
      <c r="D6" s="340">
        <f>INDEX(Table!I:I,MATCH($A6,Table!$B:$B,0))</f>
        <v>52.422337662337654</v>
      </c>
      <c r="E6" s="155">
        <f>INDEX(Table!J:J,MATCH($A6,Table!$B:$B,0))</f>
        <v>30</v>
      </c>
      <c r="F6" s="156" t="str">
        <f>INDEX(Table!F:F,MATCH($A6,Table!$B:$B,0))</f>
        <v>Barry Birchall</v>
      </c>
      <c r="G6" s="340">
        <f>INDEX(Table!K:K,MATCH($A6,Table!$B:$B,0))</f>
        <v>9.2200000000000024</v>
      </c>
      <c r="H6" s="155">
        <f>INDEX(Table!L:L,MATCH($A6,Table!$B:$B,0))</f>
        <v>2</v>
      </c>
      <c r="I6" s="157"/>
      <c r="J6" s="698">
        <v>2</v>
      </c>
      <c r="K6" s="264">
        <v>5</v>
      </c>
      <c r="L6" s="772" t="str">
        <f>INDEX(Weekly!E:E,MATCH($J6,Weekly!$B:$B,0))</f>
        <v>Graham Miller</v>
      </c>
      <c r="M6" s="773"/>
      <c r="N6" s="621">
        <f>INDEX(Weekly!A:A,MATCH($L6,Weekly!$E:$E,0))</f>
        <v>23</v>
      </c>
      <c r="O6" s="616" t="str">
        <f>INDEX(Weekly!D:D,MATCH($L6,Weekly!$E:$E,0))</f>
        <v>C</v>
      </c>
      <c r="P6" s="616">
        <f>INDEX(Table!D:D,MATCH($L6,Table!$F:$F,0))</f>
        <v>4</v>
      </c>
      <c r="Q6" s="625">
        <f>INDEX(Weekly!F:F,MATCH($L6,Weekly!$E:$E,0))</f>
        <v>2.1630538277511988</v>
      </c>
      <c r="R6" s="629">
        <f>INDEX(Weekly!I:I,MATCH($L6,Weekly!$E:$E,0))</f>
        <v>3</v>
      </c>
      <c r="S6" s="405">
        <f>INDEX(Weekly!H:H,MATCH($L6,Weekly!$E:$E,0))</f>
        <v>16.239249999999998</v>
      </c>
      <c r="T6" s="160"/>
      <c r="U6" s="82">
        <v>2</v>
      </c>
      <c r="V6" s="82"/>
      <c r="W6" s="82"/>
      <c r="X6" s="82"/>
      <c r="Y6" s="82"/>
      <c r="Z6" s="82"/>
      <c r="AA6" s="449" t="s">
        <v>39</v>
      </c>
      <c r="AB6" s="452" t="str">
        <f>INDEX(Table!F:F,MATCH(AA6,Table!$B:$B,0))</f>
        <v>Barry Birchall</v>
      </c>
      <c r="AC6" s="453">
        <f>INDEX(Table!I:I,MATCH(AA6,Table!$B:$B,0))</f>
        <v>52.422337662337654</v>
      </c>
      <c r="AD6" s="454" t="s">
        <v>251</v>
      </c>
      <c r="AE6" s="535" t="str">
        <f>INDEX(Table!$F:$F,MATCH(AD6,Table!$B:$B,0))</f>
        <v>Dave Orrell</v>
      </c>
      <c r="AF6" s="453">
        <f>INDEX(Table!$I:$I,MATCH(AD6,Table!$B:$B,0))</f>
        <v>19.671818160472007</v>
      </c>
      <c r="AG6" s="454" t="s">
        <v>256</v>
      </c>
      <c r="AH6" s="535" t="str">
        <f>INDEX(Table!$F:$F,MATCH(AG6,Table!$B:$B,0))</f>
        <v>Nick Blocksidge</v>
      </c>
      <c r="AI6" s="453">
        <f>INDEX(Table!$I:$I,MATCH(AG6,Table!$B:$B,0))</f>
        <v>19.261527777777779</v>
      </c>
      <c r="AJ6" s="454" t="s">
        <v>37</v>
      </c>
      <c r="AK6" s="535" t="str">
        <f>INDEX(Table!$F:$F,MATCH(AJ6,Table!$B:$B,0))</f>
        <v>Dan Gibbard</v>
      </c>
      <c r="AL6" s="453">
        <f>INDEX(Table!$I:$I,MATCH(AJ6,Table!$B:$B,0))</f>
        <v>66.94207459207459</v>
      </c>
      <c r="AM6" s="82"/>
      <c r="AN6" s="82"/>
      <c r="AO6" s="82"/>
      <c r="AP6" s="82"/>
      <c r="AQ6" s="82"/>
      <c r="AR6" s="82"/>
      <c r="AS6" s="82"/>
      <c r="AT6" s="82"/>
      <c r="AU6" s="82"/>
      <c r="AV6" s="82"/>
      <c r="AW6" s="82"/>
    </row>
    <row r="7" spans="1:49" ht="18" customHeight="1">
      <c r="A7" s="9" t="s">
        <v>246</v>
      </c>
      <c r="B7" s="768"/>
      <c r="C7" s="261">
        <v>3</v>
      </c>
      <c r="D7" s="340">
        <f>INDEX(Table!I:I,MATCH($A7,Table!$B:$B,0))</f>
        <v>36.199999999999996</v>
      </c>
      <c r="E7" s="155">
        <f>INDEX(Table!J:J,MATCH($A7,Table!$B:$B,0))</f>
        <v>21</v>
      </c>
      <c r="F7" s="156" t="str">
        <f>INDEX(Table!F:F,MATCH($A7,Table!$B:$B,0))</f>
        <v>Chris Bow</v>
      </c>
      <c r="G7" s="340">
        <f>INDEX(Table!K:K,MATCH($A7,Table!$B:$B,0))</f>
        <v>7.75</v>
      </c>
      <c r="H7" s="155">
        <f>INDEX(Table!L:L,MATCH($A7,Table!$B:$B,0))</f>
        <v>2</v>
      </c>
      <c r="I7" s="157"/>
      <c r="J7" s="698">
        <v>3</v>
      </c>
      <c r="K7" s="264">
        <v>5</v>
      </c>
      <c r="L7" s="772" t="str">
        <f>INDEX(Weekly!E:E,MATCH($J7,Weekly!$B:$B,0))</f>
        <v>Rob England</v>
      </c>
      <c r="M7" s="773"/>
      <c r="N7" s="621">
        <f>INDEX(Weekly!A:A,MATCH($L7,Weekly!$E:$E,0))</f>
        <v>2</v>
      </c>
      <c r="O7" s="616" t="str">
        <f>INDEX(Weekly!D:D,MATCH($L7,Weekly!$E:$E,0))</f>
        <v>C</v>
      </c>
      <c r="P7" s="616">
        <f>INDEX(Table!D:D,MATCH($L7,Table!$F:$F,0))</f>
        <v>1</v>
      </c>
      <c r="Q7" s="625">
        <f>INDEX(Weekly!F:F,MATCH($L7,Weekly!$E:$E,0))</f>
        <v>81.989544230342304</v>
      </c>
      <c r="R7" s="629">
        <f>INDEX(Weekly!I:I,MATCH($L7,Weekly!$E:$E,0))</f>
        <v>3</v>
      </c>
      <c r="S7" s="405">
        <f>INDEX(Weekly!H:H,MATCH($L7,Weekly!$E:$E,0))</f>
        <v>15.466666666666669</v>
      </c>
      <c r="T7" s="160"/>
      <c r="U7" s="82">
        <v>3</v>
      </c>
      <c r="V7" s="82"/>
      <c r="W7" s="82"/>
      <c r="X7" s="82"/>
      <c r="Y7" s="82"/>
      <c r="Z7" s="82"/>
      <c r="AA7" s="449" t="s">
        <v>246</v>
      </c>
      <c r="AB7" s="452" t="str">
        <f>INDEX(Table!F:F,MATCH(AA7,Table!$B:$B,0))</f>
        <v>Chris Bow</v>
      </c>
      <c r="AC7" s="453">
        <f>INDEX(Table!I:I,MATCH(AA7,Table!$B:$B,0))</f>
        <v>36.199999999999996</v>
      </c>
      <c r="AD7" s="454" t="s">
        <v>252</v>
      </c>
      <c r="AE7" s="535" t="str">
        <f>INDEX(Table!$F:$F,MATCH(AD7,Table!$B:$B,0))</f>
        <v>Mo Sudell</v>
      </c>
      <c r="AF7" s="453">
        <f>INDEX(Table!$I:$I,MATCH(AD7,Table!$B:$B,0))</f>
        <v>14.139742479742479</v>
      </c>
      <c r="AG7" s="454" t="s">
        <v>257</v>
      </c>
      <c r="AH7" s="535" t="str">
        <f>INDEX(Table!$F:$F,MATCH(AG7,Table!$B:$B,0))</f>
        <v>Paul Adderley</v>
      </c>
      <c r="AI7" s="453">
        <f>INDEX(Table!$I:$I,MATCH(AG7,Table!$B:$B,0))</f>
        <v>2.4150762987012921</v>
      </c>
      <c r="AJ7" s="454" t="s">
        <v>260</v>
      </c>
      <c r="AK7" s="535" t="str">
        <f>INDEX(Table!$F:$F,MATCH(AJ7,Table!$B:$B,0))</f>
        <v>Ian Davies</v>
      </c>
      <c r="AL7" s="453">
        <f>INDEX(Table!$I:$I,MATCH(AJ7,Table!$B:$B,0))</f>
        <v>42.988749999999989</v>
      </c>
      <c r="AM7" s="82"/>
      <c r="AN7" s="82"/>
      <c r="AO7" s="82"/>
      <c r="AP7" s="82"/>
      <c r="AQ7" s="82"/>
      <c r="AR7" s="82"/>
      <c r="AS7" s="82"/>
      <c r="AT7" s="82"/>
      <c r="AU7" s="82"/>
      <c r="AV7" s="82"/>
      <c r="AW7" s="82"/>
    </row>
    <row r="8" spans="1:49" ht="18" customHeight="1" thickBot="1">
      <c r="A8" s="9" t="s">
        <v>247</v>
      </c>
      <c r="B8" s="768"/>
      <c r="C8" s="261">
        <v>4</v>
      </c>
      <c r="D8" s="340">
        <f>INDEX(Table!I:I,MATCH($A8,Table!$B:$B,0))</f>
        <v>34.26347402597402</v>
      </c>
      <c r="E8" s="155">
        <f>INDEX(Table!J:J,MATCH($A8,Table!$B:$B,0))</f>
        <v>27</v>
      </c>
      <c r="F8" s="156" t="str">
        <f>INDEX(Table!F:F,MATCH($A8,Table!$B:$B,0))</f>
        <v>Mark Saunders</v>
      </c>
      <c r="G8" s="340">
        <f>INDEX(Table!K:K,MATCH($A8,Table!$B:$B,0))</f>
        <v>-2.0600000000000005</v>
      </c>
      <c r="H8" s="155">
        <f>INDEX(Table!L:L,MATCH($A8,Table!$B:$B,0))</f>
        <v>2</v>
      </c>
      <c r="I8" s="157"/>
      <c r="J8" s="698">
        <v>4</v>
      </c>
      <c r="K8" s="337">
        <v>5</v>
      </c>
      <c r="L8" s="774" t="str">
        <f>INDEX(Weekly!E:E,MATCH($J8,Weekly!$B:$B,0))</f>
        <v>Mal Stott</v>
      </c>
      <c r="M8" s="775"/>
      <c r="N8" s="622">
        <f>INDEX(Weekly!A:A,MATCH($L8,Weekly!$E:$E,0))</f>
        <v>37</v>
      </c>
      <c r="O8" s="619" t="str">
        <f>INDEX(Weekly!D:D,MATCH($L8,Weekly!$E:$E,0))</f>
        <v>A</v>
      </c>
      <c r="P8" s="619">
        <f>INDEX(Table!D:D,MATCH($L8,Table!$F:$F,0))</f>
        <v>13</v>
      </c>
      <c r="Q8" s="626">
        <f>INDEX(Weekly!F:F,MATCH($L8,Weekly!$E:$E,0))</f>
        <v>-21.882575757575747</v>
      </c>
      <c r="R8" s="630">
        <f>INDEX(Weekly!I:I,MATCH($L8,Weekly!$E:$E,0))</f>
        <v>2</v>
      </c>
      <c r="S8" s="512">
        <f>INDEX(Weekly!H:H,MATCH($L8,Weekly!$E:$E,0))</f>
        <v>14.680000000000003</v>
      </c>
      <c r="T8" s="160"/>
      <c r="U8" s="82">
        <v>4</v>
      </c>
      <c r="V8" s="82"/>
      <c r="W8" s="82"/>
      <c r="X8" s="82"/>
      <c r="Y8" s="82"/>
      <c r="Z8" s="82"/>
      <c r="AA8" s="449" t="s">
        <v>247</v>
      </c>
      <c r="AB8" s="452" t="str">
        <f>INDEX(Table!F:F,MATCH(AA8,Table!$B:$B,0))</f>
        <v>Mark Saunders</v>
      </c>
      <c r="AC8" s="453">
        <f>INDEX(Table!I:I,MATCH(AA8,Table!$B:$B,0))</f>
        <v>34.26347402597402</v>
      </c>
      <c r="AD8" s="454" t="s">
        <v>253</v>
      </c>
      <c r="AE8" s="535" t="str">
        <f>INDEX(Table!$F:$F,MATCH(AD8,Table!$B:$B,0))</f>
        <v>Howard Bradley</v>
      </c>
      <c r="AF8" s="453">
        <f>INDEX(Table!$I:$I,MATCH(AD8,Table!$B:$B,0))</f>
        <v>12.59226519159853</v>
      </c>
      <c r="AG8" s="454" t="s">
        <v>258</v>
      </c>
      <c r="AH8" s="535" t="str">
        <f>INDEX(Table!$F:$F,MATCH(AG8,Table!$B:$B,0))</f>
        <v>Graham Miller</v>
      </c>
      <c r="AI8" s="453">
        <f>INDEX(Table!$I:$I,MATCH(AG8,Table!$B:$B,0))</f>
        <v>2.1630538277511988</v>
      </c>
      <c r="AJ8" s="454" t="s">
        <v>337</v>
      </c>
      <c r="AK8" s="535" t="str">
        <f>INDEX(Table!$F:$F,MATCH(AJ8,Table!$B:$B,0))</f>
        <v>Frank Allen</v>
      </c>
      <c r="AL8" s="453">
        <f>INDEX(Table!$I:$I,MATCH(AJ8,Table!$B:$B,0))</f>
        <v>22.895535256410259</v>
      </c>
      <c r="AM8" s="82"/>
      <c r="AN8" s="82"/>
      <c r="AO8" s="82"/>
      <c r="AP8" s="82"/>
      <c r="AQ8" s="82"/>
      <c r="AR8" s="82"/>
      <c r="AS8" s="82"/>
      <c r="AT8" s="82"/>
      <c r="AU8" s="82"/>
      <c r="AV8" s="82"/>
      <c r="AW8" s="82"/>
    </row>
    <row r="9" spans="1:49" ht="18" customHeight="1" thickTop="1">
      <c r="A9" s="9" t="s">
        <v>248</v>
      </c>
      <c r="B9" s="768"/>
      <c r="C9" s="261">
        <v>5</v>
      </c>
      <c r="D9" s="340">
        <f>INDEX(Table!I:I,MATCH($A9,Table!$B:$B,0))</f>
        <v>12.805</v>
      </c>
      <c r="E9" s="155">
        <f>INDEX(Table!J:J,MATCH($A9,Table!$B:$B,0))</f>
        <v>14</v>
      </c>
      <c r="F9" s="156" t="str">
        <f>INDEX(Table!F:F,MATCH($A9,Table!$B:$B,0))</f>
        <v>Sally Williams</v>
      </c>
      <c r="G9" s="340">
        <f>INDEX(Table!K:K,MATCH($A9,Table!$B:$B,0))</f>
        <v>-7</v>
      </c>
      <c r="H9" s="155">
        <f>INDEX(Table!L:L,MATCH($A9,Table!$B:$B,0))</f>
        <v>0</v>
      </c>
      <c r="I9" s="157"/>
      <c r="J9" s="698">
        <v>5</v>
      </c>
      <c r="K9" s="336"/>
      <c r="L9" s="762" t="str">
        <f>INDEX(Weekly!E:E,MATCH($J9,Weekly!$B:$B,0))</f>
        <v>Kevin Carter</v>
      </c>
      <c r="M9" s="763"/>
      <c r="N9" s="623">
        <f>INDEX(Weekly!A:A,MATCH($L9,Weekly!$E:$E,0))</f>
        <v>18</v>
      </c>
      <c r="O9" s="615" t="str">
        <f>INDEX(Weekly!D:D,MATCH($L9,Weekly!$E:$E,0))</f>
        <v>A</v>
      </c>
      <c r="P9" s="615">
        <f>INDEX(Table!D:D,MATCH($L9,Table!$F:$F,0))</f>
        <v>7</v>
      </c>
      <c r="Q9" s="627">
        <f>INDEX(Weekly!F:F,MATCH($L9,Weekly!$E:$E,0))</f>
        <v>10.18110302197802</v>
      </c>
      <c r="R9" s="631">
        <f>INDEX(Weekly!I:I,MATCH($L9,Weekly!$E:$E,0))</f>
        <v>3</v>
      </c>
      <c r="S9" s="406">
        <f>INDEX(Weekly!H:H,MATCH($L9,Weekly!$E:$E,0))</f>
        <v>14.207499999999996</v>
      </c>
      <c r="T9" s="160"/>
      <c r="U9" s="82">
        <v>5</v>
      </c>
      <c r="V9" s="82"/>
      <c r="W9" s="82"/>
      <c r="X9" s="82"/>
      <c r="Y9" s="82"/>
      <c r="Z9" s="82"/>
      <c r="AA9" s="449" t="s">
        <v>248</v>
      </c>
      <c r="AB9" s="452" t="str">
        <f>INDEX(Table!F:F,MATCH(AA9,Table!$B:$B,0))</f>
        <v>Sally Williams</v>
      </c>
      <c r="AC9" s="453">
        <f>INDEX(Table!I:I,MATCH(AA9,Table!$B:$B,0))</f>
        <v>12.805</v>
      </c>
      <c r="AD9" s="454" t="s">
        <v>254</v>
      </c>
      <c r="AE9" s="535" t="str">
        <f>INDEX(Table!$F:$F,MATCH(AD9,Table!$B:$B,0))</f>
        <v>Stephen Troop</v>
      </c>
      <c r="AF9" s="453">
        <f>INDEX(Table!$I:$I,MATCH(AD9,Table!$B:$B,0))</f>
        <v>-7.418289590526431</v>
      </c>
      <c r="AG9" s="454" t="s">
        <v>259</v>
      </c>
      <c r="AH9" s="535" t="str">
        <f>INDEX(Table!$F:$F,MATCH(AG9,Table!$B:$B,0))</f>
        <v>Paul Fiddler</v>
      </c>
      <c r="AI9" s="453">
        <f>INDEX(Table!$I:$I,MATCH(AG9,Table!$B:$B,0))</f>
        <v>-3.3833078780194183</v>
      </c>
      <c r="AJ9" s="454" t="s">
        <v>261</v>
      </c>
      <c r="AK9" s="535" t="str">
        <f>INDEX(Table!$F:$F,MATCH(AJ9,Table!$B:$B,0))</f>
        <v>Martin Molyneux</v>
      </c>
      <c r="AL9" s="453">
        <f>INDEX(Table!$I:$I,MATCH(AJ9,Table!$B:$B,0))</f>
        <v>15.795069652569646</v>
      </c>
      <c r="AM9" s="82"/>
      <c r="AN9" s="82"/>
      <c r="AO9" s="82"/>
      <c r="AP9" s="82"/>
      <c r="AQ9" s="82"/>
      <c r="AR9" s="82"/>
      <c r="AS9" s="82"/>
      <c r="AT9" s="82"/>
      <c r="AU9" s="82"/>
      <c r="AV9" s="82"/>
      <c r="AW9" s="82"/>
    </row>
    <row r="10" spans="1:49" ht="18" customHeight="1" thickBot="1">
      <c r="A10" s="9" t="s">
        <v>331</v>
      </c>
      <c r="B10" s="769"/>
      <c r="C10" s="261">
        <v>6</v>
      </c>
      <c r="D10" s="344">
        <f>INDEX(Table!I:I,MATCH($A10,Table!$B:$B,0))</f>
        <v>10.640701704545467</v>
      </c>
      <c r="E10" s="345">
        <f>INDEX(Table!J:J,MATCH($A10,Table!$B:$B,0))</f>
        <v>29</v>
      </c>
      <c r="F10" s="346" t="str">
        <f>INDEX(Table!F:F,MATCH($A10,Table!$B:$B,0))</f>
        <v>Steve Carter</v>
      </c>
      <c r="G10" s="344">
        <f>INDEX(Table!K:K,MATCH($A10,Table!$B:$B,0))</f>
        <v>1.7650000000000006</v>
      </c>
      <c r="H10" s="345">
        <f>INDEX(Table!L:L,MATCH($A10,Table!$B:$B,0))</f>
        <v>2</v>
      </c>
      <c r="I10" s="157"/>
      <c r="J10" s="698">
        <v>6</v>
      </c>
      <c r="K10" s="264"/>
      <c r="L10" s="765" t="str">
        <f>INDEX(Weekly!E:E,MATCH($J10,Weekly!$B:$B,0))</f>
        <v>Steve Baxter</v>
      </c>
      <c r="M10" s="766"/>
      <c r="N10" s="621">
        <f>INDEX(Weekly!A:A,MATCH($L10,Weekly!$E:$E,0))</f>
        <v>30</v>
      </c>
      <c r="O10" s="616" t="str">
        <f>INDEX(Weekly!D:D,MATCH($L10,Weekly!$E:$E,0))</f>
        <v>A</v>
      </c>
      <c r="P10" s="616">
        <f>INDEX(Table!D:D,MATCH($L10,Table!$F:$F,0))</f>
        <v>12</v>
      </c>
      <c r="Q10" s="625">
        <f>INDEX(Weekly!F:F,MATCH($L10,Weekly!$E:$E,0))</f>
        <v>-9.1074458874458912</v>
      </c>
      <c r="R10" s="632">
        <f>INDEX(Weekly!I:I,MATCH($L10,Weekly!$E:$E,0))</f>
        <v>3</v>
      </c>
      <c r="S10" s="406">
        <f>INDEX(Weekly!H:H,MATCH($L10,Weekly!$E:$E,0))</f>
        <v>11.818803418803419</v>
      </c>
      <c r="T10" s="160"/>
      <c r="U10" s="82">
        <v>6</v>
      </c>
      <c r="V10" s="82"/>
      <c r="W10" s="82"/>
      <c r="X10" s="82"/>
      <c r="Y10" s="82"/>
      <c r="Z10" s="82"/>
      <c r="AA10" s="450" t="s">
        <v>331</v>
      </c>
      <c r="AB10" s="455" t="str">
        <f>INDEX(Table!F:F,MATCH(AA10,Table!$B:$B,0))</f>
        <v>Steve Carter</v>
      </c>
      <c r="AC10" s="456">
        <f>INDEX(Table!I:I,MATCH(AA10,Table!$B:$B,0))</f>
        <v>10.640701704545467</v>
      </c>
      <c r="AD10" s="457" t="s">
        <v>332</v>
      </c>
      <c r="AE10" s="536" t="str">
        <f>INDEX(Table!$F:$F,MATCH(AD10,Table!$B:$B,0))</f>
        <v>Alick Rocca</v>
      </c>
      <c r="AF10" s="456">
        <f>INDEX(Table!$I:$I,MATCH(AD10,Table!$B:$B,0))</f>
        <v>-8.0069230769230764</v>
      </c>
      <c r="AG10" s="457" t="s">
        <v>333</v>
      </c>
      <c r="AH10" s="536" t="str">
        <f>INDEX(Table!$F:$F,MATCH(AG10,Table!$B:$B,0))</f>
        <v>David Dunn</v>
      </c>
      <c r="AI10" s="456">
        <f>INDEX(Table!$I:$I,MATCH(AG10,Table!$B:$B,0))</f>
        <v>-11.522113095238101</v>
      </c>
      <c r="AJ10" s="457" t="s">
        <v>334</v>
      </c>
      <c r="AK10" s="536" t="str">
        <f>INDEX(Table!$F:$F,MATCH(AJ10,Table!$B:$B,0))</f>
        <v>Ashley Houghton</v>
      </c>
      <c r="AL10" s="456">
        <f>INDEX(Table!$I:$I,MATCH(AJ10,Table!$B:$B,0))</f>
        <v>6.1995908826022461</v>
      </c>
      <c r="AM10" s="82"/>
      <c r="AN10" s="82"/>
      <c r="AO10" s="82"/>
      <c r="AP10" s="82"/>
      <c r="AQ10" s="82"/>
      <c r="AR10" s="82"/>
      <c r="AS10" s="82"/>
      <c r="AT10" s="82"/>
      <c r="AU10" s="82"/>
      <c r="AV10" s="82"/>
      <c r="AW10" s="82"/>
    </row>
    <row r="11" spans="1:49" ht="18" customHeight="1" thickTop="1">
      <c r="A11" s="9" t="s">
        <v>250</v>
      </c>
      <c r="B11" s="767" t="s">
        <v>233</v>
      </c>
      <c r="C11" s="261">
        <v>1</v>
      </c>
      <c r="D11" s="341">
        <f>INDEX(Table!I:I,MATCH($A11,Table!$B:$B,0))</f>
        <v>47.911267676767679</v>
      </c>
      <c r="E11" s="342">
        <f>INDEX(Table!J:J,MATCH($A11,Table!$B:$B,0))</f>
        <v>25</v>
      </c>
      <c r="F11" s="343" t="str">
        <f>INDEX(Table!F:F,MATCH($A11,Table!$B:$B,0))</f>
        <v>John Ronan</v>
      </c>
      <c r="G11" s="341">
        <f>INDEX(Table!K:K,MATCH($A11,Table!$B:$B,0))</f>
        <v>-5.2777777777777777</v>
      </c>
      <c r="H11" s="342">
        <f>INDEX(Table!L:L,MATCH($A11,Table!$B:$B,0))</f>
        <v>1</v>
      </c>
      <c r="I11" s="157"/>
      <c r="J11" s="698">
        <v>7</v>
      </c>
      <c r="K11" s="264"/>
      <c r="L11" s="765" t="str">
        <f>INDEX(Weekly!E:E,MATCH($J11,Weekly!$B:$B,0))</f>
        <v>Barry Birchall</v>
      </c>
      <c r="M11" s="766"/>
      <c r="N11" s="621">
        <f>INDEX(Weekly!A:A,MATCH($L11,Weekly!$E:$E,0))</f>
        <v>5</v>
      </c>
      <c r="O11" s="616" t="str">
        <f>INDEX(Weekly!D:D,MATCH($L11,Weekly!$E:$E,0))</f>
        <v>A</v>
      </c>
      <c r="P11" s="616">
        <f>INDEX(Table!D:D,MATCH($L11,Table!$F:$F,0))</f>
        <v>2</v>
      </c>
      <c r="Q11" s="625">
        <f>INDEX(Weekly!F:F,MATCH($L11,Weekly!$E:$E,0))</f>
        <v>52.422337662337654</v>
      </c>
      <c r="R11" s="632">
        <f>INDEX(Weekly!I:I,MATCH($L11,Weekly!$E:$E,0))</f>
        <v>2</v>
      </c>
      <c r="S11" s="406">
        <f>INDEX(Weekly!H:H,MATCH($L11,Weekly!$E:$E,0))</f>
        <v>9.2200000000000024</v>
      </c>
      <c r="T11" s="160"/>
      <c r="U11" s="82">
        <v>7</v>
      </c>
      <c r="V11" s="82"/>
      <c r="W11" s="82"/>
      <c r="X11" s="82"/>
      <c r="Y11" s="82"/>
      <c r="Z11" s="82"/>
      <c r="AA11" s="451" t="s">
        <v>400</v>
      </c>
      <c r="AB11" s="458" t="str">
        <f>INDEX(Table!F:F,MATCH(AA11,Table!$B:$B,0))</f>
        <v>Kevin Carter</v>
      </c>
      <c r="AC11" s="460">
        <f>INDEX(Table!I:I,MATCH(AA11,Table!$B:$B,0))</f>
        <v>10.18110302197802</v>
      </c>
      <c r="AD11" s="461" t="s">
        <v>409</v>
      </c>
      <c r="AE11" s="559" t="str">
        <f>INDEX(Table!$F:$F,MATCH(AD11,Table!$B:$B,0))</f>
        <v>Mike Penk</v>
      </c>
      <c r="AF11" s="549">
        <f>INDEX(Table!$I:$I,MATCH(AD11,Table!$B:$B,0))</f>
        <v>-8.5038636363636364</v>
      </c>
      <c r="AG11" s="550" t="s">
        <v>419</v>
      </c>
      <c r="AH11" s="563" t="str">
        <f>INDEX(Table!$F:$F,MATCH(AG11,Table!$B:$B,0))</f>
        <v>Chris Griffin</v>
      </c>
      <c r="AI11" s="549">
        <f>INDEX(Table!$I:$I,MATCH(AG11,Table!$B:$B,0))</f>
        <v>-16.968784826284825</v>
      </c>
      <c r="AJ11" s="550" t="s">
        <v>429</v>
      </c>
      <c r="AK11" s="566" t="str">
        <f>INDEX(Table!$F:$F,MATCH(AJ11,Table!$B:$B,0))</f>
        <v>Bob Bailey</v>
      </c>
      <c r="AL11" s="460">
        <f>INDEX(Table!$I:$I,MATCH(AJ11,Table!$B:$B,0))</f>
        <v>-21.450492424242423</v>
      </c>
      <c r="AM11" s="82"/>
      <c r="AN11" s="82"/>
      <c r="AO11" s="82"/>
      <c r="AP11" s="82"/>
      <c r="AQ11" s="82"/>
      <c r="AR11" s="82"/>
      <c r="AS11" s="82"/>
      <c r="AT11" s="82"/>
      <c r="AU11" s="82"/>
      <c r="AV11" s="82"/>
      <c r="AW11" s="82"/>
    </row>
    <row r="12" spans="1:49" ht="18" customHeight="1">
      <c r="A12" s="9" t="s">
        <v>251</v>
      </c>
      <c r="B12" s="768"/>
      <c r="C12" s="261">
        <v>2</v>
      </c>
      <c r="D12" s="340">
        <f>INDEX(Table!I:I,MATCH($A12,Table!$B:$B,0))</f>
        <v>19.671818160472007</v>
      </c>
      <c r="E12" s="155">
        <f>INDEX(Table!J:J,MATCH($A12,Table!$B:$B,0))</f>
        <v>32</v>
      </c>
      <c r="F12" s="156" t="str">
        <f>INDEX(Table!F:F,MATCH($A12,Table!$B:$B,0))</f>
        <v>Dave Orrell</v>
      </c>
      <c r="G12" s="340">
        <f>INDEX(Table!K:K,MATCH($A12,Table!$B:$B,0))</f>
        <v>-1.1709401709401703</v>
      </c>
      <c r="H12" s="155">
        <f>INDEX(Table!L:L,MATCH($A12,Table!$B:$B,0))</f>
        <v>2</v>
      </c>
      <c r="I12" s="157"/>
      <c r="J12" s="698">
        <v>8</v>
      </c>
      <c r="K12" s="264"/>
      <c r="L12" s="765" t="str">
        <f>INDEX(Weekly!E:E,MATCH($J12,Weekly!$B:$B,0))</f>
        <v>Chris Bow</v>
      </c>
      <c r="M12" s="766"/>
      <c r="N12" s="621">
        <f>INDEX(Weekly!A:A,MATCH($L12,Weekly!$E:$E,0))</f>
        <v>8</v>
      </c>
      <c r="O12" s="616" t="str">
        <f>INDEX(Weekly!D:D,MATCH($L12,Weekly!$E:$E,0))</f>
        <v>A</v>
      </c>
      <c r="P12" s="616">
        <f>INDEX(Table!D:D,MATCH($L12,Table!$F:$F,0))</f>
        <v>3</v>
      </c>
      <c r="Q12" s="625">
        <f>INDEX(Weekly!F:F,MATCH($L12,Weekly!$E:$E,0))</f>
        <v>36.199999999999996</v>
      </c>
      <c r="R12" s="632">
        <f>INDEX(Weekly!I:I,MATCH($L12,Weekly!$E:$E,0))</f>
        <v>2</v>
      </c>
      <c r="S12" s="406">
        <f>INDEX(Weekly!H:H,MATCH($L12,Weekly!$E:$E,0))</f>
        <v>7.75</v>
      </c>
      <c r="T12" s="160"/>
      <c r="U12" s="82">
        <v>8</v>
      </c>
      <c r="V12" s="82"/>
      <c r="W12" s="82"/>
      <c r="X12" s="82"/>
      <c r="Y12" s="82"/>
      <c r="Z12" s="82"/>
      <c r="AA12" s="449" t="s">
        <v>401</v>
      </c>
      <c r="AB12" s="459" t="str">
        <f>INDEX(Table!F:F,MATCH(AA12,Table!$B:$B,0))</f>
        <v>Nigel Heyes</v>
      </c>
      <c r="AC12" s="463">
        <f>INDEX(Table!I:I,MATCH(AA12,Table!$B:$B,0))</f>
        <v>8.1695454545454549</v>
      </c>
      <c r="AD12" s="464" t="s">
        <v>410</v>
      </c>
      <c r="AE12" s="560" t="str">
        <f>INDEX(Table!$F:$F,MATCH(AD12,Table!$B:$B,0))</f>
        <v>Alan Rogers</v>
      </c>
      <c r="AF12" s="552">
        <f>INDEX(Table!$I:$I,MATCH(AD12,Table!$B:$B,0))</f>
        <v>-13.170058823529418</v>
      </c>
      <c r="AG12" s="553" t="s">
        <v>420</v>
      </c>
      <c r="AH12" s="561" t="str">
        <f>INDEX(Table!$F:$F,MATCH(AG12,Table!$B:$B,0))</f>
        <v>Paul Allen</v>
      </c>
      <c r="AI12" s="552">
        <f>INDEX(Table!$I:$I,MATCH(AG12,Table!$B:$B,0))</f>
        <v>-18.029573204573211</v>
      </c>
      <c r="AJ12" s="553" t="s">
        <v>430</v>
      </c>
      <c r="AK12" s="564" t="str">
        <f>INDEX(Table!$F:$F,MATCH(AJ12,Table!$B:$B,0))</f>
        <v>Paul Barnes</v>
      </c>
      <c r="AL12" s="463">
        <f>INDEX(Table!$I:$I,MATCH(AJ12,Table!$B:$B,0))</f>
        <v>-34.910024087024084</v>
      </c>
      <c r="AM12" s="82"/>
      <c r="AN12" s="82"/>
      <c r="AO12" s="82"/>
      <c r="AP12" s="82"/>
      <c r="AQ12" s="82"/>
      <c r="AR12" s="82"/>
      <c r="AS12" s="82"/>
      <c r="AT12" s="82"/>
      <c r="AU12" s="82"/>
      <c r="AV12" s="82"/>
      <c r="AW12" s="82"/>
    </row>
    <row r="13" spans="1:49" ht="18" customHeight="1">
      <c r="A13" s="9" t="s">
        <v>252</v>
      </c>
      <c r="B13" s="768"/>
      <c r="C13" s="261">
        <v>3</v>
      </c>
      <c r="D13" s="340">
        <f>INDEX(Table!I:I,MATCH($A13,Table!$B:$B,0))</f>
        <v>14.139742479742479</v>
      </c>
      <c r="E13" s="155">
        <f>INDEX(Table!J:J,MATCH($A13,Table!$B:$B,0))</f>
        <v>36</v>
      </c>
      <c r="F13" s="156" t="str">
        <f>INDEX(Table!F:F,MATCH($A13,Table!$B:$B,0))</f>
        <v>Mo Sudell</v>
      </c>
      <c r="G13" s="340">
        <f>INDEX(Table!K:K,MATCH($A13,Table!$B:$B,0))</f>
        <v>-0.40404040404040309</v>
      </c>
      <c r="H13" s="155">
        <f>INDEX(Table!L:L,MATCH($A13,Table!$B:$B,0))</f>
        <v>2</v>
      </c>
      <c r="I13" s="157"/>
      <c r="J13" s="698">
        <v>9</v>
      </c>
      <c r="K13" s="264"/>
      <c r="L13" s="765" t="str">
        <f>INDEX(Weekly!E:E,MATCH($J13,Weekly!$B:$B,0))</f>
        <v>John Murphy</v>
      </c>
      <c r="M13" s="766"/>
      <c r="N13" s="621">
        <f>INDEX(Weekly!A:A,MATCH($L13,Weekly!$E:$E,0))</f>
        <v>57</v>
      </c>
      <c r="O13" s="616" t="str">
        <f>INDEX(Weekly!D:D,MATCH($L13,Weekly!$E:$E,0))</f>
        <v>D</v>
      </c>
      <c r="P13" s="616">
        <f>INDEX(Table!D:D,MATCH($L13,Table!$F:$F,0))</f>
        <v>12</v>
      </c>
      <c r="Q13" s="625">
        <f>INDEX(Weekly!F:F,MATCH($L13,Weekly!$E:$E,0))</f>
        <v>-64.806262626262622</v>
      </c>
      <c r="R13" s="632">
        <f>INDEX(Weekly!I:I,MATCH($L13,Weekly!$E:$E,0))</f>
        <v>2</v>
      </c>
      <c r="S13" s="406">
        <f>INDEX(Weekly!H:H,MATCH($L13,Weekly!$E:$E,0))</f>
        <v>5.0555555555555554</v>
      </c>
      <c r="T13" s="160"/>
      <c r="U13" s="82">
        <v>9</v>
      </c>
      <c r="V13" s="82"/>
      <c r="W13" s="82"/>
      <c r="X13" s="82"/>
      <c r="Y13" s="82"/>
      <c r="Z13" s="82"/>
      <c r="AA13" s="449" t="s">
        <v>436</v>
      </c>
      <c r="AB13" s="557" t="str">
        <f>INDEX(Table!F:F,MATCH(AA13,Table!$B:$B,0))</f>
        <v>Phil Miller</v>
      </c>
      <c r="AC13" s="552">
        <f>INDEX(Table!I:I,MATCH(AA13,Table!$B:$B,0))</f>
        <v>4.6303696303696311</v>
      </c>
      <c r="AD13" s="553" t="s">
        <v>411</v>
      </c>
      <c r="AE13" s="561" t="str">
        <f>INDEX(Table!$F:$F,MATCH(AD13,Table!$B:$B,0))</f>
        <v>Vinny Topping</v>
      </c>
      <c r="AF13" s="552">
        <f>INDEX(Table!$I:$I,MATCH(AD13,Table!$B:$B,0))</f>
        <v>-34.777481060606057</v>
      </c>
      <c r="AG13" s="553" t="s">
        <v>421</v>
      </c>
      <c r="AH13" s="564" t="str">
        <f>INDEX(Table!$F:$F,MATCH(AG13,Table!$B:$B,0))</f>
        <v>Gareth McGuire</v>
      </c>
      <c r="AI13" s="552">
        <f>INDEX(Table!$I:$I,MATCH(AG13,Table!$B:$B,0))</f>
        <v>-20.029227994227995</v>
      </c>
      <c r="AJ13" s="553" t="s">
        <v>431</v>
      </c>
      <c r="AK13" s="551" t="str">
        <f>INDEX(Table!$F:$F,MATCH(AJ13,Table!$B:$B,0))</f>
        <v>Martin Tarbuck</v>
      </c>
      <c r="AL13" s="552">
        <f>INDEX(Table!$I:$I,MATCH(AJ13,Table!$B:$B,0))</f>
        <v>-36.874810606060599</v>
      </c>
      <c r="AM13" s="82"/>
      <c r="AN13" s="82"/>
      <c r="AO13" s="82"/>
      <c r="AP13" s="82"/>
      <c r="AQ13" s="82"/>
      <c r="AR13" s="82"/>
      <c r="AS13" s="82"/>
      <c r="AT13" s="82"/>
      <c r="AU13" s="82"/>
      <c r="AV13" s="82"/>
      <c r="AW13" s="82"/>
    </row>
    <row r="14" spans="1:49" ht="18" customHeight="1" thickBot="1">
      <c r="A14" s="9" t="s">
        <v>253</v>
      </c>
      <c r="B14" s="768"/>
      <c r="C14" s="261">
        <v>4</v>
      </c>
      <c r="D14" s="340">
        <f>INDEX(Table!I:I,MATCH($A14,Table!$B:$B,0))</f>
        <v>12.59226519159853</v>
      </c>
      <c r="E14" s="155">
        <f>INDEX(Table!J:J,MATCH($A14,Table!$B:$B,0))</f>
        <v>30</v>
      </c>
      <c r="F14" s="156" t="str">
        <f>INDEX(Table!F:F,MATCH($A14,Table!$B:$B,0))</f>
        <v>Howard Bradley</v>
      </c>
      <c r="G14" s="340">
        <f>INDEX(Table!K:K,MATCH($A14,Table!$B:$B,0))</f>
        <v>-5.5555555555555554</v>
      </c>
      <c r="H14" s="155">
        <f>INDEX(Table!L:L,MATCH($A14,Table!$B:$B,0))</f>
        <v>1</v>
      </c>
      <c r="I14" s="157"/>
      <c r="J14" s="698">
        <v>10</v>
      </c>
      <c r="K14" s="264"/>
      <c r="L14" s="765" t="str">
        <f>INDEX(Weekly!E:E,MATCH($J14,Weekly!$B:$B,0))</f>
        <v>Nigel Heyes</v>
      </c>
      <c r="M14" s="766"/>
      <c r="N14" s="621">
        <f>INDEX(Weekly!A:A,MATCH($L14,Weekly!$E:$E,0))</f>
        <v>19</v>
      </c>
      <c r="O14" s="616" t="str">
        <f>INDEX(Weekly!D:D,MATCH($L14,Weekly!$E:$E,0))</f>
        <v>A</v>
      </c>
      <c r="P14" s="616">
        <f>INDEX(Table!D:D,MATCH($L14,Table!$F:$F,0))</f>
        <v>8</v>
      </c>
      <c r="Q14" s="625">
        <f>INDEX(Weekly!F:F,MATCH($L14,Weekly!$E:$E,0))</f>
        <v>8.1695454545454549</v>
      </c>
      <c r="R14" s="632">
        <f>INDEX(Weekly!I:I,MATCH($L14,Weekly!$E:$E,0))</f>
        <v>2</v>
      </c>
      <c r="S14" s="406">
        <f>INDEX(Weekly!H:H,MATCH($L14,Weekly!$E:$E,0))</f>
        <v>2.7249999999999996</v>
      </c>
      <c r="T14" s="160"/>
      <c r="U14" s="82">
        <v>10</v>
      </c>
      <c r="V14" s="82"/>
      <c r="W14" s="82"/>
      <c r="X14" s="82"/>
      <c r="Y14" s="82"/>
      <c r="Z14" s="82"/>
      <c r="AA14" s="450" t="s">
        <v>402</v>
      </c>
      <c r="AB14" s="558" t="str">
        <f>INDEX(Table!F:F,MATCH(AA14,Table!$B:$B,0))</f>
        <v>Lennie Bow</v>
      </c>
      <c r="AC14" s="554">
        <f>INDEX(Table!I:I,MATCH(AA14,Table!$B:$B,0))</f>
        <v>1.7248520541958063</v>
      </c>
      <c r="AD14" s="555" t="s">
        <v>412</v>
      </c>
      <c r="AE14" s="562" t="str">
        <f>INDEX(Table!$F:$F,MATCH(AD14,Table!$B:$B,0))</f>
        <v>Charlie Griffiths</v>
      </c>
      <c r="AF14" s="554">
        <f>INDEX(Table!$I:$I,MATCH(AD14,Table!$B:$B,0))</f>
        <v>-45.011874999999996</v>
      </c>
      <c r="AG14" s="555" t="s">
        <v>422</v>
      </c>
      <c r="AH14" s="565" t="str">
        <f>INDEX(Table!$F:$F,MATCH(AG14,Table!$B:$B,0))</f>
        <v>Alan White</v>
      </c>
      <c r="AI14" s="554">
        <f>INDEX(Table!$I:$I,MATCH(AG14,Table!$B:$B,0))</f>
        <v>-27.760909090909092</v>
      </c>
      <c r="AJ14" s="555" t="s">
        <v>432</v>
      </c>
      <c r="AK14" s="556" t="str">
        <f>INDEX(Table!$F:$F,MATCH(AJ14,Table!$B:$B,0))</f>
        <v>Gareth Powell</v>
      </c>
      <c r="AL14" s="554">
        <f>INDEX(Table!$I:$I,MATCH(AJ14,Table!$B:$B,0))</f>
        <v>-52.765000000000001</v>
      </c>
      <c r="AM14" s="82"/>
      <c r="AN14" s="82"/>
      <c r="AO14" s="82"/>
      <c r="AP14" s="82"/>
      <c r="AQ14" s="82"/>
      <c r="AR14" s="82"/>
      <c r="AS14" s="82"/>
      <c r="AT14" s="82"/>
      <c r="AU14" s="82"/>
      <c r="AV14" s="82"/>
      <c r="AW14" s="82"/>
    </row>
    <row r="15" spans="1:49" ht="18" customHeight="1" thickTop="1">
      <c r="A15" s="9" t="s">
        <v>254</v>
      </c>
      <c r="B15" s="768"/>
      <c r="C15" s="261">
        <v>5</v>
      </c>
      <c r="D15" s="340">
        <f>INDEX(Table!I:I,MATCH($A15,Table!$B:$B,0))</f>
        <v>-7.418289590526431</v>
      </c>
      <c r="E15" s="155">
        <f>INDEX(Table!J:J,MATCH($A15,Table!$B:$B,0))</f>
        <v>33</v>
      </c>
      <c r="F15" s="156" t="str">
        <f>INDEX(Table!F:F,MATCH($A15,Table!$B:$B,0))</f>
        <v>Stephen Troop</v>
      </c>
      <c r="G15" s="340">
        <f>INDEX(Table!K:K,MATCH($A15,Table!$B:$B,0))</f>
        <v>-7</v>
      </c>
      <c r="H15" s="155">
        <f>INDEX(Table!L:L,MATCH($A15,Table!$B:$B,0))</f>
        <v>0</v>
      </c>
      <c r="I15" s="157"/>
      <c r="J15" s="698">
        <v>11</v>
      </c>
      <c r="K15" s="264"/>
      <c r="L15" s="765" t="str">
        <f>INDEX(Weekly!E:E,MATCH($J15,Weekly!$B:$B,0))</f>
        <v>Simon Greenhalgh</v>
      </c>
      <c r="M15" s="766"/>
      <c r="N15" s="621">
        <f>INDEX(Weekly!A:A,MATCH($L15,Weekly!$E:$E,0))</f>
        <v>51</v>
      </c>
      <c r="O15" s="616" t="str">
        <f>INDEX(Weekly!D:D,MATCH($L15,Weekly!$E:$E,0))</f>
        <v>B</v>
      </c>
      <c r="P15" s="616">
        <f>INDEX(Table!D:D,MATCH($L15,Table!$F:$F,0))</f>
        <v>12</v>
      </c>
      <c r="Q15" s="625">
        <f>INDEX(Weekly!F:F,MATCH($L15,Weekly!$E:$E,0))</f>
        <v>-54.267499999999984</v>
      </c>
      <c r="R15" s="632">
        <f>INDEX(Weekly!I:I,MATCH($L15,Weekly!$E:$E,0))</f>
        <v>2</v>
      </c>
      <c r="S15" s="406">
        <f>INDEX(Weekly!H:H,MATCH($L15,Weekly!$E:$E,0))</f>
        <v>2.3949999999999996</v>
      </c>
      <c r="T15" s="160"/>
      <c r="U15" s="82">
        <v>11</v>
      </c>
      <c r="V15" s="82"/>
      <c r="W15" s="82"/>
      <c r="X15" s="82"/>
      <c r="Y15" s="82"/>
      <c r="Z15" s="82"/>
      <c r="AA15" s="451" t="s">
        <v>403</v>
      </c>
      <c r="AB15" s="539" t="str">
        <f>INDEX(Table!F:F,MATCH(AA15,Table!$B:$B,0))</f>
        <v>Gerard Ventom</v>
      </c>
      <c r="AC15" s="460">
        <f>INDEX(Table!I:I,MATCH(AA15,Table!$B:$B,0))</f>
        <v>-8.1312499999999979</v>
      </c>
      <c r="AD15" s="461" t="s">
        <v>413</v>
      </c>
      <c r="AE15" s="537" t="str">
        <f>INDEX(Table!$F:$F,MATCH(AD15,Table!$B:$B,0))</f>
        <v>Pete Baron</v>
      </c>
      <c r="AF15" s="460">
        <f>INDEX(Table!$I:$I,MATCH(AD15,Table!$B:$B,0))</f>
        <v>-52.403234567901229</v>
      </c>
      <c r="AG15" s="461" t="s">
        <v>423</v>
      </c>
      <c r="AH15" s="537" t="str">
        <f>INDEX(Table!$F:$F,MATCH(AG15,Table!$B:$B,0))</f>
        <v>Andy Charleston</v>
      </c>
      <c r="AI15" s="460">
        <f>INDEX(Table!$I:$I,MATCH(AG15,Table!$B:$B,0))</f>
        <v>-30.729696969696956</v>
      </c>
      <c r="AJ15" s="461" t="s">
        <v>433</v>
      </c>
      <c r="AK15" s="462" t="str">
        <f>INDEX(Table!$F:$F,MATCH(AJ15,Table!$B:$B,0))</f>
        <v>Liam Wah</v>
      </c>
      <c r="AL15" s="460">
        <f>INDEX(Table!$I:$I,MATCH(AJ15,Table!$B:$B,0))</f>
        <v>-55.767158289241628</v>
      </c>
      <c r="AM15" s="82"/>
      <c r="AN15" s="82"/>
      <c r="AO15" s="82"/>
      <c r="AP15" s="82"/>
      <c r="AQ15" s="82"/>
      <c r="AR15" s="82"/>
      <c r="AS15" s="82"/>
      <c r="AT15" s="82"/>
      <c r="AU15" s="82"/>
      <c r="AV15" s="82"/>
      <c r="AW15" s="82"/>
    </row>
    <row r="16" spans="1:49" ht="18" customHeight="1" thickBot="1">
      <c r="A16" s="9" t="s">
        <v>332</v>
      </c>
      <c r="B16" s="769"/>
      <c r="C16" s="261">
        <v>6</v>
      </c>
      <c r="D16" s="344">
        <f>INDEX(Table!I:I,MATCH($A16,Table!$B:$B,0))</f>
        <v>-8.0069230769230764</v>
      </c>
      <c r="E16" s="345">
        <f>INDEX(Table!J:J,MATCH($A16,Table!$B:$B,0))</f>
        <v>23</v>
      </c>
      <c r="F16" s="346" t="str">
        <f>INDEX(Table!F:F,MATCH($A16,Table!$B:$B,0))</f>
        <v>Alick Rocca</v>
      </c>
      <c r="G16" s="344">
        <f>INDEX(Table!K:K,MATCH($A16,Table!$B:$B,0))</f>
        <v>-1</v>
      </c>
      <c r="H16" s="345">
        <f>INDEX(Table!L:L,MATCH($A16,Table!$B:$B,0))</f>
        <v>2</v>
      </c>
      <c r="I16" s="157"/>
      <c r="J16" s="698">
        <v>12</v>
      </c>
      <c r="K16" s="264"/>
      <c r="L16" s="765" t="str">
        <f>INDEX(Weekly!E:E,MATCH($J16,Weekly!$B:$B,0))</f>
        <v>Steve Carter</v>
      </c>
      <c r="M16" s="766"/>
      <c r="N16" s="624">
        <f>INDEX(Weekly!A:A,MATCH($L16,Weekly!$E:$E,0))</f>
        <v>17</v>
      </c>
      <c r="O16" s="617" t="str">
        <f>INDEX(Weekly!D:D,MATCH($L16,Weekly!$E:$E,0))</f>
        <v>A</v>
      </c>
      <c r="P16" s="617">
        <f>INDEX(Table!D:D,MATCH($L16,Table!$F:$F,0))</f>
        <v>6</v>
      </c>
      <c r="Q16" s="628">
        <f>INDEX(Weekly!F:F,MATCH($L16,Weekly!$E:$E,0))</f>
        <v>10.640701704545467</v>
      </c>
      <c r="R16" s="633">
        <f>INDEX(Weekly!I:I,MATCH($L16,Weekly!$E:$E,0))</f>
        <v>2</v>
      </c>
      <c r="S16" s="406">
        <f>INDEX(Weekly!H:H,MATCH($L16,Weekly!$E:$E,0))</f>
        <v>1.7650000000000006</v>
      </c>
      <c r="T16" s="160"/>
      <c r="U16" s="82">
        <v>12</v>
      </c>
      <c r="V16" s="82"/>
      <c r="W16" s="82"/>
      <c r="X16" s="82"/>
      <c r="Y16" s="82"/>
      <c r="Z16" s="82"/>
      <c r="AA16" s="449" t="s">
        <v>404</v>
      </c>
      <c r="AB16" s="540" t="str">
        <f>INDEX(Table!F:F,MATCH(AA16,Table!$B:$B,0))</f>
        <v>Steve Baxter</v>
      </c>
      <c r="AC16" s="463">
        <f>INDEX(Table!I:I,MATCH(AA16,Table!$B:$B,0))</f>
        <v>-9.1074458874458912</v>
      </c>
      <c r="AD16" s="464" t="s">
        <v>414</v>
      </c>
      <c r="AE16" s="538" t="str">
        <f>INDEX(Table!$F:$F,MATCH(AD16,Table!$B:$B,0))</f>
        <v>Simon Greenhalgh</v>
      </c>
      <c r="AF16" s="463">
        <f>INDEX(Table!$I:$I,MATCH(AD16,Table!$B:$B,0))</f>
        <v>-54.267499999999984</v>
      </c>
      <c r="AG16" s="464" t="s">
        <v>424</v>
      </c>
      <c r="AH16" s="538" t="str">
        <f>INDEX(Table!$F:$F,MATCH(AG16,Table!$B:$B,0))</f>
        <v>Tom Robinson</v>
      </c>
      <c r="AI16" s="463">
        <f>INDEX(Table!$I:$I,MATCH(AG16,Table!$B:$B,0))</f>
        <v>-32.934463684463687</v>
      </c>
      <c r="AJ16" s="464" t="s">
        <v>434</v>
      </c>
      <c r="AK16" s="465" t="str">
        <f>INDEX(Table!$F:$F,MATCH(AJ16,Table!$B:$B,0))</f>
        <v>John Murphy</v>
      </c>
      <c r="AL16" s="463">
        <f>INDEX(Table!$I:$I,MATCH(AJ16,Table!$B:$B,0))</f>
        <v>-64.806262626262622</v>
      </c>
      <c r="AM16" s="82"/>
      <c r="AN16" s="82"/>
      <c r="AO16" s="82"/>
      <c r="AP16" s="82"/>
      <c r="AQ16" s="82"/>
      <c r="AR16" s="82"/>
      <c r="AS16" s="82"/>
      <c r="AT16" s="82"/>
      <c r="AU16" s="82"/>
      <c r="AV16" s="82"/>
      <c r="AW16" s="82"/>
    </row>
    <row r="17" spans="1:50" ht="18" customHeight="1" thickTop="1">
      <c r="A17" s="9" t="s">
        <v>255</v>
      </c>
      <c r="B17" s="767" t="s">
        <v>234</v>
      </c>
      <c r="C17" s="261">
        <v>1</v>
      </c>
      <c r="D17" s="341">
        <f>INDEX(Table!I:I,MATCH($A17,Table!$B:$B,0))</f>
        <v>81.989544230342304</v>
      </c>
      <c r="E17" s="342">
        <f>INDEX(Table!J:J,MATCH($A17,Table!$B:$B,0))</f>
        <v>39</v>
      </c>
      <c r="F17" s="343" t="str">
        <f>INDEX(Table!F:F,MATCH($A17,Table!$B:$B,0))</f>
        <v>Rob England</v>
      </c>
      <c r="G17" s="341">
        <f>INDEX(Table!K:K,MATCH($A17,Table!$B:$B,0))</f>
        <v>15.466666666666669</v>
      </c>
      <c r="H17" s="342">
        <f>INDEX(Table!L:L,MATCH($A17,Table!$B:$B,0))</f>
        <v>3</v>
      </c>
      <c r="I17" s="157"/>
      <c r="J17" s="697"/>
      <c r="K17" s="157"/>
      <c r="L17" s="157"/>
      <c r="M17" s="157"/>
      <c r="N17" s="157"/>
      <c r="O17" s="157"/>
      <c r="P17" s="157"/>
      <c r="Q17" s="157"/>
      <c r="R17" s="157"/>
      <c r="S17" s="157"/>
      <c r="T17" s="160"/>
      <c r="U17" s="82">
        <v>13</v>
      </c>
      <c r="V17" s="82"/>
      <c r="W17" s="82"/>
      <c r="X17" s="82"/>
      <c r="Y17" s="82"/>
      <c r="Z17" s="82"/>
      <c r="AA17" s="449" t="s">
        <v>405</v>
      </c>
      <c r="AB17" s="540" t="str">
        <f>INDEX(Table!F:F,MATCH(AA17,Table!$B:$B,0))</f>
        <v>Mal Stott</v>
      </c>
      <c r="AC17" s="463">
        <f>INDEX(Table!I:I,MATCH(AA17,Table!$B:$B,0))</f>
        <v>-21.882575757575747</v>
      </c>
      <c r="AD17" s="464" t="s">
        <v>415</v>
      </c>
      <c r="AE17" s="538" t="str">
        <f>INDEX(Table!$F:$F,MATCH(AD17,Table!$B:$B,0))</f>
        <v>Andy White</v>
      </c>
      <c r="AF17" s="463">
        <f>INDEX(Table!$I:$I,MATCH(AD17,Table!$B:$B,0))</f>
        <v>-55.06498737373736</v>
      </c>
      <c r="AG17" s="464" t="s">
        <v>425</v>
      </c>
      <c r="AH17" s="538" t="str">
        <f>INDEX(Table!$F:$F,MATCH(AG17,Table!$B:$B,0))</f>
        <v>Chris Townsend</v>
      </c>
      <c r="AI17" s="463">
        <f>INDEX(Table!$I:$I,MATCH(AG17,Table!$B:$B,0))</f>
        <v>-41.166153846153847</v>
      </c>
      <c r="AJ17" s="464" t="s">
        <v>435</v>
      </c>
      <c r="AK17" s="465" t="str">
        <f>INDEX(Table!$F:$F,MATCH(AJ17,Table!$B:$B,0))</f>
        <v>Dave Bell</v>
      </c>
      <c r="AL17" s="463">
        <f>INDEX(Table!$I:$I,MATCH(AJ17,Table!$B:$B,0))</f>
        <v>-91.45</v>
      </c>
      <c r="AM17" s="82"/>
      <c r="AN17" s="82"/>
      <c r="AO17" s="82"/>
      <c r="AP17" s="82"/>
      <c r="AQ17" s="82"/>
      <c r="AR17" s="82"/>
      <c r="AS17" s="82"/>
      <c r="AT17" s="82"/>
      <c r="AU17" s="82"/>
      <c r="AV17" s="82"/>
      <c r="AW17" s="82"/>
    </row>
    <row r="18" spans="1:50" ht="18" customHeight="1">
      <c r="A18" s="9" t="s">
        <v>256</v>
      </c>
      <c r="B18" s="768"/>
      <c r="C18" s="261">
        <v>2</v>
      </c>
      <c r="D18" s="341">
        <f>INDEX(Table!I:I,MATCH($A18,Table!$B:$B,0))</f>
        <v>19.261527777777779</v>
      </c>
      <c r="E18" s="342">
        <f>INDEX(Table!J:J,MATCH($A18,Table!$B:$B,0))</f>
        <v>29</v>
      </c>
      <c r="F18" s="343" t="str">
        <f>INDEX(Table!F:F,MATCH($A18,Table!$B:$B,0))</f>
        <v>Nick Blocksidge</v>
      </c>
      <c r="G18" s="341">
        <f>INDEX(Table!K:K,MATCH($A18,Table!$B:$B,0))</f>
        <v>-2.6222222222222218</v>
      </c>
      <c r="H18" s="342">
        <f>INDEX(Table!L:L,MATCH($A18,Table!$B:$B,0))</f>
        <v>2</v>
      </c>
      <c r="I18" s="157"/>
      <c r="J18" s="366"/>
      <c r="K18" s="483" t="s">
        <v>508</v>
      </c>
      <c r="L18" s="605"/>
      <c r="M18" s="738" t="s">
        <v>495</v>
      </c>
      <c r="N18" s="738"/>
      <c r="O18" s="738" t="s">
        <v>496</v>
      </c>
      <c r="P18" s="738"/>
      <c r="Q18" s="738"/>
      <c r="R18" s="608" t="s">
        <v>489</v>
      </c>
      <c r="S18" s="609" t="s">
        <v>490</v>
      </c>
      <c r="T18" s="82"/>
      <c r="U18" s="82">
        <v>14</v>
      </c>
      <c r="V18" s="82"/>
      <c r="W18" s="82"/>
      <c r="X18" s="82"/>
      <c r="Y18" s="82"/>
      <c r="Z18" s="82"/>
      <c r="AA18" s="449" t="s">
        <v>406</v>
      </c>
      <c r="AB18" s="540" t="str">
        <f>INDEX(Table!F:F,MATCH(AA18,Table!$B:$B,0))</f>
        <v>Alfie Davies</v>
      </c>
      <c r="AC18" s="463">
        <f>INDEX(Table!I:I,MATCH(AA18,Table!$B:$B,0))</f>
        <v>-31.12591288341288</v>
      </c>
      <c r="AD18" s="464" t="s">
        <v>416</v>
      </c>
      <c r="AE18" s="538" t="str">
        <f>INDEX(Table!$F:$F,MATCH(AD18,Table!$B:$B,0))</f>
        <v>Stephen Barr</v>
      </c>
      <c r="AF18" s="463">
        <f>INDEX(Table!$I:$I,MATCH(AD18,Table!$B:$B,0))</f>
        <v>-58.936531100478469</v>
      </c>
      <c r="AG18" s="464" t="s">
        <v>426</v>
      </c>
      <c r="AH18" s="538" t="str">
        <f>INDEX(Table!$F:$F,MATCH(AG18,Table!$B:$B,0))</f>
        <v>Ben Rosser</v>
      </c>
      <c r="AI18" s="463">
        <f>INDEX(Table!$I:$I,MATCH(AG18,Table!$B:$B,0))</f>
        <v>-50.212727272727271</v>
      </c>
      <c r="AJ18" s="464" t="s">
        <v>392</v>
      </c>
      <c r="AK18" s="465" t="str">
        <f>INDEX(Table!$F:$F,MATCH(AJ18,Table!$B:$B,0))</f>
        <v>Andy Hargreaves</v>
      </c>
      <c r="AL18" s="463">
        <f>INDEX(Table!$I:$I,MATCH(AJ18,Table!$B:$B,0))</f>
        <v>-140</v>
      </c>
      <c r="AM18" s="82"/>
      <c r="AN18" s="82"/>
      <c r="AO18" s="82"/>
      <c r="AP18" s="82"/>
      <c r="AQ18" s="82"/>
      <c r="AR18" s="82"/>
      <c r="AS18" s="82"/>
      <c r="AT18" s="82"/>
      <c r="AU18" s="82"/>
      <c r="AV18" s="82"/>
      <c r="AW18" s="82"/>
    </row>
    <row r="19" spans="1:50" ht="18" customHeight="1">
      <c r="A19" s="9" t="s">
        <v>257</v>
      </c>
      <c r="B19" s="768"/>
      <c r="C19" s="261">
        <v>3</v>
      </c>
      <c r="D19" s="340">
        <f>INDEX(Table!I:I,MATCH($A19,Table!$B:$B,0))</f>
        <v>2.4150762987012921</v>
      </c>
      <c r="E19" s="155">
        <f>INDEX(Table!J:J,MATCH($A19,Table!$B:$B,0))</f>
        <v>29</v>
      </c>
      <c r="F19" s="156" t="str">
        <f>INDEX(Table!F:F,MATCH($A19,Table!$B:$B,0))</f>
        <v>Paul Adderley</v>
      </c>
      <c r="G19" s="340">
        <f>INDEX(Table!K:K,MATCH($A19,Table!$B:$B,0))</f>
        <v>-1.4000000000000004</v>
      </c>
      <c r="H19" s="155">
        <f>INDEX(Table!L:L,MATCH($A19,Table!$B:$B,0))</f>
        <v>2</v>
      </c>
      <c r="I19" s="157"/>
      <c r="J19" s="366"/>
      <c r="K19" s="153" t="s">
        <v>481</v>
      </c>
      <c r="L19" s="635"/>
      <c r="M19" s="613" t="s">
        <v>594</v>
      </c>
      <c r="N19" s="603" t="str">
        <f>IF(M19="","",INDEX(Picks!K:K,MATCH(M19,Picks!J:J,0)))</f>
        <v>4/9</v>
      </c>
      <c r="O19" s="750" t="s">
        <v>453</v>
      </c>
      <c r="P19" s="764"/>
      <c r="Q19" s="751"/>
      <c r="R19" s="699" t="str">
        <f>IF(O19="","",INDEX(Picks!K:K,MATCH(O19,Picks!J:J,0)))</f>
        <v>7/10</v>
      </c>
      <c r="S19" s="607">
        <f>IF(M19="","",INDEX(TopPicks!K:K,MATCH(M19,TopPicks!I:I,0)))</f>
        <v>11</v>
      </c>
      <c r="T19" s="82"/>
      <c r="U19" s="82">
        <v>15</v>
      </c>
      <c r="V19" s="82"/>
      <c r="W19" s="82"/>
      <c r="X19" s="82"/>
      <c r="Y19" s="82"/>
      <c r="Z19" s="82"/>
      <c r="AA19" s="449" t="s">
        <v>407</v>
      </c>
      <c r="AB19" s="540" t="str">
        <f>INDEX(Table!F:F,MATCH(AA19,Table!$B:$B,0))</f>
        <v>Mark Bunn</v>
      </c>
      <c r="AC19" s="463">
        <f>INDEX(Table!I:I,MATCH(AA19,Table!$B:$B,0))</f>
        <v>-62.134999999999998</v>
      </c>
      <c r="AD19" s="464" t="s">
        <v>417</v>
      </c>
      <c r="AE19" s="538" t="str">
        <f>INDEX(Table!$F:$F,MATCH(AD19,Table!$B:$B,0))</f>
        <v>James Bell</v>
      </c>
      <c r="AF19" s="463">
        <f>INDEX(Table!$I:$I,MATCH(AD19,Table!$B:$B,0))</f>
        <v>-66.910800865800866</v>
      </c>
      <c r="AG19" s="464" t="s">
        <v>427</v>
      </c>
      <c r="AH19" s="538" t="str">
        <f>INDEX(Table!$F:$F,MATCH(AG19,Table!$B:$B,0))</f>
        <v>Jack Walsh</v>
      </c>
      <c r="AI19" s="463">
        <f>INDEX(Table!$I:$I,MATCH(AG19,Table!$B:$B,0))</f>
        <v>-52.223883061383056</v>
      </c>
      <c r="AJ19" s="464" t="s">
        <v>393</v>
      </c>
      <c r="AK19" s="465"/>
      <c r="AL19" s="463"/>
      <c r="AM19" s="82"/>
      <c r="AN19" s="82"/>
      <c r="AO19" s="82"/>
      <c r="AP19" s="82"/>
      <c r="AQ19" s="82"/>
      <c r="AR19" s="82"/>
      <c r="AS19" s="82"/>
      <c r="AT19" s="82"/>
      <c r="AU19" s="82"/>
      <c r="AV19" s="82"/>
      <c r="AW19" s="82"/>
    </row>
    <row r="20" spans="1:50" ht="18" customHeight="1">
      <c r="A20" s="9" t="s">
        <v>258</v>
      </c>
      <c r="B20" s="768"/>
      <c r="C20" s="261">
        <v>4</v>
      </c>
      <c r="D20" s="340">
        <f>INDEX(Table!I:I,MATCH($A20,Table!$B:$B,0))</f>
        <v>2.1630538277511988</v>
      </c>
      <c r="E20" s="155">
        <f>INDEX(Table!J:J,MATCH($A20,Table!$B:$B,0))</f>
        <v>30</v>
      </c>
      <c r="F20" s="156" t="str">
        <f>INDEX(Table!F:F,MATCH($A20,Table!$B:$B,0))</f>
        <v>Graham Miller</v>
      </c>
      <c r="G20" s="340">
        <f>INDEX(Table!K:K,MATCH($A20,Table!$B:$B,0))</f>
        <v>16.239249999999998</v>
      </c>
      <c r="H20" s="155">
        <f>INDEX(Table!L:L,MATCH($A20,Table!$B:$B,0))</f>
        <v>3</v>
      </c>
      <c r="I20" s="82"/>
      <c r="J20" s="366"/>
      <c r="K20" s="153" t="s">
        <v>482</v>
      </c>
      <c r="L20" s="635"/>
      <c r="M20" s="613" t="s">
        <v>452</v>
      </c>
      <c r="N20" s="603" t="str">
        <f>IF(M20="","",INDEX(Picks!K:K,MATCH(M20,Picks!J:J,0)))</f>
        <v>3/4</v>
      </c>
      <c r="O20" s="750"/>
      <c r="P20" s="764"/>
      <c r="Q20" s="751"/>
      <c r="R20" s="614" t="str">
        <f>IF(O20="","",INDEX(Picks!K:K,MATCH(O20,Picks!J:J,0)))</f>
        <v/>
      </c>
      <c r="S20" s="607">
        <f>IF(M20="","",INDEX(TopPicks!J:J,MATCH(M20,TopPicks!I:I,0)))</f>
        <v>13</v>
      </c>
      <c r="T20" s="82"/>
      <c r="U20" s="82">
        <v>16</v>
      </c>
      <c r="V20" s="82"/>
      <c r="W20" s="82"/>
      <c r="X20" s="82"/>
      <c r="Y20" s="82"/>
      <c r="Z20" s="82"/>
      <c r="AA20" s="449" t="s">
        <v>408</v>
      </c>
      <c r="AB20" s="540" t="str">
        <f>INDEX(Table!F:F,MATCH(AA20,Table!$B:$B,0))</f>
        <v>Kei Lok Ma</v>
      </c>
      <c r="AC20" s="463">
        <f>INDEX(Table!I:I,MATCH(AA20,Table!$B:$B,0))</f>
        <v>-63.754659090909087</v>
      </c>
      <c r="AD20" s="464" t="s">
        <v>418</v>
      </c>
      <c r="AE20" s="538" t="str">
        <f>INDEX(Table!$F:$F,MATCH(AD20,Table!$B:$B,0))</f>
        <v>Chris Luck</v>
      </c>
      <c r="AF20" s="463">
        <f>INDEX(Table!$I:$I,MATCH(AD20,Table!$B:$B,0))</f>
        <v>-82.536249999999995</v>
      </c>
      <c r="AG20" s="464" t="s">
        <v>428</v>
      </c>
      <c r="AH20" s="538" t="str">
        <f>INDEX(Table!$F:$F,MATCH(AG20,Table!$B:$B,0))</f>
        <v>Oscar Jackson</v>
      </c>
      <c r="AI20" s="463">
        <f>INDEX(Table!$I:$I,MATCH(AG20,Table!$B:$B,0))</f>
        <v>-108.66882783882784</v>
      </c>
      <c r="AJ20" s="464" t="s">
        <v>394</v>
      </c>
      <c r="AK20" s="465"/>
      <c r="AL20" s="463"/>
      <c r="AM20" s="82"/>
      <c r="AN20" s="82"/>
      <c r="AO20" s="82"/>
      <c r="AP20" s="82"/>
      <c r="AQ20" s="82"/>
      <c r="AR20" s="82"/>
      <c r="AS20" s="82"/>
      <c r="AT20" s="82"/>
      <c r="AU20" s="82"/>
      <c r="AV20" s="82"/>
      <c r="AW20" s="82"/>
    </row>
    <row r="21" spans="1:50" ht="18" customHeight="1">
      <c r="A21" s="9" t="s">
        <v>259</v>
      </c>
      <c r="B21" s="768"/>
      <c r="C21" s="261">
        <v>5</v>
      </c>
      <c r="D21" s="340">
        <f>INDEX(Table!I:I,MATCH($A21,Table!$B:$B,0))</f>
        <v>-3.3833078780194183</v>
      </c>
      <c r="E21" s="155">
        <f>INDEX(Table!J:J,MATCH($A21,Table!$B:$B,0))</f>
        <v>32</v>
      </c>
      <c r="F21" s="156" t="str">
        <f>INDEX(Table!F:F,MATCH($A21,Table!$B:$B,0))</f>
        <v>Paul Fiddler</v>
      </c>
      <c r="G21" s="340">
        <f>INDEX(Table!K:K,MATCH($A21,Table!$B:$B,0))</f>
        <v>-1.4000000000000004</v>
      </c>
      <c r="H21" s="155">
        <f>INDEX(Table!L:L,MATCH($A21,Table!$B:$B,0))</f>
        <v>2</v>
      </c>
      <c r="I21" s="82"/>
      <c r="J21" s="364"/>
      <c r="K21" s="652" t="s">
        <v>506</v>
      </c>
      <c r="L21" s="652"/>
      <c r="M21" s="738" t="s">
        <v>495</v>
      </c>
      <c r="N21" s="738"/>
      <c r="O21" s="738" t="s">
        <v>510</v>
      </c>
      <c r="P21" s="738"/>
      <c r="Q21" s="749"/>
      <c r="R21" s="746" t="s">
        <v>509</v>
      </c>
      <c r="S21" s="747"/>
      <c r="T21" s="82"/>
      <c r="U21" s="82">
        <v>17</v>
      </c>
      <c r="V21" s="82"/>
      <c r="W21" s="82"/>
      <c r="X21" s="82"/>
      <c r="Y21" s="82"/>
      <c r="Z21" s="82"/>
      <c r="AA21" s="449"/>
      <c r="AB21" s="459"/>
      <c r="AC21" s="466"/>
      <c r="AD21" s="464"/>
      <c r="AE21" s="465"/>
      <c r="AF21" s="467"/>
      <c r="AG21" s="464"/>
      <c r="AH21" s="465"/>
      <c r="AI21" s="467"/>
      <c r="AJ21" s="464" t="s">
        <v>395</v>
      </c>
      <c r="AK21" s="465"/>
      <c r="AL21" s="463"/>
      <c r="AM21" s="82"/>
      <c r="AN21" s="82"/>
      <c r="AO21" s="82"/>
      <c r="AP21" s="82"/>
      <c r="AQ21" s="82"/>
      <c r="AR21" s="82"/>
      <c r="AS21" s="82"/>
      <c r="AT21" s="82"/>
      <c r="AU21" s="82"/>
      <c r="AV21" s="82"/>
      <c r="AW21" s="82"/>
    </row>
    <row r="22" spans="1:50" ht="18" customHeight="1" thickBot="1">
      <c r="A22" s="9" t="s">
        <v>333</v>
      </c>
      <c r="B22" s="769"/>
      <c r="C22" s="261">
        <v>6</v>
      </c>
      <c r="D22" s="344">
        <f>INDEX(Table!I:I,MATCH($A22,Table!$B:$B,0))</f>
        <v>-11.522113095238101</v>
      </c>
      <c r="E22" s="345">
        <f>INDEX(Table!J:J,MATCH($A22,Table!$B:$B,0))</f>
        <v>28</v>
      </c>
      <c r="F22" s="346" t="str">
        <f>INDEX(Table!F:F,MATCH($A22,Table!$B:$B,0))</f>
        <v>David Dunn</v>
      </c>
      <c r="G22" s="344">
        <f>INDEX(Table!K:K,MATCH($A22,Table!$B:$B,0))</f>
        <v>-3</v>
      </c>
      <c r="H22" s="345">
        <f>INDEX(Table!L:L,MATCH($A22,Table!$B:$B,0))</f>
        <v>1</v>
      </c>
      <c r="I22" s="82"/>
      <c r="J22" s="364"/>
      <c r="K22" s="153" t="s">
        <v>507</v>
      </c>
      <c r="L22" s="635"/>
      <c r="M22" s="613" t="s">
        <v>574</v>
      </c>
      <c r="N22" s="603" t="str">
        <f>IF(M22="","",INDEX(Picks!K:K,MATCH(M22,Picks!J:J,0)))</f>
        <v>17/5</v>
      </c>
      <c r="O22" s="753" t="str">
        <f>IF($M$22="","",INDEX(Picks!$A:$A,MATCH($M$22,Picks!$J:$J,0)))</f>
        <v>Mal Stott</v>
      </c>
      <c r="P22" s="754"/>
      <c r="Q22" s="754"/>
      <c r="R22" s="760"/>
      <c r="S22" s="761"/>
      <c r="T22" s="160"/>
      <c r="U22" s="82">
        <v>18</v>
      </c>
      <c r="V22" s="82"/>
      <c r="W22" s="82"/>
      <c r="X22" s="82"/>
      <c r="Y22" s="82"/>
      <c r="Z22" s="82"/>
      <c r="AA22" s="449"/>
      <c r="AB22" s="459"/>
      <c r="AC22" s="466"/>
      <c r="AD22" s="464"/>
      <c r="AE22" s="465"/>
      <c r="AF22" s="467"/>
      <c r="AG22" s="464"/>
      <c r="AH22" s="465"/>
      <c r="AI22" s="467"/>
      <c r="AJ22" s="464" t="s">
        <v>396</v>
      </c>
      <c r="AK22" s="465"/>
      <c r="AL22" s="463"/>
      <c r="AM22" s="82"/>
      <c r="AN22" s="82"/>
      <c r="AO22" s="82"/>
      <c r="AP22" s="82"/>
      <c r="AQ22" s="82"/>
      <c r="AR22" s="82"/>
      <c r="AS22" s="82"/>
      <c r="AT22" s="82"/>
      <c r="AU22" s="82"/>
      <c r="AV22" s="82"/>
      <c r="AW22" s="82"/>
    </row>
    <row r="23" spans="1:50" ht="18" customHeight="1" thickTop="1">
      <c r="A23" s="9" t="s">
        <v>36</v>
      </c>
      <c r="B23" s="767" t="s">
        <v>235</v>
      </c>
      <c r="C23" s="261">
        <v>1</v>
      </c>
      <c r="D23" s="341">
        <f>INDEX(Table!I:I,MATCH($A23,Table!$B:$B,0))</f>
        <v>81.85363636363634</v>
      </c>
      <c r="E23" s="342">
        <f>INDEX(Table!J:J,MATCH($A23,Table!$B:$B,0))</f>
        <v>25</v>
      </c>
      <c r="F23" s="343" t="str">
        <f>INDEX(Table!F:F,MATCH($A23,Table!$B:$B,0))</f>
        <v>Alan Bond</v>
      </c>
      <c r="G23" s="341">
        <f>INDEX(Table!K:K,MATCH($A23,Table!$B:$B,0))</f>
        <v>-5.15</v>
      </c>
      <c r="H23" s="342">
        <f>INDEX(Table!L:L,MATCH($A23,Table!$B:$B,0))</f>
        <v>1</v>
      </c>
      <c r="I23" s="82"/>
      <c r="J23" s="364"/>
      <c r="K23" s="644"/>
      <c r="L23" s="644"/>
      <c r="M23" s="612"/>
      <c r="N23" s="603"/>
      <c r="O23" s="612"/>
      <c r="P23" s="612"/>
      <c r="Q23" s="612"/>
      <c r="R23" s="603"/>
      <c r="S23" s="645"/>
      <c r="T23" s="160"/>
      <c r="U23" s="82">
        <v>19</v>
      </c>
      <c r="V23" s="82"/>
      <c r="W23" s="82"/>
      <c r="X23" s="82"/>
      <c r="Y23" s="82"/>
      <c r="Z23" s="82"/>
      <c r="AA23" s="449"/>
      <c r="AB23" s="459"/>
      <c r="AC23" s="466"/>
      <c r="AD23" s="464"/>
      <c r="AE23" s="465"/>
      <c r="AF23" s="467"/>
      <c r="AG23" s="464"/>
      <c r="AH23" s="465"/>
      <c r="AI23" s="467"/>
      <c r="AJ23" s="464" t="s">
        <v>397</v>
      </c>
      <c r="AK23" s="465"/>
      <c r="AL23" s="463"/>
      <c r="AM23" s="82"/>
      <c r="AN23" s="82"/>
      <c r="AO23" s="82"/>
      <c r="AP23" s="82"/>
      <c r="AQ23" s="82"/>
      <c r="AR23" s="82"/>
      <c r="AS23" s="82"/>
      <c r="AT23" s="82"/>
      <c r="AU23" s="82"/>
      <c r="AV23" s="82"/>
      <c r="AW23" s="82"/>
    </row>
    <row r="24" spans="1:50" ht="18" customHeight="1">
      <c r="A24" s="9" t="s">
        <v>37</v>
      </c>
      <c r="B24" s="768"/>
      <c r="C24" s="261">
        <v>2</v>
      </c>
      <c r="D24" s="341">
        <f>INDEX(Table!I:I,MATCH($A24,Table!$B:$B,0))</f>
        <v>66.94207459207459</v>
      </c>
      <c r="E24" s="342">
        <f>INDEX(Table!J:J,MATCH($A24,Table!$B:$B,0))</f>
        <v>25</v>
      </c>
      <c r="F24" s="343" t="str">
        <f>INDEX(Table!F:F,MATCH($A24,Table!$B:$B,0))</f>
        <v>Dan Gibbard</v>
      </c>
      <c r="G24" s="341">
        <f>INDEX(Table!K:K,MATCH($A24,Table!$B:$B,0))</f>
        <v>-1.3</v>
      </c>
      <c r="H24" s="342">
        <f>INDEX(Table!L:L,MATCH($A24,Table!$B:$B,0))</f>
        <v>1</v>
      </c>
      <c r="I24" s="82"/>
      <c r="J24" s="364"/>
      <c r="K24" s="643" t="s">
        <v>502</v>
      </c>
      <c r="L24" s="636"/>
      <c r="M24" s="637"/>
      <c r="N24" s="638"/>
      <c r="O24" s="637"/>
      <c r="P24" s="639"/>
      <c r="Q24" s="640"/>
      <c r="R24" s="641"/>
      <c r="S24" s="642"/>
      <c r="T24" s="82"/>
      <c r="U24" s="82">
        <v>20</v>
      </c>
      <c r="V24" s="82"/>
      <c r="W24" s="82"/>
      <c r="X24" s="82"/>
      <c r="Y24" s="82"/>
      <c r="Z24" s="82"/>
      <c r="AA24" s="449"/>
      <c r="AB24" s="459"/>
      <c r="AC24" s="466"/>
      <c r="AD24" s="464"/>
      <c r="AE24" s="465"/>
      <c r="AF24" s="467"/>
      <c r="AG24" s="464"/>
      <c r="AH24" s="465"/>
      <c r="AI24" s="467"/>
      <c r="AJ24" s="464" t="s">
        <v>398</v>
      </c>
      <c r="AK24" s="465"/>
      <c r="AL24" s="463"/>
      <c r="AM24" s="82"/>
      <c r="AN24" s="82"/>
      <c r="AO24" s="82"/>
      <c r="AP24" s="82"/>
      <c r="AQ24" s="82"/>
      <c r="AR24" s="82"/>
      <c r="AS24" s="82"/>
      <c r="AT24" s="82"/>
      <c r="AU24" s="82"/>
      <c r="AV24" s="82"/>
      <c r="AW24" s="82"/>
    </row>
    <row r="25" spans="1:50" ht="18" customHeight="1">
      <c r="A25" s="9" t="s">
        <v>260</v>
      </c>
      <c r="B25" s="768"/>
      <c r="C25" s="261">
        <v>3</v>
      </c>
      <c r="D25" s="340">
        <f>INDEX(Table!I:I,MATCH($A25,Table!$B:$B,0))</f>
        <v>42.988749999999989</v>
      </c>
      <c r="E25" s="155">
        <f>INDEX(Table!J:J,MATCH($A25,Table!$B:$B,0))</f>
        <v>19</v>
      </c>
      <c r="F25" s="156" t="str">
        <f>INDEX(Table!F:F,MATCH($A25,Table!$B:$B,0))</f>
        <v>Ian Davies</v>
      </c>
      <c r="G25" s="340">
        <f>INDEX(Table!K:K,MATCH($A25,Table!$B:$B,0))</f>
        <v>-3</v>
      </c>
      <c r="H25" s="155">
        <f>INDEX(Table!L:L,MATCH($A25,Table!$B:$B,0))</f>
        <v>0</v>
      </c>
      <c r="I25" s="82"/>
      <c r="J25" s="364"/>
      <c r="K25" s="153" t="s">
        <v>483</v>
      </c>
      <c r="L25" s="635"/>
      <c r="M25" s="750" t="str">
        <f>INDEX(Picks!AI:AI,MATCH(O25,Picks!AJ:AJ,0))</f>
        <v>Dave Bell</v>
      </c>
      <c r="N25" s="751"/>
      <c r="O25" s="634">
        <f>MAX(Picks!AJ:AJ)</f>
        <v>801.2</v>
      </c>
      <c r="P25" s="614" t="str">
        <f>IF(O25="","",(INDEX(Picks!AK:AK,MATCH(O25,Picks!AJ:AJ,0)))&amp;" in")</f>
        <v>0 in</v>
      </c>
      <c r="Q25" s="740"/>
      <c r="R25" s="741"/>
      <c r="S25" s="742"/>
      <c r="T25" s="82"/>
      <c r="U25" s="82"/>
      <c r="V25" s="82"/>
      <c r="W25" s="82"/>
      <c r="X25" s="82"/>
      <c r="Y25" s="82"/>
      <c r="Z25" s="82"/>
      <c r="AA25" s="82"/>
      <c r="AB25" s="646"/>
      <c r="AC25" s="94"/>
      <c r="AD25" s="82"/>
      <c r="AE25" s="82"/>
      <c r="AF25" s="82"/>
      <c r="AG25" s="82"/>
      <c r="AH25" s="82"/>
      <c r="AI25" s="82"/>
      <c r="AJ25" s="82"/>
      <c r="AK25" s="82"/>
      <c r="AL25" s="82"/>
      <c r="AM25" s="82"/>
      <c r="AN25" s="82"/>
      <c r="AO25" s="82"/>
      <c r="AP25" s="82"/>
      <c r="AQ25" s="82"/>
      <c r="AR25" s="82"/>
      <c r="AS25" s="82"/>
      <c r="AT25" s="82"/>
      <c r="AU25" s="82"/>
      <c r="AV25" s="82"/>
      <c r="AW25" s="82"/>
    </row>
    <row r="26" spans="1:50" ht="18" customHeight="1">
      <c r="A26" s="9" t="s">
        <v>337</v>
      </c>
      <c r="B26" s="768"/>
      <c r="C26" s="261">
        <v>4</v>
      </c>
      <c r="D26" s="340">
        <f>INDEX(Table!I:I,MATCH($A26,Table!$B:$B,0))</f>
        <v>22.895535256410259</v>
      </c>
      <c r="E26" s="155">
        <f>INDEX(Table!J:J,MATCH($A26,Table!$B:$B,0))</f>
        <v>32</v>
      </c>
      <c r="F26" s="156" t="str">
        <f>INDEX(Table!F:F,MATCH($A26,Table!$B:$B,0))</f>
        <v>Frank Allen</v>
      </c>
      <c r="G26" s="340">
        <f>INDEX(Table!K:K,MATCH($A26,Table!$B:$B,0))</f>
        <v>21.781818181818181</v>
      </c>
      <c r="H26" s="155">
        <f>INDEX(Table!L:L,MATCH($A26,Table!$B:$B,0))</f>
        <v>3</v>
      </c>
      <c r="I26" s="82"/>
      <c r="J26" s="364"/>
      <c r="K26" s="153" t="s">
        <v>484</v>
      </c>
      <c r="L26" s="635"/>
      <c r="M26" s="750" t="str">
        <f>INDEX(Picks!AI:AI,MATCH(O26,Picks!AJ:AJ,0))</f>
        <v>Ashley Houghton</v>
      </c>
      <c r="N26" s="751"/>
      <c r="O26" s="634">
        <f>MIN(Picks!AJ:AJ)</f>
        <v>-1</v>
      </c>
      <c r="P26" s="614" t="str">
        <f>IF(O26="","",(INDEX(Picks!AK:AK,MATCH(O26,Picks!AJ:AJ,0)))&amp;" in")</f>
        <v>0 in</v>
      </c>
      <c r="Q26" s="743"/>
      <c r="R26" s="744"/>
      <c r="S26" s="745"/>
      <c r="T26" s="82"/>
      <c r="U26" s="82"/>
      <c r="V26" s="82"/>
      <c r="W26" s="82"/>
      <c r="X26" s="82"/>
      <c r="Y26" s="82"/>
      <c r="Z26" s="568"/>
      <c r="AA26" s="82"/>
      <c r="AB26" s="646"/>
      <c r="AC26" s="94"/>
      <c r="AD26" s="82"/>
      <c r="AE26" s="82"/>
      <c r="AF26" s="82"/>
      <c r="AG26" s="82"/>
      <c r="AH26" s="82"/>
      <c r="AI26" s="82"/>
      <c r="AJ26" s="82"/>
      <c r="AK26" s="82"/>
      <c r="AL26" s="82"/>
      <c r="AM26" s="82"/>
      <c r="AN26" s="82"/>
      <c r="AO26" s="82"/>
      <c r="AP26" s="82"/>
      <c r="AQ26" s="82"/>
      <c r="AR26" s="82"/>
      <c r="AS26" s="82"/>
      <c r="AT26" s="82"/>
      <c r="AU26" s="82"/>
      <c r="AV26" s="82"/>
      <c r="AW26" s="82"/>
    </row>
    <row r="27" spans="1:50" ht="18" customHeight="1">
      <c r="A27" s="9" t="s">
        <v>261</v>
      </c>
      <c r="B27" s="768"/>
      <c r="C27" s="261">
        <v>5</v>
      </c>
      <c r="D27" s="340">
        <f>INDEX(Table!I:I,MATCH($A27,Table!$B:$B,0))</f>
        <v>15.795069652569646</v>
      </c>
      <c r="E27" s="155">
        <f>INDEX(Table!J:J,MATCH($A27,Table!$B:$B,0))</f>
        <v>33</v>
      </c>
      <c r="F27" s="156" t="str">
        <f>INDEX(Table!F:F,MATCH($A27,Table!$B:$B,0))</f>
        <v>Martin Molyneux</v>
      </c>
      <c r="G27" s="340">
        <f>INDEX(Table!K:K,MATCH($A27,Table!$B:$B,0))</f>
        <v>-1.4000000000000004</v>
      </c>
      <c r="H27" s="155">
        <f>INDEX(Table!L:L,MATCH($A27,Table!$B:$B,0))</f>
        <v>2</v>
      </c>
      <c r="I27" s="82"/>
      <c r="J27" s="364"/>
      <c r="K27" s="157"/>
      <c r="L27" s="157"/>
      <c r="M27" s="157"/>
      <c r="N27" s="157"/>
      <c r="O27" s="157"/>
      <c r="P27" s="157"/>
      <c r="Q27" s="157"/>
      <c r="R27" s="157"/>
      <c r="S27" s="157"/>
      <c r="T27" s="82"/>
      <c r="U27" s="82"/>
      <c r="V27" s="82"/>
      <c r="W27" s="82"/>
      <c r="X27" s="82"/>
      <c r="Y27" s="82"/>
      <c r="Z27" s="568"/>
      <c r="AA27" s="82"/>
      <c r="AB27" s="646"/>
      <c r="AC27" s="94"/>
      <c r="AD27" s="82"/>
      <c r="AE27" s="82"/>
      <c r="AF27" s="82"/>
      <c r="AG27" s="82"/>
      <c r="AH27" s="82"/>
      <c r="AI27" s="82"/>
      <c r="AJ27" s="82"/>
      <c r="AK27" s="82"/>
      <c r="AL27" s="82"/>
      <c r="AM27" s="82"/>
      <c r="AN27" s="82"/>
      <c r="AO27" s="82"/>
      <c r="AP27" s="82"/>
      <c r="AQ27" s="82"/>
      <c r="AR27" s="82"/>
      <c r="AS27" s="82"/>
      <c r="AT27" s="82"/>
      <c r="AU27" s="82"/>
      <c r="AV27" s="82"/>
      <c r="AW27" s="82"/>
    </row>
    <row r="28" spans="1:50" ht="18" customHeight="1">
      <c r="A28" s="9" t="s">
        <v>334</v>
      </c>
      <c r="B28" s="769"/>
      <c r="C28" s="261">
        <v>6</v>
      </c>
      <c r="D28" s="340">
        <f>INDEX(Table!I:I,MATCH($A28,Table!$B:$B,0))</f>
        <v>6.1995908826022461</v>
      </c>
      <c r="E28" s="155">
        <f>INDEX(Table!J:J,MATCH($A28,Table!$B:$B,0))</f>
        <v>26</v>
      </c>
      <c r="F28" s="156" t="str">
        <f>INDEX(Table!F:F,MATCH($A28,Table!$B:$B,0))</f>
        <v>Ashley Houghton</v>
      </c>
      <c r="G28" s="340">
        <f>INDEX(Table!K:K,MATCH($A28,Table!$B:$B,0))</f>
        <v>0</v>
      </c>
      <c r="H28" s="155">
        <f>INDEX(Table!L:L,MATCH($A28,Table!$B:$B,0))</f>
        <v>0</v>
      </c>
      <c r="I28" s="82"/>
      <c r="J28" s="364" t="s">
        <v>193</v>
      </c>
      <c r="K28" s="483" t="s">
        <v>196</v>
      </c>
      <c r="L28" s="606"/>
      <c r="M28" s="752" t="str">
        <f>"No submission = "&amp;Picks!$AN1</f>
        <v>No submission = 5</v>
      </c>
      <c r="N28" s="752"/>
      <c r="O28" s="752"/>
      <c r="P28" s="752"/>
      <c r="Q28" s="752"/>
      <c r="R28" s="752"/>
      <c r="S28" s="752"/>
      <c r="T28" s="82"/>
      <c r="U28" s="82"/>
      <c r="V28" s="82"/>
      <c r="W28" s="82"/>
      <c r="X28" s="82"/>
      <c r="Y28" s="82"/>
      <c r="Z28" s="568"/>
      <c r="AA28" s="82"/>
      <c r="AB28" s="646"/>
      <c r="AC28" s="94"/>
      <c r="AD28" s="82"/>
      <c r="AE28" s="82"/>
      <c r="AF28" s="82"/>
      <c r="AG28" s="82"/>
      <c r="AH28" s="82"/>
      <c r="AI28" s="82"/>
      <c r="AJ28" s="82"/>
      <c r="AK28" s="82"/>
      <c r="AL28" s="82"/>
      <c r="AM28" s="82"/>
      <c r="AN28" s="82"/>
      <c r="AO28" s="82"/>
      <c r="AP28" s="82"/>
      <c r="AQ28" s="82"/>
      <c r="AR28" s="82"/>
      <c r="AS28" s="82"/>
      <c r="AT28" s="82"/>
      <c r="AU28" s="82"/>
      <c r="AV28" s="82"/>
      <c r="AW28" s="82"/>
    </row>
    <row r="29" spans="1:50" ht="18" customHeight="1">
      <c r="B29" s="160"/>
      <c r="C29" s="83"/>
      <c r="D29" s="83"/>
      <c r="E29" s="87"/>
      <c r="F29" s="82"/>
      <c r="G29" s="82"/>
      <c r="H29" s="87"/>
      <c r="I29" s="82"/>
      <c r="J29" s="364"/>
      <c r="K29" s="748" t="s">
        <v>497</v>
      </c>
      <c r="L29" s="749"/>
      <c r="M29" s="647" t="s">
        <v>499</v>
      </c>
      <c r="N29" s="748" t="s">
        <v>498</v>
      </c>
      <c r="O29" s="738"/>
      <c r="P29" s="749"/>
      <c r="Q29" s="738" t="s">
        <v>500</v>
      </c>
      <c r="R29" s="738"/>
      <c r="S29" s="749"/>
      <c r="T29" s="82"/>
      <c r="U29" s="82"/>
      <c r="V29" s="82"/>
      <c r="W29" s="82"/>
      <c r="X29" s="82"/>
      <c r="Y29" s="82"/>
      <c r="Z29" s="568"/>
      <c r="AA29" s="82"/>
      <c r="AB29" s="646"/>
      <c r="AC29" s="94"/>
      <c r="AD29" s="82"/>
      <c r="AE29" s="82"/>
      <c r="AF29" s="82"/>
      <c r="AG29" s="82"/>
      <c r="AH29" s="82"/>
      <c r="AI29" s="82"/>
      <c r="AJ29" s="82"/>
      <c r="AK29" s="82"/>
      <c r="AL29" s="82"/>
      <c r="AM29" s="82"/>
      <c r="AN29" s="82"/>
      <c r="AO29" s="82"/>
      <c r="AP29" s="82"/>
      <c r="AQ29" s="82"/>
      <c r="AR29" s="82"/>
      <c r="AS29" s="82"/>
      <c r="AT29" s="82"/>
      <c r="AU29" s="82"/>
      <c r="AV29" s="82"/>
      <c r="AW29" s="82"/>
    </row>
    <row r="30" spans="1:50" ht="18" customHeight="1">
      <c r="B30" s="160"/>
      <c r="C30" s="83"/>
      <c r="D30" s="83"/>
      <c r="E30" s="87"/>
      <c r="F30" s="82"/>
      <c r="G30" s="82"/>
      <c r="H30" s="87"/>
      <c r="I30" s="82"/>
      <c r="J30" s="364"/>
      <c r="K30" s="736">
        <f>IF($J$31="Y",K31,'3of3'!$B$5)</f>
        <v>5</v>
      </c>
      <c r="L30" s="737">
        <f>'3of3'!$B$5</f>
        <v>5</v>
      </c>
      <c r="M30" s="154">
        <f>IF(J31="Y",M31,'3of3'!$B$6)</f>
        <v>28</v>
      </c>
      <c r="N30" s="736">
        <f>IF(J31="Y",N31,'3of3'!$B$7)</f>
        <v>11</v>
      </c>
      <c r="O30" s="739">
        <f>'3of3'!$B$6</f>
        <v>28</v>
      </c>
      <c r="P30" s="737">
        <f>'3of3'!$B$6</f>
        <v>28</v>
      </c>
      <c r="Q30" s="736">
        <f>IF(J31="Y",Q31,'3of3'!$B$8)</f>
        <v>18</v>
      </c>
      <c r="R30" s="739">
        <f>'3of3'!$B$6</f>
        <v>28</v>
      </c>
      <c r="S30" s="737">
        <f>'3of3'!$B$6</f>
        <v>28</v>
      </c>
      <c r="T30" s="82"/>
      <c r="U30" s="82"/>
      <c r="V30" s="82"/>
      <c r="W30" s="82"/>
      <c r="X30" s="82"/>
      <c r="Y30" s="82"/>
      <c r="Z30" s="82"/>
      <c r="AA30" s="82"/>
      <c r="AB30" s="82"/>
      <c r="AC30" s="94"/>
      <c r="AD30" s="82"/>
      <c r="AE30" s="82"/>
      <c r="AF30" s="82"/>
      <c r="AG30" s="82"/>
      <c r="AH30" s="82"/>
      <c r="AI30" s="82"/>
      <c r="AJ30" s="82"/>
      <c r="AK30" s="82"/>
      <c r="AL30" s="82"/>
      <c r="AM30" s="82"/>
      <c r="AN30" s="82"/>
      <c r="AO30" s="82"/>
      <c r="AP30" s="82"/>
      <c r="AQ30" s="82"/>
      <c r="AR30" s="82"/>
      <c r="AS30" s="82"/>
      <c r="AT30" s="82"/>
      <c r="AU30" s="82"/>
      <c r="AV30" s="82"/>
      <c r="AW30" s="82"/>
    </row>
    <row r="31" spans="1:50" ht="18" customHeight="1">
      <c r="B31" s="160"/>
      <c r="C31" s="83"/>
      <c r="D31" s="83"/>
      <c r="E31" s="87"/>
      <c r="F31" s="82"/>
      <c r="G31" s="82"/>
      <c r="H31" s="87"/>
      <c r="I31" s="82"/>
      <c r="J31" s="700" t="s">
        <v>480</v>
      </c>
      <c r="K31" s="735">
        <v>99</v>
      </c>
      <c r="L31" s="735"/>
      <c r="M31" s="179">
        <v>99</v>
      </c>
      <c r="N31" s="735">
        <v>99</v>
      </c>
      <c r="O31" s="735"/>
      <c r="P31" s="735"/>
      <c r="Q31" s="735">
        <v>99</v>
      </c>
      <c r="R31" s="735"/>
      <c r="S31" s="735"/>
      <c r="T31" s="82"/>
      <c r="U31" s="82"/>
      <c r="V31" s="82"/>
      <c r="W31" s="82"/>
      <c r="X31" s="82"/>
      <c r="Y31" s="82"/>
      <c r="Z31" s="82"/>
      <c r="AA31" s="82"/>
      <c r="AB31" s="160"/>
      <c r="AC31" s="154">
        <f>'3of3'!$B$5</f>
        <v>5</v>
      </c>
      <c r="AD31" s="94"/>
      <c r="AE31" s="157" t="s">
        <v>513</v>
      </c>
      <c r="AF31" s="82"/>
      <c r="AG31" s="82"/>
      <c r="AH31" s="82"/>
      <c r="AI31" s="82"/>
      <c r="AJ31" s="82"/>
      <c r="AK31" s="82"/>
      <c r="AL31" s="82"/>
      <c r="AM31" s="82"/>
      <c r="AN31" s="82"/>
      <c r="AO31" s="82"/>
      <c r="AP31" s="82"/>
      <c r="AQ31" s="82"/>
      <c r="AR31" s="82"/>
      <c r="AS31" s="82"/>
      <c r="AT31" s="82"/>
      <c r="AU31" s="82"/>
      <c r="AV31" s="82"/>
      <c r="AW31" s="82"/>
      <c r="AX31" s="82"/>
    </row>
    <row r="32" spans="1:50" ht="18" customHeight="1">
      <c r="B32" s="160"/>
      <c r="C32" s="83"/>
      <c r="D32" s="83"/>
      <c r="E32" s="87"/>
      <c r="F32" s="82"/>
      <c r="G32" s="82"/>
      <c r="H32" s="87"/>
      <c r="I32" s="82"/>
      <c r="J32" s="364"/>
      <c r="K32" s="82"/>
      <c r="L32" s="160"/>
      <c r="M32" s="98"/>
      <c r="N32" s="160"/>
      <c r="O32" s="160"/>
      <c r="P32" s="160"/>
      <c r="Q32" s="160"/>
      <c r="R32" s="160"/>
      <c r="S32" s="82"/>
      <c r="T32" s="82"/>
      <c r="U32" s="82"/>
      <c r="V32" s="82"/>
      <c r="W32" s="82"/>
      <c r="X32" s="82"/>
      <c r="Y32" s="82"/>
      <c r="Z32" s="82"/>
      <c r="AA32" s="82"/>
      <c r="AB32" s="160"/>
      <c r="AC32" s="154">
        <f>'3of3'!$B$6</f>
        <v>28</v>
      </c>
      <c r="AD32" s="94"/>
      <c r="AE32" s="157" t="s">
        <v>514</v>
      </c>
      <c r="AF32" s="82"/>
      <c r="AG32" s="82"/>
      <c r="AH32" s="82"/>
      <c r="AI32" s="82"/>
      <c r="AJ32" s="82"/>
      <c r="AK32" s="82"/>
      <c r="AL32" s="82"/>
      <c r="AM32" s="82"/>
      <c r="AN32" s="82"/>
      <c r="AO32" s="82"/>
      <c r="AP32" s="82"/>
      <c r="AQ32" s="82"/>
      <c r="AR32" s="82"/>
      <c r="AS32" s="82"/>
      <c r="AT32" s="82"/>
      <c r="AU32" s="82"/>
      <c r="AV32" s="82"/>
      <c r="AW32" s="82"/>
      <c r="AX32" s="82"/>
    </row>
    <row r="33" spans="2:50" ht="18" customHeight="1">
      <c r="B33" s="160"/>
      <c r="C33" s="83"/>
      <c r="D33" s="83"/>
      <c r="E33" s="87"/>
      <c r="F33" s="82"/>
      <c r="G33" s="82"/>
      <c r="H33" s="87"/>
      <c r="I33" s="82"/>
      <c r="J33" s="364"/>
      <c r="K33" s="82"/>
      <c r="L33" s="160"/>
      <c r="M33" s="82"/>
      <c r="N33" s="160"/>
      <c r="O33" s="160"/>
      <c r="P33" s="160"/>
      <c r="Q33" s="160"/>
      <c r="R33" s="160"/>
      <c r="S33" s="98" t="s">
        <v>505</v>
      </c>
      <c r="T33" s="82"/>
      <c r="U33" s="82"/>
      <c r="V33" s="82"/>
      <c r="W33" s="82"/>
      <c r="X33" s="82"/>
      <c r="Y33" s="82"/>
      <c r="Z33" s="82"/>
      <c r="AA33" s="82"/>
      <c r="AB33" s="160"/>
      <c r="AC33" s="154">
        <f>'3of3'!$B$7</f>
        <v>11</v>
      </c>
      <c r="AD33" s="94"/>
      <c r="AE33" s="157" t="s">
        <v>515</v>
      </c>
      <c r="AF33" s="82"/>
      <c r="AG33" s="82"/>
      <c r="AH33" s="82"/>
      <c r="AI33" s="82"/>
      <c r="AJ33" s="82"/>
      <c r="AK33" s="82"/>
      <c r="AL33" s="82"/>
      <c r="AM33" s="82"/>
      <c r="AN33" s="82"/>
      <c r="AO33" s="82"/>
      <c r="AP33" s="82"/>
      <c r="AQ33" s="82"/>
      <c r="AR33" s="82"/>
      <c r="AS33" s="82"/>
      <c r="AT33" s="82"/>
      <c r="AU33" s="82"/>
      <c r="AV33" s="82"/>
      <c r="AW33" s="82"/>
      <c r="AX33" s="82"/>
    </row>
    <row r="34" spans="2:50" ht="18" customHeight="1">
      <c r="B34" s="160"/>
      <c r="C34" s="83"/>
      <c r="D34" s="83"/>
      <c r="E34" s="87"/>
      <c r="F34" s="82"/>
      <c r="G34" s="82"/>
      <c r="H34" s="87"/>
      <c r="I34" s="82"/>
      <c r="J34" s="364"/>
      <c r="K34" s="82"/>
      <c r="L34" s="160"/>
      <c r="M34" s="82"/>
      <c r="N34" s="160"/>
      <c r="O34" s="160"/>
      <c r="P34" s="160"/>
      <c r="Q34" s="160"/>
      <c r="R34" s="160"/>
      <c r="S34" s="479">
        <f>MIN(Picks!AJ:AJ)</f>
        <v>-1</v>
      </c>
      <c r="T34" s="82"/>
      <c r="U34" s="82"/>
      <c r="V34" s="82"/>
      <c r="W34" s="82"/>
      <c r="X34" s="82"/>
      <c r="Y34" s="82"/>
      <c r="Z34" s="82"/>
      <c r="AA34" s="82"/>
      <c r="AB34" s="160"/>
      <c r="AC34" s="154">
        <f>'3of3'!$B$8</f>
        <v>18</v>
      </c>
      <c r="AD34" s="94"/>
      <c r="AE34" s="157" t="s">
        <v>516</v>
      </c>
      <c r="AF34" s="82"/>
      <c r="AG34" s="82"/>
      <c r="AH34" s="82"/>
      <c r="AI34" s="82"/>
      <c r="AJ34" s="82"/>
      <c r="AK34" s="82"/>
      <c r="AL34" s="82"/>
      <c r="AM34" s="82"/>
      <c r="AN34" s="82"/>
      <c r="AO34" s="82"/>
      <c r="AP34" s="82"/>
      <c r="AQ34" s="82"/>
      <c r="AR34" s="82"/>
      <c r="AS34" s="82"/>
      <c r="AT34" s="82"/>
      <c r="AU34" s="82"/>
      <c r="AV34" s="82"/>
      <c r="AW34" s="82"/>
      <c r="AX34" s="82"/>
    </row>
    <row r="35" spans="2:50" ht="18" customHeight="1">
      <c r="C35" s="83"/>
      <c r="D35" s="83"/>
      <c r="E35" s="87"/>
      <c r="F35" s="82"/>
      <c r="G35" s="82"/>
      <c r="H35" s="87"/>
      <c r="I35" s="82"/>
      <c r="J35" s="364"/>
      <c r="K35" s="82"/>
      <c r="L35" s="160"/>
      <c r="M35" s="82"/>
      <c r="N35" s="160"/>
      <c r="O35" s="160"/>
      <c r="P35" s="160"/>
      <c r="Q35" s="160"/>
      <c r="R35" s="160"/>
      <c r="S35" s="82"/>
      <c r="T35" s="82"/>
      <c r="U35" s="82"/>
      <c r="V35" s="82"/>
      <c r="W35" s="82"/>
      <c r="X35" s="82"/>
      <c r="Y35" s="82"/>
      <c r="Z35" s="82"/>
      <c r="AA35" s="82"/>
      <c r="AC35" s="94"/>
      <c r="AD35" s="82"/>
      <c r="AE35" s="82"/>
      <c r="AF35" s="82"/>
      <c r="AG35" s="82"/>
      <c r="AH35" s="82"/>
      <c r="AI35" s="82"/>
      <c r="AJ35" s="82"/>
      <c r="AK35" s="82"/>
      <c r="AL35" s="82"/>
      <c r="AM35" s="82"/>
      <c r="AN35" s="82"/>
      <c r="AO35" s="82"/>
      <c r="AP35" s="82"/>
      <c r="AQ35" s="82"/>
      <c r="AR35" s="82"/>
      <c r="AS35" s="82"/>
      <c r="AT35" s="82"/>
      <c r="AU35" s="82"/>
      <c r="AV35" s="82"/>
      <c r="AW35" s="82"/>
    </row>
    <row r="36" spans="2:50" ht="18" customHeight="1">
      <c r="C36" s="83"/>
      <c r="D36" s="83"/>
      <c r="E36" s="87"/>
      <c r="F36" s="82"/>
      <c r="G36" s="82"/>
      <c r="H36" s="87"/>
      <c r="I36" s="82"/>
      <c r="J36" s="364"/>
      <c r="K36" s="82"/>
      <c r="L36" s="160"/>
      <c r="M36" s="82"/>
      <c r="N36" s="160"/>
      <c r="O36" s="160"/>
      <c r="P36" s="160"/>
      <c r="Q36" s="160"/>
      <c r="R36" s="160"/>
      <c r="S36" s="98" t="s">
        <v>463</v>
      </c>
      <c r="T36" s="82"/>
      <c r="U36" s="82"/>
      <c r="V36" s="82"/>
      <c r="W36" s="82"/>
      <c r="X36" s="82"/>
      <c r="Y36" s="82"/>
      <c r="Z36" s="82"/>
      <c r="AA36" s="82"/>
      <c r="AC36" s="94"/>
      <c r="AD36" s="82"/>
      <c r="AE36" s="82"/>
      <c r="AF36" s="82"/>
      <c r="AG36" s="82"/>
      <c r="AH36" s="82"/>
      <c r="AI36" s="82"/>
      <c r="AJ36" s="82"/>
      <c r="AK36" s="82"/>
      <c r="AL36" s="82"/>
      <c r="AM36" s="82"/>
      <c r="AN36" s="82"/>
      <c r="AO36" s="82"/>
      <c r="AP36" s="82"/>
      <c r="AQ36" s="82"/>
      <c r="AR36" s="82"/>
      <c r="AS36" s="82"/>
      <c r="AT36" s="82"/>
      <c r="AU36" s="82"/>
      <c r="AV36" s="82"/>
      <c r="AW36" s="82"/>
    </row>
    <row r="37" spans="2:50" ht="18" customHeight="1">
      <c r="C37" s="83"/>
      <c r="D37" s="83"/>
      <c r="E37" s="87"/>
      <c r="F37" s="82"/>
      <c r="G37" s="82"/>
      <c r="H37" s="87"/>
      <c r="I37" s="82"/>
      <c r="J37" s="364"/>
      <c r="K37" s="82"/>
      <c r="L37" s="160"/>
      <c r="M37" s="82"/>
      <c r="N37" s="160"/>
      <c r="O37" s="160"/>
      <c r="P37" s="160"/>
      <c r="Q37" s="160"/>
      <c r="R37" s="160"/>
      <c r="S37" s="479">
        <f>MAX(Picks!AJ:AJ)</f>
        <v>801.2</v>
      </c>
      <c r="T37" s="82"/>
      <c r="U37" s="82"/>
      <c r="V37" s="82"/>
      <c r="W37" s="82"/>
      <c r="X37" s="82"/>
      <c r="Y37" s="82"/>
      <c r="Z37" s="82"/>
      <c r="AA37" s="82"/>
      <c r="AB37" s="82"/>
      <c r="AC37" s="94"/>
      <c r="AD37" s="82"/>
      <c r="AE37" s="82"/>
      <c r="AF37" s="82"/>
      <c r="AG37" s="82"/>
      <c r="AH37" s="82"/>
      <c r="AI37" s="82"/>
      <c r="AJ37" s="82"/>
      <c r="AK37" s="82"/>
      <c r="AL37" s="82"/>
      <c r="AM37" s="82"/>
      <c r="AN37" s="82"/>
      <c r="AO37" s="82"/>
      <c r="AP37" s="82"/>
      <c r="AQ37" s="82"/>
      <c r="AR37" s="82"/>
      <c r="AS37" s="82"/>
      <c r="AT37" s="82"/>
      <c r="AU37" s="82"/>
      <c r="AV37" s="82"/>
      <c r="AW37" s="82"/>
    </row>
    <row r="38" spans="2:50" ht="18" customHeight="1">
      <c r="C38" s="83"/>
      <c r="D38" s="83"/>
      <c r="E38" s="87"/>
      <c r="F38" s="82"/>
      <c r="G38" s="82"/>
      <c r="H38" s="87"/>
      <c r="I38" s="82"/>
      <c r="J38" s="364"/>
      <c r="K38" s="82"/>
      <c r="L38" s="160"/>
      <c r="M38" s="82"/>
      <c r="N38" s="160"/>
      <c r="O38" s="160"/>
      <c r="P38" s="160"/>
      <c r="Q38" s="160"/>
      <c r="R38" s="160"/>
      <c r="S38" s="82"/>
      <c r="T38" s="82"/>
      <c r="U38" s="82"/>
      <c r="V38" s="82"/>
      <c r="W38" s="82"/>
      <c r="X38" s="82"/>
      <c r="Y38" s="82"/>
      <c r="Z38" s="82"/>
      <c r="AA38" s="82"/>
      <c r="AB38" s="82"/>
      <c r="AC38" s="94"/>
      <c r="AD38" s="82"/>
      <c r="AE38" s="82"/>
      <c r="AF38" s="82"/>
      <c r="AG38" s="82"/>
      <c r="AH38" s="82"/>
      <c r="AI38" s="82"/>
      <c r="AJ38" s="82"/>
      <c r="AK38" s="82"/>
      <c r="AL38" s="82"/>
      <c r="AM38" s="82"/>
      <c r="AN38" s="82"/>
      <c r="AO38" s="82"/>
      <c r="AP38" s="82"/>
      <c r="AQ38" s="82"/>
      <c r="AR38" s="82"/>
      <c r="AS38" s="82"/>
      <c r="AT38" s="82"/>
      <c r="AU38" s="82"/>
      <c r="AV38" s="82"/>
      <c r="AW38" s="82"/>
    </row>
    <row r="39" spans="2:50" ht="18" customHeight="1">
      <c r="C39" s="83"/>
      <c r="D39" s="83"/>
      <c r="E39" s="87"/>
      <c r="F39" s="82"/>
      <c r="G39" s="82"/>
      <c r="H39" s="87"/>
      <c r="I39" s="82"/>
      <c r="J39" s="364"/>
      <c r="K39" s="82"/>
      <c r="L39" s="160"/>
      <c r="M39" s="82"/>
      <c r="N39" s="160"/>
      <c r="O39" s="160"/>
      <c r="P39" s="160"/>
      <c r="Q39" s="160"/>
      <c r="R39" s="160"/>
      <c r="S39" s="82" t="s">
        <v>504</v>
      </c>
      <c r="T39" s="650"/>
      <c r="U39" s="650"/>
      <c r="V39" s="651"/>
      <c r="W39" s="82"/>
      <c r="X39" s="82"/>
      <c r="Y39" s="82"/>
      <c r="Z39" s="82"/>
      <c r="AA39" s="82"/>
      <c r="AB39" s="82"/>
      <c r="AC39" s="94"/>
      <c r="AD39" s="82"/>
      <c r="AE39" s="82"/>
      <c r="AF39" s="82"/>
      <c r="AG39" s="82"/>
      <c r="AH39" s="82"/>
      <c r="AI39" s="82"/>
      <c r="AJ39" s="82"/>
      <c r="AK39" s="82"/>
      <c r="AL39" s="82"/>
      <c r="AM39" s="82"/>
      <c r="AN39" s="82"/>
      <c r="AO39" s="82"/>
      <c r="AP39" s="82"/>
      <c r="AQ39" s="82"/>
      <c r="AR39" s="82"/>
      <c r="AS39" s="82"/>
      <c r="AT39" s="82"/>
      <c r="AU39" s="82"/>
      <c r="AV39" s="82"/>
      <c r="AW39" s="82"/>
    </row>
    <row r="40" spans="2:50" ht="18" customHeight="1">
      <c r="C40" s="83"/>
      <c r="D40" s="83"/>
      <c r="E40" s="87"/>
      <c r="F40" s="82"/>
      <c r="G40" s="82"/>
      <c r="H40" s="87"/>
      <c r="I40" s="82"/>
      <c r="J40" s="364"/>
      <c r="K40" s="82"/>
      <c r="L40" s="160"/>
      <c r="M40" s="82"/>
      <c r="N40" s="160"/>
      <c r="O40" s="160"/>
      <c r="P40" s="160"/>
      <c r="Q40" s="160"/>
      <c r="R40" s="160"/>
      <c r="S40" s="649" t="str">
        <f>IF($M$22="","",INDEX(Picks!$A:$A,MATCH($M$22,Picks!$J:$J,0)))</f>
        <v>Mal Stott</v>
      </c>
      <c r="T40" s="82"/>
      <c r="U40" s="82"/>
      <c r="V40" s="82"/>
      <c r="W40" s="82"/>
      <c r="X40" s="82"/>
      <c r="Y40" s="82"/>
      <c r="Z40" s="82"/>
      <c r="AA40" s="82"/>
      <c r="AB40" s="82"/>
      <c r="AC40" s="94"/>
      <c r="AD40" s="82"/>
      <c r="AE40" s="82"/>
      <c r="AF40" s="82"/>
      <c r="AG40" s="82"/>
      <c r="AH40" s="82"/>
      <c r="AI40" s="82"/>
      <c r="AJ40" s="82"/>
      <c r="AK40" s="82"/>
      <c r="AL40" s="82"/>
      <c r="AM40" s="82"/>
      <c r="AN40" s="82"/>
      <c r="AO40" s="82"/>
      <c r="AP40" s="82"/>
      <c r="AQ40" s="82"/>
      <c r="AR40" s="82"/>
      <c r="AS40" s="82"/>
      <c r="AT40" s="82"/>
      <c r="AU40" s="82"/>
      <c r="AV40" s="82"/>
      <c r="AW40" s="82"/>
    </row>
    <row r="41" spans="2:50" ht="18" customHeight="1">
      <c r="C41" s="83"/>
      <c r="D41" s="83"/>
      <c r="E41" s="87"/>
      <c r="F41" s="82"/>
      <c r="G41" s="82"/>
      <c r="H41" s="87"/>
      <c r="I41" s="82"/>
      <c r="J41" s="364"/>
      <c r="K41" s="82"/>
      <c r="L41" s="160"/>
      <c r="M41" s="82"/>
      <c r="N41" s="160"/>
      <c r="O41" s="160"/>
      <c r="P41" s="160"/>
      <c r="Q41" s="160"/>
      <c r="R41" s="160"/>
      <c r="S41" s="82"/>
      <c r="T41" s="82"/>
      <c r="U41" s="82"/>
      <c r="V41" s="82"/>
      <c r="W41" s="82"/>
      <c r="X41" s="82"/>
      <c r="Y41" s="82"/>
      <c r="Z41" s="82"/>
      <c r="AA41" s="82"/>
      <c r="AB41" s="82"/>
      <c r="AC41" s="94"/>
      <c r="AD41" s="82"/>
      <c r="AE41" s="82"/>
      <c r="AF41" s="82"/>
      <c r="AG41" s="82"/>
      <c r="AH41" s="82"/>
      <c r="AI41" s="82"/>
      <c r="AJ41" s="82"/>
      <c r="AK41" s="82"/>
      <c r="AL41" s="82"/>
      <c r="AM41" s="82"/>
      <c r="AN41" s="82"/>
      <c r="AO41" s="82"/>
      <c r="AP41" s="82"/>
      <c r="AQ41" s="82"/>
      <c r="AR41" s="82"/>
      <c r="AS41" s="82"/>
      <c r="AT41" s="82"/>
      <c r="AU41" s="82"/>
      <c r="AV41" s="82"/>
      <c r="AW41" s="82"/>
    </row>
    <row r="42" spans="2:50" ht="18" customHeight="1">
      <c r="C42" s="83"/>
      <c r="D42" s="83"/>
      <c r="E42" s="87"/>
      <c r="F42" s="82"/>
      <c r="G42" s="82"/>
      <c r="H42" s="87"/>
      <c r="I42" s="82"/>
      <c r="J42" s="364"/>
      <c r="K42" s="82"/>
      <c r="L42" s="160"/>
      <c r="M42" s="82"/>
      <c r="N42" s="160"/>
      <c r="O42" s="160"/>
      <c r="P42" s="160"/>
      <c r="Q42" s="160"/>
      <c r="R42" s="160"/>
      <c r="S42" s="82"/>
      <c r="T42" s="82"/>
      <c r="U42" s="82"/>
      <c r="V42" s="82"/>
      <c r="W42" s="82"/>
      <c r="X42" s="82"/>
      <c r="Y42" s="82"/>
      <c r="Z42" s="82"/>
      <c r="AA42" s="82"/>
      <c r="AB42" s="82"/>
      <c r="AC42" s="94"/>
      <c r="AD42" s="82"/>
      <c r="AE42" s="82"/>
      <c r="AF42" s="82"/>
      <c r="AG42" s="82"/>
      <c r="AH42" s="82"/>
      <c r="AI42" s="82"/>
      <c r="AJ42" s="82"/>
      <c r="AK42" s="82"/>
      <c r="AL42" s="82"/>
      <c r="AM42" s="82"/>
      <c r="AN42" s="82"/>
      <c r="AO42" s="82"/>
      <c r="AP42" s="82"/>
      <c r="AQ42" s="82"/>
      <c r="AR42" s="82"/>
      <c r="AS42" s="82"/>
      <c r="AT42" s="82"/>
      <c r="AU42" s="82"/>
      <c r="AV42" s="82"/>
      <c r="AW42" s="82"/>
    </row>
    <row r="43" spans="2:50" ht="18" customHeight="1">
      <c r="C43" s="83"/>
      <c r="D43" s="83"/>
      <c r="E43" s="87"/>
      <c r="F43" s="82"/>
      <c r="G43" s="82"/>
      <c r="H43" s="87"/>
      <c r="I43" s="82"/>
      <c r="J43" s="364"/>
      <c r="K43" s="82"/>
      <c r="L43" s="160"/>
      <c r="M43" s="82"/>
      <c r="N43" s="160"/>
      <c r="O43" s="160"/>
      <c r="P43" s="160"/>
      <c r="Q43" s="160"/>
      <c r="R43" s="160"/>
      <c r="S43" s="82"/>
      <c r="T43" s="82"/>
      <c r="U43" s="82"/>
      <c r="V43" s="82"/>
      <c r="W43" s="82"/>
      <c r="X43" s="82"/>
      <c r="Y43" s="82"/>
      <c r="Z43" s="82"/>
      <c r="AA43" s="82"/>
      <c r="AB43" s="82"/>
      <c r="AC43" s="94"/>
      <c r="AD43" s="82"/>
      <c r="AE43" s="82"/>
      <c r="AF43" s="82"/>
      <c r="AG43" s="82"/>
      <c r="AH43" s="82"/>
      <c r="AI43" s="82"/>
      <c r="AJ43" s="82"/>
      <c r="AK43" s="82"/>
      <c r="AL43" s="82"/>
      <c r="AM43" s="82"/>
      <c r="AN43" s="82"/>
      <c r="AO43" s="82"/>
      <c r="AP43" s="82"/>
      <c r="AQ43" s="82"/>
      <c r="AR43" s="82"/>
      <c r="AS43" s="82"/>
      <c r="AT43" s="82"/>
      <c r="AU43" s="82"/>
      <c r="AV43" s="82"/>
      <c r="AW43" s="82"/>
    </row>
    <row r="44" spans="2:50" ht="18" customHeight="1">
      <c r="C44" s="83"/>
      <c r="D44" s="83"/>
      <c r="E44" s="87"/>
      <c r="F44" s="82"/>
      <c r="G44" s="82"/>
      <c r="H44" s="87"/>
      <c r="I44" s="82"/>
      <c r="J44" s="364"/>
      <c r="K44" s="82"/>
      <c r="L44" s="160"/>
      <c r="M44" s="82"/>
      <c r="N44" s="160"/>
      <c r="O44" s="160"/>
      <c r="P44" s="160"/>
      <c r="Q44" s="160"/>
      <c r="R44" s="160"/>
      <c r="S44" s="82"/>
      <c r="T44" s="82"/>
      <c r="U44" s="82"/>
      <c r="V44" s="82"/>
      <c r="W44" s="82"/>
      <c r="X44" s="82"/>
      <c r="Y44" s="82"/>
      <c r="Z44" s="82"/>
      <c r="AA44" s="82"/>
      <c r="AB44" s="82"/>
      <c r="AC44" s="94"/>
      <c r="AD44" s="82"/>
      <c r="AE44" s="82"/>
      <c r="AF44" s="82"/>
      <c r="AG44" s="82"/>
      <c r="AH44" s="82"/>
      <c r="AI44" s="82"/>
      <c r="AJ44" s="82"/>
      <c r="AK44" s="82"/>
      <c r="AL44" s="82"/>
      <c r="AM44" s="82"/>
      <c r="AN44" s="82"/>
      <c r="AO44" s="82"/>
      <c r="AP44" s="82"/>
      <c r="AQ44" s="82"/>
      <c r="AR44" s="82"/>
      <c r="AS44" s="82"/>
      <c r="AT44" s="82"/>
      <c r="AU44" s="82"/>
      <c r="AV44" s="82"/>
      <c r="AW44" s="82"/>
    </row>
    <row r="45" spans="2:50" ht="18" customHeight="1">
      <c r="C45" s="83"/>
      <c r="D45" s="83"/>
      <c r="E45" s="87"/>
      <c r="F45" s="82"/>
      <c r="G45" s="82"/>
      <c r="H45" s="87"/>
      <c r="I45" s="82"/>
      <c r="J45" s="364"/>
      <c r="K45" s="82"/>
      <c r="L45" s="160"/>
      <c r="M45" s="82"/>
      <c r="N45" s="160"/>
      <c r="O45" s="160"/>
      <c r="P45" s="160"/>
      <c r="Q45" s="160"/>
      <c r="R45" s="160"/>
      <c r="S45" s="82"/>
      <c r="T45" s="82"/>
      <c r="U45" s="82"/>
      <c r="V45" s="82"/>
      <c r="W45" s="82"/>
      <c r="X45" s="82"/>
      <c r="Y45" s="82"/>
      <c r="Z45" s="82"/>
      <c r="AA45" s="82"/>
      <c r="AB45" s="82"/>
      <c r="AC45" s="94"/>
      <c r="AD45" s="82"/>
      <c r="AE45" s="82"/>
      <c r="AF45" s="82"/>
      <c r="AG45" s="82"/>
      <c r="AH45" s="82"/>
      <c r="AI45" s="82"/>
      <c r="AJ45" s="82"/>
      <c r="AK45" s="82"/>
      <c r="AL45" s="82"/>
      <c r="AM45" s="82"/>
      <c r="AN45" s="82"/>
      <c r="AO45" s="82"/>
      <c r="AP45" s="82"/>
      <c r="AQ45" s="82"/>
      <c r="AR45" s="82"/>
      <c r="AS45" s="82"/>
      <c r="AT45" s="82"/>
      <c r="AU45" s="82"/>
      <c r="AV45" s="82"/>
      <c r="AW45" s="82"/>
    </row>
    <row r="46" spans="2:50" ht="18" customHeight="1">
      <c r="C46" s="83"/>
      <c r="D46" s="83"/>
      <c r="E46" s="87"/>
      <c r="F46" s="82"/>
      <c r="G46" s="82"/>
      <c r="H46" s="87"/>
      <c r="I46" s="82"/>
      <c r="J46" s="364"/>
      <c r="K46" s="82"/>
      <c r="L46" s="160"/>
      <c r="M46" s="82"/>
      <c r="N46" s="160"/>
      <c r="O46" s="160"/>
      <c r="P46" s="160"/>
      <c r="Q46" s="160"/>
      <c r="R46" s="160"/>
      <c r="S46" s="82"/>
      <c r="T46" s="82"/>
      <c r="U46" s="82"/>
      <c r="V46" s="82"/>
      <c r="W46" s="82"/>
      <c r="X46" s="82"/>
      <c r="Y46" s="82"/>
      <c r="Z46" s="82"/>
      <c r="AA46" s="82"/>
      <c r="AB46" s="82"/>
      <c r="AC46" s="94"/>
      <c r="AD46" s="82"/>
      <c r="AE46" s="82"/>
      <c r="AF46" s="82"/>
      <c r="AG46" s="82"/>
      <c r="AH46" s="82"/>
      <c r="AI46" s="82"/>
      <c r="AJ46" s="82"/>
      <c r="AK46" s="82"/>
      <c r="AL46" s="82"/>
      <c r="AM46" s="82"/>
      <c r="AN46" s="82"/>
      <c r="AO46" s="82"/>
      <c r="AP46" s="82"/>
      <c r="AQ46" s="82"/>
      <c r="AR46" s="82"/>
      <c r="AS46" s="82"/>
      <c r="AT46" s="82"/>
      <c r="AU46" s="82"/>
      <c r="AV46" s="82"/>
      <c r="AW46" s="82"/>
    </row>
    <row r="47" spans="2:50" ht="18" customHeight="1">
      <c r="C47" s="83"/>
      <c r="D47" s="83"/>
      <c r="E47" s="87"/>
      <c r="F47" s="82"/>
      <c r="G47" s="82"/>
      <c r="H47" s="87"/>
      <c r="I47" s="82"/>
      <c r="J47" s="364"/>
      <c r="K47" s="82"/>
      <c r="L47" s="160"/>
      <c r="M47" s="82"/>
      <c r="N47" s="160"/>
      <c r="O47" s="160"/>
      <c r="P47" s="160"/>
      <c r="Q47" s="160"/>
      <c r="R47" s="160"/>
      <c r="S47" s="82"/>
      <c r="T47" s="82"/>
      <c r="U47" s="82"/>
      <c r="V47" s="82"/>
      <c r="W47" s="82"/>
      <c r="X47" s="82"/>
      <c r="Y47" s="82"/>
      <c r="Z47" s="82"/>
      <c r="AA47" s="82"/>
      <c r="AB47" s="82"/>
      <c r="AC47" s="94"/>
      <c r="AD47" s="82"/>
      <c r="AE47" s="82"/>
      <c r="AF47" s="82"/>
      <c r="AG47" s="82"/>
      <c r="AH47" s="82"/>
      <c r="AI47" s="82"/>
      <c r="AJ47" s="82"/>
      <c r="AK47" s="82"/>
      <c r="AL47" s="82"/>
      <c r="AM47" s="82"/>
      <c r="AN47" s="82"/>
      <c r="AO47" s="82"/>
      <c r="AP47" s="82"/>
      <c r="AQ47" s="82"/>
      <c r="AR47" s="82"/>
      <c r="AS47" s="82"/>
      <c r="AT47" s="82"/>
      <c r="AU47" s="82"/>
      <c r="AV47" s="82"/>
      <c r="AW47" s="82"/>
    </row>
    <row r="48" spans="2:50" ht="18" customHeight="1">
      <c r="C48" s="83"/>
      <c r="D48" s="83"/>
      <c r="E48" s="87"/>
      <c r="F48" s="82"/>
      <c r="G48" s="82"/>
      <c r="H48" s="87"/>
      <c r="J48" s="364"/>
      <c r="K48" s="82"/>
      <c r="L48" s="160"/>
      <c r="M48" s="82"/>
      <c r="N48" s="160"/>
      <c r="O48" s="160"/>
      <c r="P48" s="160"/>
      <c r="Q48" s="160"/>
      <c r="R48" s="160"/>
      <c r="S48" s="82"/>
      <c r="T48" s="82"/>
      <c r="U48" s="82"/>
      <c r="V48" s="82"/>
      <c r="W48" s="82"/>
      <c r="X48" s="82"/>
      <c r="Y48" s="82"/>
      <c r="Z48" s="82"/>
      <c r="AA48" s="82"/>
      <c r="AB48" s="82"/>
      <c r="AC48" s="94"/>
      <c r="AD48" s="82"/>
      <c r="AE48" s="82"/>
      <c r="AF48" s="82"/>
      <c r="AG48" s="82"/>
      <c r="AH48" s="82"/>
      <c r="AI48" s="82"/>
      <c r="AJ48" s="82"/>
      <c r="AK48" s="82"/>
      <c r="AL48" s="82"/>
      <c r="AM48" s="82"/>
      <c r="AN48" s="82"/>
      <c r="AO48" s="82"/>
      <c r="AP48" s="82"/>
      <c r="AQ48" s="82"/>
      <c r="AR48" s="82"/>
      <c r="AS48" s="82"/>
      <c r="AT48" s="82"/>
      <c r="AU48" s="82"/>
      <c r="AV48" s="82"/>
      <c r="AW48" s="82"/>
    </row>
    <row r="49" spans="3:49" ht="18" customHeight="1">
      <c r="C49" s="83"/>
      <c r="D49" s="83"/>
      <c r="E49" s="87"/>
      <c r="F49" s="82"/>
      <c r="G49" s="82"/>
      <c r="H49" s="87"/>
      <c r="J49" s="364"/>
      <c r="K49" s="82"/>
      <c r="L49" s="160"/>
      <c r="M49" s="82"/>
      <c r="N49" s="160"/>
      <c r="O49" s="160"/>
      <c r="P49" s="160"/>
      <c r="Q49" s="160"/>
      <c r="R49" s="160"/>
      <c r="S49" s="82"/>
      <c r="T49" s="82"/>
      <c r="U49" s="82"/>
      <c r="V49" s="82"/>
      <c r="W49" s="82"/>
      <c r="X49" s="82"/>
      <c r="Y49" s="82"/>
      <c r="Z49" s="82"/>
      <c r="AA49" s="82"/>
      <c r="AB49" s="82"/>
      <c r="AC49" s="94"/>
      <c r="AD49" s="82"/>
      <c r="AE49" s="82"/>
      <c r="AF49" s="82"/>
      <c r="AG49" s="82"/>
      <c r="AH49" s="82"/>
      <c r="AI49" s="82"/>
      <c r="AJ49" s="82"/>
      <c r="AK49" s="82"/>
      <c r="AL49" s="82"/>
      <c r="AM49" s="82"/>
      <c r="AN49" s="82"/>
      <c r="AO49" s="82"/>
      <c r="AP49" s="82"/>
      <c r="AQ49" s="82"/>
      <c r="AR49" s="82"/>
      <c r="AS49" s="82"/>
      <c r="AT49" s="82"/>
      <c r="AU49" s="82"/>
      <c r="AV49" s="82"/>
      <c r="AW49" s="82"/>
    </row>
    <row r="50" spans="3:49" ht="18" customHeight="1">
      <c r="C50" s="83"/>
      <c r="D50" s="83"/>
      <c r="E50" s="87"/>
      <c r="F50" s="82"/>
      <c r="G50" s="82"/>
      <c r="H50" s="87"/>
      <c r="J50" s="364"/>
      <c r="K50" s="82"/>
      <c r="L50" s="160"/>
      <c r="M50" s="82"/>
      <c r="N50" s="160"/>
      <c r="O50" s="160"/>
      <c r="P50" s="160"/>
      <c r="Q50" s="160"/>
      <c r="R50" s="160"/>
      <c r="S50" s="82"/>
      <c r="T50" s="82"/>
      <c r="U50" s="82"/>
      <c r="V50" s="82"/>
      <c r="W50" s="82"/>
      <c r="X50" s="82"/>
      <c r="Y50" s="82"/>
      <c r="Z50" s="82"/>
      <c r="AA50" s="82"/>
      <c r="AB50" s="82"/>
      <c r="AC50" s="94"/>
      <c r="AD50" s="82"/>
      <c r="AE50" s="82"/>
      <c r="AF50" s="82"/>
      <c r="AG50" s="82"/>
      <c r="AH50" s="82"/>
      <c r="AI50" s="82"/>
      <c r="AJ50" s="82"/>
      <c r="AK50" s="82"/>
      <c r="AL50" s="82"/>
      <c r="AM50" s="82"/>
      <c r="AN50" s="82"/>
      <c r="AO50" s="82"/>
      <c r="AP50" s="82"/>
      <c r="AQ50" s="82"/>
      <c r="AR50" s="82"/>
      <c r="AS50" s="82"/>
      <c r="AT50" s="82"/>
      <c r="AU50" s="82"/>
      <c r="AV50" s="82"/>
      <c r="AW50" s="82"/>
    </row>
    <row r="51" spans="3:49" ht="18" customHeight="1">
      <c r="C51" s="83"/>
      <c r="D51" s="83"/>
      <c r="E51" s="87"/>
      <c r="F51" s="82"/>
      <c r="G51" s="82"/>
      <c r="H51" s="87"/>
      <c r="J51" s="365"/>
      <c r="K51" s="82"/>
      <c r="L51" s="160"/>
      <c r="M51" s="82"/>
      <c r="N51" s="160"/>
      <c r="O51" s="160"/>
      <c r="P51" s="160"/>
      <c r="Q51" s="160"/>
      <c r="R51" s="160"/>
      <c r="S51" s="82"/>
      <c r="T51" s="82"/>
      <c r="U51" s="82"/>
      <c r="V51" s="82"/>
      <c r="W51" s="82"/>
      <c r="X51" s="82"/>
      <c r="Y51" s="82"/>
      <c r="Z51" s="82"/>
      <c r="AA51" s="82"/>
      <c r="AB51" s="82"/>
      <c r="AC51" s="94"/>
      <c r="AD51" s="82"/>
      <c r="AE51" s="82"/>
      <c r="AF51" s="82"/>
      <c r="AG51" s="82"/>
      <c r="AH51" s="82"/>
      <c r="AI51" s="82"/>
      <c r="AJ51" s="82"/>
      <c r="AK51" s="82"/>
      <c r="AL51" s="82"/>
    </row>
    <row r="52" spans="3:49" ht="18" customHeight="1">
      <c r="K52" s="82"/>
      <c r="L52" s="160"/>
      <c r="M52" s="82"/>
      <c r="N52" s="160"/>
      <c r="O52" s="160"/>
      <c r="P52" s="160"/>
      <c r="Q52" s="160"/>
      <c r="R52" s="160"/>
      <c r="S52" s="82"/>
      <c r="T52" s="82"/>
      <c r="U52" s="82"/>
      <c r="V52" s="82"/>
      <c r="W52" s="82"/>
      <c r="X52" s="82"/>
      <c r="Y52" s="82"/>
      <c r="Z52" s="82"/>
      <c r="AA52" s="82"/>
      <c r="AB52" s="82"/>
      <c r="AC52" s="94"/>
      <c r="AD52" s="82"/>
      <c r="AE52" s="82"/>
      <c r="AF52" s="82"/>
      <c r="AG52" s="82"/>
      <c r="AH52" s="82"/>
      <c r="AI52" s="82"/>
      <c r="AJ52" s="82"/>
      <c r="AK52" s="82"/>
      <c r="AL52" s="82"/>
    </row>
    <row r="53" spans="3:49" ht="18" customHeight="1">
      <c r="K53" s="82"/>
      <c r="L53" s="160"/>
      <c r="M53" s="82"/>
      <c r="N53" s="160"/>
      <c r="O53" s="160"/>
      <c r="P53" s="160"/>
      <c r="Q53" s="160"/>
      <c r="R53" s="160"/>
      <c r="S53" s="82"/>
      <c r="T53" s="82"/>
      <c r="U53" s="82"/>
      <c r="V53" s="82"/>
      <c r="W53" s="82"/>
      <c r="X53" s="82"/>
      <c r="Y53" s="82"/>
      <c r="Z53" s="82"/>
      <c r="AA53" s="82"/>
      <c r="AB53" s="82"/>
      <c r="AC53" s="94"/>
      <c r="AD53" s="82"/>
      <c r="AE53" s="82"/>
      <c r="AF53" s="82"/>
      <c r="AG53" s="82"/>
      <c r="AH53" s="82"/>
      <c r="AI53" s="82"/>
      <c r="AJ53" s="82"/>
      <c r="AK53" s="82"/>
    </row>
    <row r="54" spans="3:49" ht="18" customHeight="1">
      <c r="K54" s="82"/>
      <c r="L54" s="160"/>
      <c r="M54" s="82"/>
      <c r="N54" s="160"/>
      <c r="O54" s="160"/>
      <c r="P54" s="160"/>
      <c r="Q54" s="160"/>
      <c r="R54" s="160"/>
      <c r="S54" s="82"/>
      <c r="AB54" s="82"/>
    </row>
    <row r="55" spans="3:49" ht="18" customHeight="1">
      <c r="K55" s="82"/>
      <c r="L55" s="160"/>
      <c r="M55" s="82"/>
      <c r="N55" s="160"/>
      <c r="O55" s="160"/>
      <c r="P55" s="160"/>
      <c r="Q55" s="160"/>
      <c r="R55" s="160"/>
      <c r="S55" s="82"/>
      <c r="AB55" s="82"/>
    </row>
    <row r="56" spans="3:49" ht="18" customHeight="1">
      <c r="K56" s="82"/>
      <c r="L56" s="160"/>
      <c r="M56" s="82"/>
      <c r="N56" s="160"/>
      <c r="O56" s="160"/>
      <c r="P56" s="160"/>
      <c r="Q56" s="160"/>
      <c r="R56" s="160"/>
      <c r="S56" s="82"/>
    </row>
    <row r="57" spans="3:49" ht="18" customHeight="1">
      <c r="K57" s="82"/>
      <c r="L57" s="160"/>
      <c r="M57" s="82"/>
      <c r="N57" s="160"/>
      <c r="O57" s="160"/>
      <c r="P57" s="160"/>
      <c r="Q57" s="160"/>
      <c r="R57" s="160"/>
      <c r="S57" s="82"/>
    </row>
    <row r="58" spans="3:49" ht="18" customHeight="1"/>
    <row r="59" spans="3:49" ht="18" customHeight="1"/>
    <row r="60" spans="3:49" ht="18" customHeight="1"/>
    <row r="61" spans="3:49" ht="18" customHeight="1"/>
    <row r="62" spans="3:49" ht="18" customHeight="1"/>
    <row r="63" spans="3:49" ht="18" customHeight="1"/>
    <row r="64" spans="3: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47">
    <mergeCell ref="L13:M13"/>
    <mergeCell ref="L4:M4"/>
    <mergeCell ref="O19:Q19"/>
    <mergeCell ref="L10:M10"/>
    <mergeCell ref="L11:M11"/>
    <mergeCell ref="L12:M12"/>
    <mergeCell ref="L5:M5"/>
    <mergeCell ref="L6:M6"/>
    <mergeCell ref="L7:M7"/>
    <mergeCell ref="L8:M8"/>
    <mergeCell ref="B23:B28"/>
    <mergeCell ref="D3:H3"/>
    <mergeCell ref="B5:B10"/>
    <mergeCell ref="B11:B16"/>
    <mergeCell ref="B17:B22"/>
    <mergeCell ref="M25:N25"/>
    <mergeCell ref="AB3:AL3"/>
    <mergeCell ref="AB4:AC4"/>
    <mergeCell ref="AE4:AF4"/>
    <mergeCell ref="AH4:AI4"/>
    <mergeCell ref="AK4:AL4"/>
    <mergeCell ref="R22:S22"/>
    <mergeCell ref="L9:M9"/>
    <mergeCell ref="M21:N21"/>
    <mergeCell ref="O21:Q21"/>
    <mergeCell ref="O20:Q20"/>
    <mergeCell ref="L14:M14"/>
    <mergeCell ref="L15:M15"/>
    <mergeCell ref="L16:M16"/>
    <mergeCell ref="K3:S3"/>
    <mergeCell ref="O18:Q18"/>
    <mergeCell ref="K31:L31"/>
    <mergeCell ref="N31:P31"/>
    <mergeCell ref="Q31:S31"/>
    <mergeCell ref="K30:L30"/>
    <mergeCell ref="M18:N18"/>
    <mergeCell ref="N30:P30"/>
    <mergeCell ref="Q30:S30"/>
    <mergeCell ref="Q25:S25"/>
    <mergeCell ref="Q26:S26"/>
    <mergeCell ref="R21:S21"/>
    <mergeCell ref="K29:L29"/>
    <mergeCell ref="M26:N26"/>
    <mergeCell ref="M28:S28"/>
    <mergeCell ref="N29:P29"/>
    <mergeCell ref="Q29:S29"/>
    <mergeCell ref="O22:Q22"/>
  </mergeCells>
  <hyperlinks>
    <hyperlink ref="B2" location="Menu!A1" display="Menu!A1" xr:uid="{00000000-0004-0000-0F00-000000000000}"/>
    <hyperlink ref="B1" location="Menu!A1" display="Menu!A1" xr:uid="{7E685012-E9EA-4285-9826-13F4B2B262E9}"/>
  </hyperlinks>
  <pageMargins left="0.70866141732283472" right="0.70866141732283472" top="0.74803149606299213" bottom="0.74803149606299213" header="0.31496062992125984" footer="0.31496062992125984"/>
  <pageSetup paperSize="9" scale="56"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tabColor rgb="FF7030A0"/>
  </sheetPr>
  <dimension ref="A1:L30"/>
  <sheetViews>
    <sheetView workbookViewId="0">
      <selection sqref="A1:C6"/>
    </sheetView>
  </sheetViews>
  <sheetFormatPr defaultRowHeight="12.75"/>
  <cols>
    <col min="1" max="1" width="18.73046875" customWidth="1"/>
    <col min="4" max="4" width="11.59765625" customWidth="1"/>
    <col min="5" max="5" width="11.86328125" customWidth="1"/>
    <col min="9" max="9" width="21.86328125" customWidth="1"/>
    <col min="10" max="11" width="13.73046875" style="49" customWidth="1"/>
    <col min="12" max="12" width="11.73046875" customWidth="1"/>
  </cols>
  <sheetData>
    <row r="1" spans="1:12" ht="33" customHeight="1">
      <c r="A1" s="407"/>
      <c r="B1" s="414" t="s">
        <v>124</v>
      </c>
      <c r="C1" s="414" t="s">
        <v>367</v>
      </c>
      <c r="D1" s="414" t="s">
        <v>373</v>
      </c>
      <c r="E1" s="414" t="s">
        <v>448</v>
      </c>
      <c r="F1" s="414" t="s">
        <v>127</v>
      </c>
      <c r="G1" s="414" t="s">
        <v>368</v>
      </c>
      <c r="I1" s="407"/>
      <c r="J1" s="414" t="s">
        <v>373</v>
      </c>
      <c r="K1" s="414" t="s">
        <v>448</v>
      </c>
      <c r="L1" s="414" t="s">
        <v>374</v>
      </c>
    </row>
    <row r="2" spans="1:12" ht="18" customHeight="1">
      <c r="A2" s="408" t="s">
        <v>301</v>
      </c>
      <c r="B2" s="409" t="e">
        <f>IF(A2="","",INDEX(Table!I:I,MATCH(A2,Table!$F:$F,0)))</f>
        <v>#N/A</v>
      </c>
      <c r="C2" s="410" t="e">
        <f>IF(A2="","",INDEX(Table!J:J,MATCH(A2,Table!$F:$F,0)))</f>
        <v>#N/A</v>
      </c>
      <c r="D2" s="418" t="str">
        <f>IF(A2="","",IF(ISERROR(INDEX(Results!AI:AI,MATCH(A2,Results!$V:$V,0))),"TBC",INDEX(Results!AI:AI,MATCH(A2,Results!$V:$V,0))))</f>
        <v>TBC</v>
      </c>
      <c r="E2" s="409" t="e">
        <f>IF(A2="","",INDEX(Table!K:K,MATCH(A2,Table!$F:$F,0)))</f>
        <v>#N/A</v>
      </c>
      <c r="F2" s="410" t="e">
        <f>IF(A2="","",INDEX(Table!L:L,MATCH(A2,Table!$F:$F,0)))</f>
        <v>#N/A</v>
      </c>
      <c r="G2" s="410" t="e">
        <f>IF(A2="","",INDEX(Picks!AG:AG,MATCH(A2,Picks!$AD:$AD,0)))</f>
        <v>#N/A</v>
      </c>
      <c r="I2" s="408" t="s">
        <v>316</v>
      </c>
      <c r="J2" s="418">
        <f>IF(I2="","",IF(ISERROR(INDEX(Results!AI:AI,MATCH(I2,Results!$V:$V,0))),"TBC",INDEX(Results!AI:AI,MATCH(I2,Results!$V:$V,0))))</f>
        <v>30.981250000000003</v>
      </c>
      <c r="K2" s="418">
        <f>IF(I2="","",IF(ISERROR(INDEX(Results!T:T,MATCH(I2,Results!$V:$V,0))),"TBC",INDEX(Results!T:T,MATCH(I2,Results!$V:$V,0))))</f>
        <v>-4.8499999999999996</v>
      </c>
      <c r="L2" s="409">
        <f>IF(I2="","",INDEX(Table!I:I,MATCH(I2,Table!$F:$F,0)))</f>
        <v>-16.968784826284825</v>
      </c>
    </row>
    <row r="3" spans="1:12" ht="18" customHeight="1">
      <c r="A3" s="408" t="s">
        <v>319</v>
      </c>
      <c r="B3" s="409">
        <f>IF(A3="","",INDEX(Table!I:I,MATCH(A3,Table!$F:$F,0)))</f>
        <v>14.139742479742479</v>
      </c>
      <c r="C3" s="410">
        <f>IF(A3="","",INDEX(Table!J:J,MATCH(A3,Table!$F:$F,0)))</f>
        <v>36</v>
      </c>
      <c r="D3" s="418">
        <f>IF(A3="","",IF(ISERROR(INDEX(Results!AI:AI,MATCH(A3,Results!$V:$V,0))),"TBC",INDEX(Results!AI:AI,MATCH(A3,Results!$V:$V,0))))</f>
        <v>12.509090909090908</v>
      </c>
      <c r="E3" s="409">
        <f>IF(A3="","",INDEX(Table!K:K,MATCH(A3,Table!$F:$F,0)))</f>
        <v>-0.40404040404040309</v>
      </c>
      <c r="F3" s="410">
        <f>IF(A3="","",INDEX(Table!L:L,MATCH(A3,Table!$F:$F,0)))</f>
        <v>2</v>
      </c>
      <c r="G3" s="410">
        <f>IF(A3="","",INDEX(Picks!AG:AG,MATCH(A3,Picks!$AD:$AD,0)))</f>
        <v>21</v>
      </c>
      <c r="I3" s="408" t="s">
        <v>319</v>
      </c>
      <c r="J3" s="418">
        <f>IF(I3="","",IF(ISERROR(INDEX(Results!AI:AI,MATCH(I3,Results!$V:$V,0))),"TBC",INDEX(Results!AI:AI,MATCH(I3,Results!$V:$V,0))))</f>
        <v>12.509090909090908</v>
      </c>
      <c r="K3" s="418">
        <f>IF(I3="","",IF(ISERROR(INDEX(Results!T:T,MATCH(I3,Results!$V:$V,0))),"TBC",INDEX(Results!T:T,MATCH(I3,Results!$V:$V,0))))</f>
        <v>-0.40404040404040309</v>
      </c>
      <c r="L3" s="409">
        <f>IF(I3="","",INDEX(Table!I:I,MATCH(I3,Table!$F:$F,0)))</f>
        <v>14.139742479742479</v>
      </c>
    </row>
    <row r="4" spans="1:12" ht="18" customHeight="1">
      <c r="A4" s="408" t="s">
        <v>291</v>
      </c>
      <c r="B4" s="409">
        <f>IF(A4="","",INDEX(Table!I:I,MATCH(A4,Table!$F:$F,0)))</f>
        <v>-3.3833078780194183</v>
      </c>
      <c r="C4" s="410">
        <f>IF(A4="","",INDEX(Table!J:J,MATCH(A4,Table!$F:$F,0)))</f>
        <v>32</v>
      </c>
      <c r="D4" s="418">
        <f>IF(A4="","",IF(ISERROR(INDEX(Results!AI:AI,MATCH(A4,Results!$V:$V,0))),"TBC",INDEX(Results!AI:AI,MATCH(A4,Results!$V:$V,0))))</f>
        <v>10.149999999999999</v>
      </c>
      <c r="E4" s="409">
        <f>IF(A4="","",INDEX(Table!K:K,MATCH(A4,Table!$F:$F,0)))</f>
        <v>-1.4000000000000004</v>
      </c>
      <c r="F4" s="410">
        <f>IF(A4="","",INDEX(Table!L:L,MATCH(A4,Table!$F:$F,0)))</f>
        <v>2</v>
      </c>
      <c r="G4" s="410">
        <f>IF(A4="","",INDEX(Picks!AG:AG,MATCH(A4,Picks!$AD:$AD,0)))</f>
        <v>32</v>
      </c>
      <c r="I4" s="408" t="s">
        <v>300</v>
      </c>
      <c r="J4" s="418">
        <f>IF(I4="","",IF(ISERROR(INDEX(Results!AI:AI,MATCH(I4,Results!$V:$V,0))),"TBC",INDEX(Results!AI:AI,MATCH(I4,Results!$V:$V,0))))</f>
        <v>15.8</v>
      </c>
      <c r="K4" s="418">
        <f>IF(I4="","",IF(ISERROR(INDEX(Results!T:T,MATCH(I4,Results!$V:$V,0))),"TBC",INDEX(Results!T:T,MATCH(I4,Results!$V:$V,0))))</f>
        <v>-3</v>
      </c>
      <c r="L4" s="409">
        <f>IF(I4="","",INDEX(Table!I:I,MATCH(I4,Table!$F:$F,0)))</f>
        <v>-30.729696969696956</v>
      </c>
    </row>
    <row r="5" spans="1:12" ht="18" customHeight="1">
      <c r="A5" s="408" t="s">
        <v>316</v>
      </c>
      <c r="B5" s="409">
        <f>IF(A5="","",INDEX(Table!I:I,MATCH(A5,Table!$F:$F,0)))</f>
        <v>-16.968784826284825</v>
      </c>
      <c r="C5" s="410">
        <f>IF(A5="","",INDEX(Table!J:J,MATCH(A5,Table!$F:$F,0)))</f>
        <v>30</v>
      </c>
      <c r="D5" s="418">
        <f>IF(A5="","",IF(ISERROR(INDEX(Results!AI:AI,MATCH(A5,Results!$V:$V,0))),"TBC",INDEX(Results!AI:AI,MATCH(A5,Results!$V:$V,0))))</f>
        <v>30.981250000000003</v>
      </c>
      <c r="E5" s="409">
        <f>IF(A5="","",INDEX(Table!K:K,MATCH(A5,Table!$F:$F,0)))</f>
        <v>-4.8499999999999996</v>
      </c>
      <c r="F5" s="410">
        <f>IF(A5="","",INDEX(Table!L:L,MATCH(A5,Table!$F:$F,0)))</f>
        <v>1</v>
      </c>
      <c r="G5" s="410">
        <f>IF(A5="","",INDEX(Picks!AG:AG,MATCH(A5,Picks!$AD:$AD,0)))</f>
        <v>45</v>
      </c>
      <c r="I5" s="408" t="s">
        <v>291</v>
      </c>
      <c r="J5" s="418">
        <f>IF(I5="","",IF(ISERROR(INDEX(Results!AI:AI,MATCH(I5,Results!$V:$V,0))),"TBC",INDEX(Results!AI:AI,MATCH(I5,Results!$V:$V,0))))</f>
        <v>10.149999999999999</v>
      </c>
      <c r="K5" s="418">
        <f>IF(I5="","",IF(ISERROR(INDEX(Results!T:T,MATCH(I5,Results!$V:$V,0))),"TBC",INDEX(Results!T:T,MATCH(I5,Results!$V:$V,0))))</f>
        <v>-1.4000000000000004</v>
      </c>
      <c r="L5" s="409">
        <f>IF(I5="","",INDEX(Table!I:I,MATCH(I5,Table!$F:$F,0)))</f>
        <v>-3.3833078780194183</v>
      </c>
    </row>
    <row r="6" spans="1:12" ht="18" customHeight="1">
      <c r="A6" s="408" t="s">
        <v>300</v>
      </c>
      <c r="B6" s="409">
        <f>IF(A6="","",INDEX(Table!I:I,MATCH(A6,Table!$F:$F,0)))</f>
        <v>-30.729696969696956</v>
      </c>
      <c r="C6" s="410">
        <f>IF(A6="","",INDEX(Table!J:J,MATCH(A6,Table!$F:$F,0)))</f>
        <v>16</v>
      </c>
      <c r="D6" s="418">
        <f>IF(A6="","",IF(ISERROR(INDEX(Results!AI:AI,MATCH(A6,Results!$V:$V,0))),"TBC",INDEX(Results!AI:AI,MATCH(A6,Results!$V:$V,0))))</f>
        <v>15.8</v>
      </c>
      <c r="E6" s="409">
        <f>IF(A6="","",INDEX(Table!K:K,MATCH(A6,Table!$F:$F,0)))</f>
        <v>-3</v>
      </c>
      <c r="F6" s="410">
        <f>IF(A6="","",INDEX(Table!L:L,MATCH(A6,Table!$F:$F,0)))</f>
        <v>1</v>
      </c>
      <c r="G6" s="410">
        <f>IF(A6="","",INDEX(Picks!AG:AG,MATCH(A6,Picks!$AD:$AD,0)))</f>
        <v>39</v>
      </c>
      <c r="I6" s="408" t="s">
        <v>301</v>
      </c>
      <c r="J6" s="418" t="str">
        <f>IF(I6="","",IF(ISERROR(INDEX(Results!AI:AI,MATCH(I6,Results!$V:$V,0))),"TBC",INDEX(Results!AI:AI,MATCH(I6,Results!$V:$V,0))))</f>
        <v>TBC</v>
      </c>
      <c r="K6" s="418" t="str">
        <f>IF(I6="","",IF(ISERROR(INDEX(Results!T:T,MATCH(I6,Results!$V:$V,0))),"TBC",INDEX(Results!T:T,MATCH(I6,Results!$V:$V,0))))</f>
        <v>TBC</v>
      </c>
      <c r="L6" s="409" t="e">
        <f>IF(I6="","",INDEX(Table!I:I,MATCH(I6,Table!$F:$F,0)))</f>
        <v>#N/A</v>
      </c>
    </row>
    <row r="7" spans="1:12" ht="18" customHeight="1">
      <c r="A7" s="247"/>
      <c r="B7" s="223"/>
      <c r="C7" s="321" t="str">
        <f>IF(A7="","",INDEX(Table!J:J,MATCH(A7,Table!$F:$F,0)))</f>
        <v/>
      </c>
      <c r="D7" s="321"/>
    </row>
    <row r="8" spans="1:12" ht="18" customHeight="1">
      <c r="A8" s="247"/>
      <c r="B8" s="223"/>
      <c r="C8" s="321" t="str">
        <f>IF(A8="","",INDEX(Table!J:J,MATCH(A8,Table!$F:$F,0)))</f>
        <v/>
      </c>
      <c r="D8" s="321"/>
    </row>
    <row r="9" spans="1:12" ht="18" customHeight="1">
      <c r="A9" s="247"/>
      <c r="B9" s="223"/>
      <c r="C9" s="321" t="str">
        <f>IF(A9="","",INDEX(Table!J:J,MATCH(A9,Table!$F:$F,0)))</f>
        <v/>
      </c>
      <c r="D9" s="321"/>
    </row>
    <row r="10" spans="1:12" ht="18" customHeight="1">
      <c r="A10" s="247"/>
      <c r="B10" s="223"/>
      <c r="C10" s="321" t="str">
        <f>IF(A10="","",INDEX(Table!J:J,MATCH(A10,Table!$F:$F,0)))</f>
        <v/>
      </c>
      <c r="D10" s="321"/>
    </row>
    <row r="11" spans="1:12" ht="18" customHeight="1">
      <c r="A11" s="247"/>
      <c r="B11" s="223"/>
      <c r="C11" s="321" t="str">
        <f>IF(A11="","",INDEX(Table!J:J,MATCH(A11,Table!$F:$F,0)))</f>
        <v/>
      </c>
      <c r="D11" s="321"/>
    </row>
    <row r="12" spans="1:12" ht="18" customHeight="1">
      <c r="A12" s="247"/>
      <c r="B12" s="223"/>
      <c r="C12" s="321" t="str">
        <f>IF(A12="","",INDEX(Table!J:J,MATCH(A12,Table!$F:$F,0)))</f>
        <v/>
      </c>
      <c r="D12" s="321"/>
    </row>
    <row r="13" spans="1:12" ht="18" customHeight="1">
      <c r="A13" s="247"/>
      <c r="B13" s="223"/>
      <c r="C13" s="321" t="str">
        <f>IF(A13="","",INDEX(Table!J:J,MATCH(A13,Table!$F:$F,0)))</f>
        <v/>
      </c>
      <c r="D13" s="321"/>
    </row>
    <row r="14" spans="1:12" ht="18" customHeight="1">
      <c r="A14" s="247"/>
      <c r="B14" s="223"/>
      <c r="C14" s="321" t="str">
        <f>IF(A14="","",INDEX(Table!J:J,MATCH(A14,Table!$F:$F,0)))</f>
        <v/>
      </c>
      <c r="D14" s="321"/>
    </row>
    <row r="15" spans="1:12" ht="18" customHeight="1">
      <c r="A15" s="247"/>
      <c r="B15" s="223"/>
      <c r="C15" s="321" t="str">
        <f>IF(A15="","",INDEX(Table!J:J,MATCH(A15,Table!$F:$F,0)))</f>
        <v/>
      </c>
      <c r="D15" s="321"/>
    </row>
    <row r="16" spans="1:12" ht="18" customHeight="1">
      <c r="A16" s="247"/>
      <c r="B16" s="223"/>
      <c r="C16" s="321" t="str">
        <f>IF(A16="","",INDEX(Table!J:J,MATCH(A16,Table!$F:$F,0)))</f>
        <v/>
      </c>
      <c r="D16" s="321"/>
    </row>
    <row r="17" spans="1:4" ht="18" customHeight="1">
      <c r="A17" s="247"/>
      <c r="B17" s="223"/>
      <c r="C17" s="321" t="str">
        <f>IF(A17="","",INDEX(Table!J:J,MATCH(A17,Table!$F:$F,0)))</f>
        <v/>
      </c>
      <c r="D17" s="321"/>
    </row>
    <row r="18" spans="1:4" ht="18" customHeight="1">
      <c r="A18" s="247"/>
      <c r="B18" s="223"/>
      <c r="C18" s="321" t="str">
        <f>IF(A18="","",INDEX(Table!J:J,MATCH(A18,Table!$F:$F,0)))</f>
        <v/>
      </c>
      <c r="D18" s="321"/>
    </row>
    <row r="19" spans="1:4" ht="18" customHeight="1">
      <c r="A19" s="247"/>
      <c r="B19" s="223"/>
      <c r="C19" s="321" t="str">
        <f>IF(A19="","",INDEX(Table!J:J,MATCH(A19,Table!$F:$F,0)))</f>
        <v/>
      </c>
      <c r="D19" s="321"/>
    </row>
    <row r="20" spans="1:4" ht="18" customHeight="1">
      <c r="A20" s="247"/>
      <c r="B20" s="223"/>
      <c r="C20" s="321" t="str">
        <f>IF(A20="","",INDEX(Table!J:J,MATCH(A20,Table!$F:$F,0)))</f>
        <v/>
      </c>
      <c r="D20" s="321"/>
    </row>
    <row r="21" spans="1:4" ht="18" customHeight="1">
      <c r="A21" s="247"/>
      <c r="B21" s="223"/>
      <c r="C21" s="321" t="str">
        <f>IF(A21="","",INDEX(Table!J:J,MATCH(A21,Table!$F:$F,0)))</f>
        <v/>
      </c>
      <c r="D21" s="321"/>
    </row>
    <row r="22" spans="1:4" ht="18" customHeight="1">
      <c r="A22" s="247"/>
      <c r="B22" s="223"/>
      <c r="C22" s="321" t="str">
        <f>IF(A22="","",INDEX(Table!J:J,MATCH(A22,Table!$F:$F,0)))</f>
        <v/>
      </c>
      <c r="D22" s="321"/>
    </row>
    <row r="23" spans="1:4" ht="18" customHeight="1">
      <c r="A23" s="247"/>
      <c r="B23" s="223"/>
      <c r="C23" s="321" t="str">
        <f>IF(A23="","",INDEX(Table!J:J,MATCH(A23,Table!$F:$F,0)))</f>
        <v/>
      </c>
      <c r="D23" s="321"/>
    </row>
    <row r="24" spans="1:4" ht="18" customHeight="1">
      <c r="A24" s="247"/>
      <c r="B24" s="223"/>
      <c r="C24" s="321" t="str">
        <f>IF(A24="","",INDEX(Table!J:J,MATCH(A24,Table!$F:$F,0)))</f>
        <v/>
      </c>
      <c r="D24" s="321"/>
    </row>
    <row r="25" spans="1:4" ht="18" customHeight="1">
      <c r="A25" s="247"/>
      <c r="B25" s="223"/>
      <c r="C25" s="321" t="str">
        <f>IF(A25="","",INDEX(Table!J:J,MATCH(A25,Table!$F:$F,0)))</f>
        <v/>
      </c>
      <c r="D25" s="321"/>
    </row>
    <row r="26" spans="1:4" ht="18" customHeight="1">
      <c r="A26" s="247"/>
      <c r="B26" s="223"/>
      <c r="C26" s="321" t="str">
        <f>IF(A26="","",INDEX(Table!J:J,MATCH(A26,Table!$F:$F,0)))</f>
        <v/>
      </c>
      <c r="D26" s="321"/>
    </row>
    <row r="27" spans="1:4" ht="18" customHeight="1">
      <c r="A27" s="247"/>
      <c r="B27" s="223"/>
      <c r="C27" s="321" t="str">
        <f>IF(A27="","",INDEX(Table!J:J,MATCH(A27,Table!$F:$F,0)))</f>
        <v/>
      </c>
      <c r="D27" s="321"/>
    </row>
    <row r="28" spans="1:4" ht="18" customHeight="1">
      <c r="A28" s="247"/>
      <c r="B28" s="223"/>
      <c r="C28" s="321" t="str">
        <f>IF(A28="","",INDEX(Table!J:J,MATCH(A28,Table!$F:$F,0)))</f>
        <v/>
      </c>
      <c r="D28" s="321"/>
    </row>
    <row r="29" spans="1:4" ht="18" customHeight="1">
      <c r="A29" s="247"/>
      <c r="B29" s="223"/>
      <c r="C29" s="321" t="str">
        <f>IF(A29="","",INDEX(Table!J:J,MATCH(A29,Table!$F:$F,0)))</f>
        <v/>
      </c>
      <c r="D29" s="321"/>
    </row>
    <row r="30" spans="1:4" ht="18" customHeight="1">
      <c r="A30" s="247"/>
      <c r="B30" s="223"/>
      <c r="C30" s="321" t="str">
        <f>IF(A30="","",INDEX(Table!J:J,MATCH(A30,Table!$F:$F,0)))</f>
        <v/>
      </c>
      <c r="D30" s="321"/>
    </row>
  </sheetData>
  <sortState xmlns:xlrd2="http://schemas.microsoft.com/office/spreadsheetml/2017/richdata2" ref="A2:L6">
    <sortCondition descending="1" ref="B2:B6"/>
  </sortState>
  <pageMargins left="0.7" right="0.7" top="0.75" bottom="0.75" header="0.3" footer="0.3"/>
  <pageSetup paperSize="9" orientation="portrait" horizontalDpi="360" verticalDpi="360" r:id="rId1"/>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pageSetUpPr fitToPage="1"/>
  </sheetPr>
  <dimension ref="A1:BF171"/>
  <sheetViews>
    <sheetView zoomScaleNormal="100" workbookViewId="0">
      <pane xSplit="7" ySplit="1" topLeftCell="AJ2" activePane="bottomRight" state="frozen"/>
      <selection pane="topRight" activeCell="H1" sqref="H1"/>
      <selection pane="bottomLeft" activeCell="A2" sqref="A2"/>
      <selection pane="bottomRight" activeCell="AM2" sqref="AM2"/>
    </sheetView>
  </sheetViews>
  <sheetFormatPr defaultRowHeight="12.75"/>
  <cols>
    <col min="1" max="1" width="32" customWidth="1"/>
    <col min="2" max="2" width="7" customWidth="1"/>
    <col min="3" max="3" width="9.265625" style="4" customWidth="1"/>
    <col min="4" max="4" width="6.86328125" style="4" customWidth="1"/>
    <col min="5" max="5" width="4.86328125" customWidth="1"/>
    <col min="6" max="6" width="7.59765625" style="4" customWidth="1"/>
    <col min="7" max="7" width="20.73046875" customWidth="1"/>
    <col min="9" max="9" width="7.3984375" style="4" customWidth="1"/>
    <col min="10" max="10" width="22.1328125" customWidth="1"/>
    <col min="11" max="11" width="8.265625" customWidth="1"/>
    <col min="12" max="12" width="4" customWidth="1"/>
    <col min="13" max="13" width="7.265625" customWidth="1"/>
    <col min="14" max="14" width="3.73046875" customWidth="1"/>
    <col min="15" max="15" width="7.3984375" style="4" customWidth="1"/>
    <col min="16" max="16" width="23.265625" customWidth="1"/>
    <col min="17" max="17" width="8.265625" customWidth="1"/>
    <col min="18" max="18" width="3.265625" customWidth="1"/>
    <col min="19" max="19" width="7.265625" style="1" customWidth="1"/>
    <col min="20" max="20" width="4.59765625" customWidth="1"/>
    <col min="21" max="21" width="7.3984375" customWidth="1"/>
    <col min="22" max="22" width="22.1328125" bestFit="1" customWidth="1"/>
    <col min="23" max="23" width="8.265625" customWidth="1"/>
    <col min="24" max="24" width="3.265625" customWidth="1"/>
    <col min="25" max="25" width="7.265625" style="1" customWidth="1"/>
    <col min="26" max="26" width="4.59765625" customWidth="1"/>
    <col min="27" max="27" width="7.3984375" customWidth="1"/>
    <col min="28" max="28" width="20.73046875" customWidth="1"/>
    <col min="29" max="29" width="8.265625" customWidth="1"/>
    <col min="30" max="30" width="3.265625" customWidth="1"/>
    <col min="31" max="31" width="9.1328125" style="1" customWidth="1"/>
    <col min="32" max="32" width="5.73046875" customWidth="1"/>
    <col min="33" max="33" width="7.3984375" customWidth="1"/>
    <col min="34" max="34" width="20.73046875" customWidth="1"/>
    <col min="35" max="35" width="8.265625" customWidth="1"/>
    <col min="36" max="36" width="3.265625" customWidth="1"/>
    <col min="37" max="37" width="9.1328125" customWidth="1"/>
    <col min="39" max="39" width="7.3984375" customWidth="1"/>
    <col min="40" max="40" width="20.73046875" customWidth="1"/>
    <col min="41" max="41" width="8.265625" customWidth="1"/>
    <col min="42" max="42" width="3.265625" customWidth="1"/>
    <col min="43" max="43" width="9.1328125" customWidth="1"/>
    <col min="45" max="45" width="7.3984375" customWidth="1"/>
    <col min="46" max="46" width="20.73046875" customWidth="1"/>
    <col min="47" max="47" width="8.265625" customWidth="1"/>
    <col min="48" max="48" width="3.265625" customWidth="1"/>
    <col min="49" max="49" width="9.1328125" customWidth="1"/>
  </cols>
  <sheetData>
    <row r="1" spans="1:58" ht="13.15">
      <c r="A1" s="61" t="s">
        <v>443</v>
      </c>
      <c r="B1" s="61">
        <v>62</v>
      </c>
      <c r="C1" s="83"/>
      <c r="D1" s="83"/>
      <c r="E1" s="82"/>
      <c r="F1" s="136" t="s">
        <v>131</v>
      </c>
      <c r="G1" s="97" t="s">
        <v>132</v>
      </c>
      <c r="H1" s="62"/>
      <c r="I1" s="61" t="s">
        <v>129</v>
      </c>
      <c r="J1" s="159" t="str">
        <f>$C$14</f>
        <v/>
      </c>
      <c r="K1" s="62"/>
      <c r="L1" s="62"/>
      <c r="M1" s="80" t="s">
        <v>28</v>
      </c>
      <c r="N1" s="63"/>
      <c r="O1" s="61" t="s">
        <v>133</v>
      </c>
      <c r="P1" s="159">
        <v>44450</v>
      </c>
      <c r="Q1" s="62"/>
      <c r="R1" s="62"/>
      <c r="S1" s="84" t="s">
        <v>28</v>
      </c>
      <c r="T1" s="62"/>
      <c r="U1" s="61" t="s">
        <v>134</v>
      </c>
      <c r="V1" s="159">
        <v>44471</v>
      </c>
      <c r="W1" s="62"/>
      <c r="X1" s="62"/>
      <c r="Y1" s="84" t="s">
        <v>28</v>
      </c>
      <c r="Z1" s="62"/>
      <c r="AA1" s="61" t="s">
        <v>135</v>
      </c>
      <c r="AB1" s="159">
        <v>44492</v>
      </c>
      <c r="AC1" s="62"/>
      <c r="AD1" s="62"/>
      <c r="AE1" s="84" t="s">
        <v>28</v>
      </c>
      <c r="AF1" s="82"/>
      <c r="AG1" s="61" t="s">
        <v>519</v>
      </c>
      <c r="AH1" s="159">
        <v>44513</v>
      </c>
      <c r="AI1" s="62"/>
      <c r="AJ1" s="62"/>
      <c r="AK1" s="87"/>
      <c r="AL1" s="82"/>
      <c r="AM1" s="61" t="s">
        <v>520</v>
      </c>
      <c r="AN1" s="159">
        <v>44534</v>
      </c>
      <c r="AO1" s="62"/>
      <c r="AP1" s="62"/>
      <c r="AQ1" s="87"/>
      <c r="AR1" s="82"/>
      <c r="AS1" s="61" t="s">
        <v>18</v>
      </c>
      <c r="AT1" s="159">
        <v>44541</v>
      </c>
      <c r="AU1" s="98"/>
      <c r="AV1" s="98"/>
      <c r="AW1" s="179"/>
      <c r="AX1" s="160"/>
      <c r="AY1" s="160"/>
      <c r="AZ1" s="160"/>
      <c r="BA1" s="160"/>
      <c r="BB1" s="160"/>
      <c r="BC1" s="160"/>
      <c r="BD1" s="160"/>
      <c r="BE1" s="160"/>
      <c r="BF1" s="160"/>
    </row>
    <row r="2" spans="1:58">
      <c r="A2" s="61" t="s">
        <v>399</v>
      </c>
      <c r="B2" s="61">
        <v>6</v>
      </c>
      <c r="C2" s="83"/>
      <c r="D2" s="83"/>
      <c r="E2" s="82"/>
      <c r="F2" s="70">
        <v>1</v>
      </c>
      <c r="G2" s="71" t="s">
        <v>297</v>
      </c>
      <c r="H2" s="62"/>
      <c r="I2" s="91">
        <v>1</v>
      </c>
      <c r="J2" s="76" t="s">
        <v>297</v>
      </c>
      <c r="K2" s="77"/>
      <c r="L2" s="78" t="str">
        <f>IF(K2="","",IF(K2=K3,"R",""))</f>
        <v/>
      </c>
      <c r="M2" s="81">
        <f>INDEX(Results!T:T,MATCH(J2,Results!V:V,0))</f>
        <v>-1.4000000000000004</v>
      </c>
      <c r="N2" s="63"/>
      <c r="O2" s="728">
        <v>1</v>
      </c>
      <c r="P2" s="674" t="s">
        <v>297</v>
      </c>
      <c r="Q2" s="77">
        <v>-5.7142857142857144</v>
      </c>
      <c r="R2" s="88" t="str">
        <f>IF(Q2="","",IF(Q2=Q3,"R",""))</f>
        <v/>
      </c>
      <c r="S2" s="85">
        <f>INDEX(Results!T:T,MATCH(P2,Results!V:V,0))</f>
        <v>-1.4000000000000004</v>
      </c>
      <c r="T2" s="63"/>
      <c r="U2" s="65">
        <v>1</v>
      </c>
      <c r="V2" s="73" t="str">
        <f>IF(Q2=Q3,"Await earlier tie",IF(Q2&lt;Q3,P3,P2))</f>
        <v>Simon Greenhalgh</v>
      </c>
      <c r="W2" s="77">
        <v>0.84999999999999964</v>
      </c>
      <c r="X2" s="88" t="str">
        <f>IF(W2="","",IF(W2=W3,"R",""))</f>
        <v/>
      </c>
      <c r="Y2" s="85">
        <f>INDEX(Results!T:T,MATCH(V2,Results!V:V,0))</f>
        <v>2.3949999999999996</v>
      </c>
      <c r="Z2" s="63"/>
      <c r="AA2" s="65">
        <v>1</v>
      </c>
      <c r="AB2" s="73" t="str">
        <f>IF(W2=W3,"Await earlier tie",IF(W2&lt;W3,V3,V2))</f>
        <v>Simon Greenhalgh</v>
      </c>
      <c r="AC2" s="102">
        <v>-4.8499999999999996</v>
      </c>
      <c r="AD2" s="78" t="str">
        <f>IF(AC2="","",IF(AC2=AC3,"R",""))</f>
        <v/>
      </c>
      <c r="AE2" s="85">
        <f>INDEX(Results!T:T,MATCH(AB2,Results!V:V,0))</f>
        <v>2.3949999999999996</v>
      </c>
      <c r="AF2" s="82"/>
      <c r="AG2" s="65">
        <v>1</v>
      </c>
      <c r="AH2" s="73" t="str">
        <f>IF(AC2=AC3,"Await earlier tie",IF(AC2&lt;AC3,AB3,AB2))</f>
        <v>Charlie Griffiths</v>
      </c>
      <c r="AI2" s="102">
        <v>-7</v>
      </c>
      <c r="AJ2" s="78" t="str">
        <f>IF(AI2="","",IF(AI2=AI3,"R",""))</f>
        <v/>
      </c>
      <c r="AK2" s="85">
        <f>INDEX(Results!T:T,MATCH(AH2,Results!V:V,0))</f>
        <v>1.1000000000000001</v>
      </c>
      <c r="AL2" s="82"/>
      <c r="AM2" s="65">
        <v>1</v>
      </c>
      <c r="AN2" s="73" t="str">
        <f>IF(AI2=AI3,"Await earlier tie",IF(AI2&lt;AI3,AH3,AH2))</f>
        <v>Paul Allen</v>
      </c>
      <c r="AO2" s="102">
        <v>-1.8888888888888893</v>
      </c>
      <c r="AP2" s="78" t="str">
        <f>IF(AO2="","",IF(AO2=AO3,"R",""))</f>
        <v/>
      </c>
      <c r="AQ2" s="85">
        <f>INDEX(Results!T:T,MATCH(AN2,Results!V:V,0))</f>
        <v>-0.30499999999999972</v>
      </c>
      <c r="AR2" s="82"/>
      <c r="AS2" s="65">
        <v>1</v>
      </c>
      <c r="AT2" s="67" t="str">
        <f>IF(AO2=AO3,"Await earlier tie",IF(AO2&lt;AO3,AN3,AN2))</f>
        <v>Paul Allen</v>
      </c>
      <c r="AU2" s="102">
        <v>-5.4666666666666668</v>
      </c>
      <c r="AV2" s="88" t="str">
        <f>IF(AU2="","",IF(AU2=AU3,"R",""))</f>
        <v/>
      </c>
      <c r="AW2" s="85">
        <f>INDEX(Results!T:T,MATCH(AT2,Results!V:V,0))</f>
        <v>-0.30499999999999972</v>
      </c>
      <c r="AX2" s="160"/>
      <c r="AY2" s="160"/>
      <c r="AZ2" s="160"/>
      <c r="BA2" s="160"/>
      <c r="BB2" s="160"/>
      <c r="BC2" s="160"/>
      <c r="BD2" s="160"/>
      <c r="BE2" s="160"/>
      <c r="BF2" s="160"/>
    </row>
    <row r="3" spans="1:58">
      <c r="A3" s="61"/>
      <c r="B3" s="61"/>
      <c r="C3" s="83"/>
      <c r="D3" s="83"/>
      <c r="E3" s="82"/>
      <c r="F3" s="70">
        <v>2</v>
      </c>
      <c r="G3" s="71" t="s">
        <v>315</v>
      </c>
      <c r="H3" s="62"/>
      <c r="I3" s="90"/>
      <c r="J3" s="76" t="s">
        <v>315</v>
      </c>
      <c r="K3" s="77"/>
      <c r="L3" s="79"/>
      <c r="M3" s="81">
        <f>INDEX(Results!T:T,MATCH(J3,Results!V:V,0))</f>
        <v>2.3949999999999996</v>
      </c>
      <c r="N3" s="63"/>
      <c r="O3" s="729"/>
      <c r="P3" s="674" t="s">
        <v>315</v>
      </c>
      <c r="Q3" s="77">
        <v>-4.95</v>
      </c>
      <c r="R3" s="66"/>
      <c r="S3" s="85">
        <f>INDEX(Results!T:T,MATCH(P3,Results!V:V,0))</f>
        <v>2.3949999999999996</v>
      </c>
      <c r="T3" s="63"/>
      <c r="U3" s="68"/>
      <c r="V3" s="73" t="str">
        <f>IF(Q4=Q5,"Await earlier tie",IF(Q4&lt;Q5,P5,P4))</f>
        <v>Gareth Powell</v>
      </c>
      <c r="W3" s="77">
        <v>-3.4</v>
      </c>
      <c r="X3" s="69"/>
      <c r="Y3" s="85" t="e">
        <f>INDEX(Results!T:T,MATCH(V3,Results!V:V,0))</f>
        <v>#VALUE!</v>
      </c>
      <c r="Z3" s="63"/>
      <c r="AA3" s="68"/>
      <c r="AB3" s="73" t="str">
        <f>IF(W4=W5,"Await earlier tie",IF(W4&lt;W5,V5,V4))</f>
        <v>Charlie Griffiths</v>
      </c>
      <c r="AC3" s="102">
        <v>-4.625</v>
      </c>
      <c r="AD3" s="69"/>
      <c r="AE3" s="85">
        <f>INDEX(Results!T:T,MATCH(AB3,Results!V:V,0))</f>
        <v>1.1000000000000001</v>
      </c>
      <c r="AF3" s="82"/>
      <c r="AG3" s="68"/>
      <c r="AH3" s="73" t="str">
        <f>IF(AC4=AC5,"Await earlier tie",IF(AC4&lt;AC5,AB5,AB4))</f>
        <v>Paul Allen</v>
      </c>
      <c r="AI3" s="102">
        <v>-5.25</v>
      </c>
      <c r="AJ3" s="69"/>
      <c r="AK3" s="85">
        <f>INDEX(Results!T:T,MATCH(AH3,Results!V:V,0))</f>
        <v>-0.30499999999999972</v>
      </c>
      <c r="AL3" s="82"/>
      <c r="AM3" s="68"/>
      <c r="AN3" s="73" t="str">
        <f>IF(AI4=AI5,"Await earlier tie",IF(AI4&lt;AI5,AH5,AH4))</f>
        <v>Frank Allen</v>
      </c>
      <c r="AO3" s="102">
        <v>-5</v>
      </c>
      <c r="AP3" s="69"/>
      <c r="AQ3" s="85">
        <f>INDEX(Results!T:T,MATCH(AN3,Results!V:V,0))</f>
        <v>21.781818181818181</v>
      </c>
      <c r="AR3" s="82"/>
      <c r="AS3" s="72"/>
      <c r="AT3" s="67" t="str">
        <f>IF(AO4=AO5,"Await earlier tie",IF(AO4&lt;AO5,AN5,AN4))</f>
        <v>Paul Fiddler</v>
      </c>
      <c r="AU3" s="102">
        <v>-7</v>
      </c>
      <c r="AV3" s="66"/>
      <c r="AW3" s="85">
        <f>INDEX(Results!T:T,MATCH(AT3,Results!V:V,0))</f>
        <v>-1.4000000000000004</v>
      </c>
      <c r="AX3" s="160"/>
      <c r="AY3" s="160"/>
      <c r="AZ3" s="160"/>
      <c r="BA3" s="160"/>
      <c r="BB3" s="160"/>
      <c r="BC3" s="160"/>
      <c r="BD3" s="160"/>
      <c r="BE3" s="160"/>
      <c r="BF3" s="160"/>
    </row>
    <row r="4" spans="1:58">
      <c r="A4" s="61" t="s">
        <v>128</v>
      </c>
      <c r="B4" s="61">
        <f>(POWER(2,B2)-B1)</f>
        <v>2</v>
      </c>
      <c r="C4" s="83"/>
      <c r="D4" s="83"/>
      <c r="E4" s="82"/>
      <c r="F4" s="70">
        <v>3</v>
      </c>
      <c r="G4" s="71" t="s">
        <v>305</v>
      </c>
      <c r="H4" s="62"/>
      <c r="I4" s="91">
        <v>2</v>
      </c>
      <c r="J4" s="76" t="s">
        <v>305</v>
      </c>
      <c r="K4" s="77"/>
      <c r="L4" s="78" t="str">
        <f>IF(K4="","",IF(K4=K5,"R",""))</f>
        <v/>
      </c>
      <c r="M4" s="81" t="e">
        <f>INDEX(Results!T:T,MATCH(J4,Results!V:V,0))</f>
        <v>#VALUE!</v>
      </c>
      <c r="N4" s="63"/>
      <c r="O4" s="89">
        <v>2</v>
      </c>
      <c r="P4" s="674" t="s">
        <v>305</v>
      </c>
      <c r="Q4" s="77">
        <v>1.5999999999999996</v>
      </c>
      <c r="R4" s="88" t="str">
        <f>IF(Q4="","",IF(Q4=Q5,"R",""))</f>
        <v/>
      </c>
      <c r="S4" s="85" t="e">
        <f>INDEX(Results!T:T,MATCH(P4,Results!V:V,0))</f>
        <v>#VALUE!</v>
      </c>
      <c r="T4" s="63"/>
      <c r="U4" s="65">
        <v>2</v>
      </c>
      <c r="V4" s="73" t="str">
        <f>IF(Q6=Q7,"Await earlier tie",IF(Q6&lt;Q7,P7,P6))</f>
        <v>Lennie Bow</v>
      </c>
      <c r="W4" s="77">
        <v>-5.05</v>
      </c>
      <c r="X4" s="88" t="str">
        <f>IF(W4="","",IF(W4=W5,"R",""))</f>
        <v/>
      </c>
      <c r="Y4" s="85">
        <f>INDEX(Results!T:T,MATCH(V4,Results!V:V,0))</f>
        <v>0.57500000000000018</v>
      </c>
      <c r="Z4" s="63"/>
      <c r="AA4" s="65">
        <v>2</v>
      </c>
      <c r="AB4" s="73" t="str">
        <f>IF(W6=W7,"Await earlier tie",IF(W6&lt;W7,V7,V6))</f>
        <v>Mo Sudell</v>
      </c>
      <c r="AC4" s="102">
        <v>-5.35</v>
      </c>
      <c r="AD4" s="78" t="str">
        <f>IF(AC4="","",IF(AC4=AC5,"R",""))</f>
        <v/>
      </c>
      <c r="AE4" s="85">
        <f>INDEX(Results!T:T,MATCH(AB4,Results!V:V,0))</f>
        <v>-0.40404040404040309</v>
      </c>
      <c r="AF4" s="82"/>
      <c r="AG4" s="65">
        <v>2</v>
      </c>
      <c r="AH4" s="73" t="str">
        <f>IF(AC6=AC7,"Await earlier tie",IF(AC6&lt;AC7,AB7,AB6))</f>
        <v>Frank Allen</v>
      </c>
      <c r="AI4" s="102">
        <v>-0.84999999999999964</v>
      </c>
      <c r="AJ4" s="78" t="str">
        <f>IF(AI4="","",IF(AI4=AI5,"R",""))</f>
        <v/>
      </c>
      <c r="AK4" s="85">
        <f>INDEX(Results!T:T,MATCH(AH4,Results!V:V,0))</f>
        <v>21.781818181818181</v>
      </c>
      <c r="AL4" s="82"/>
      <c r="AM4" s="65">
        <v>2</v>
      </c>
      <c r="AN4" s="73" t="str">
        <f>IF(AI6=AI7,"Await earlier tie",IF(AI6&lt;AI7,AH7,AH6))</f>
        <v>Dave Orrell</v>
      </c>
      <c r="AO4" s="102">
        <v>-0.66666666666666607</v>
      </c>
      <c r="AP4" s="78" t="str">
        <f>IF(AO4="","",IF(AO4=AO5,"R",""))</f>
        <v/>
      </c>
      <c r="AQ4" s="85">
        <f>INDEX(Results!T:T,MATCH(AN4,Results!V:V,0))</f>
        <v>-1.1709401709401703</v>
      </c>
      <c r="AR4" s="82"/>
      <c r="AT4" s="160"/>
      <c r="AU4" s="160"/>
      <c r="AV4" s="160"/>
      <c r="AW4" s="179"/>
      <c r="AX4" s="160"/>
      <c r="AY4" s="160"/>
      <c r="AZ4" s="160"/>
      <c r="BA4" s="160"/>
      <c r="BB4" s="160"/>
      <c r="BC4" s="160"/>
      <c r="BD4" s="160"/>
      <c r="BE4" s="160"/>
      <c r="BF4" s="160"/>
    </row>
    <row r="5" spans="1:58">
      <c r="A5" s="61"/>
      <c r="B5" s="61"/>
      <c r="C5" s="83"/>
      <c r="D5" s="83"/>
      <c r="E5" s="82"/>
      <c r="F5" s="70">
        <v>4</v>
      </c>
      <c r="G5" s="71" t="s">
        <v>335</v>
      </c>
      <c r="H5" s="62"/>
      <c r="I5" s="90"/>
      <c r="J5" s="76" t="s">
        <v>335</v>
      </c>
      <c r="K5" s="77"/>
      <c r="L5" s="79"/>
      <c r="M5" s="81">
        <f>INDEX(Results!T:T,MATCH(J5,Results!V:V,0))</f>
        <v>-0.64999999999999947</v>
      </c>
      <c r="N5" s="63"/>
      <c r="O5" s="90"/>
      <c r="P5" s="674" t="s">
        <v>335</v>
      </c>
      <c r="Q5" s="77">
        <v>-3.5000000000000142E-2</v>
      </c>
      <c r="R5" s="66"/>
      <c r="S5" s="85">
        <f>INDEX(Results!T:T,MATCH(P5,Results!V:V,0))</f>
        <v>-0.64999999999999947</v>
      </c>
      <c r="T5" s="63"/>
      <c r="U5" s="68"/>
      <c r="V5" s="73" t="str">
        <f>IF(Q9=Q8,"Await earlier tie",IF(Q8&lt;Q9,P9,P8))</f>
        <v>Charlie Griffiths</v>
      </c>
      <c r="W5" s="77">
        <v>-2.5</v>
      </c>
      <c r="X5" s="69"/>
      <c r="Y5" s="85">
        <f>INDEX(Results!T:T,MATCH(V5,Results!V:V,0))</f>
        <v>1.1000000000000001</v>
      </c>
      <c r="Z5" s="63"/>
      <c r="AA5" s="68"/>
      <c r="AB5" s="73" t="str">
        <f>IF(W8=W9,"Await earlier tie",IF(W8&lt;W9,V9,V8))</f>
        <v>Paul Allen</v>
      </c>
      <c r="AC5" s="102">
        <v>-4.8499999999999996</v>
      </c>
      <c r="AD5" s="69"/>
      <c r="AE5" s="85">
        <f>INDEX(Results!T:T,MATCH(AB5,Results!V:V,0))</f>
        <v>-0.30499999999999972</v>
      </c>
      <c r="AF5" s="82"/>
      <c r="AG5" s="68"/>
      <c r="AH5" s="73" t="str">
        <f>IF(AC8=AC9,"Await earlier tie",IF(AC8&lt;AC9,AB9,AB8))</f>
        <v>John Ronan</v>
      </c>
      <c r="AI5" s="102">
        <v>-7</v>
      </c>
      <c r="AJ5" s="69"/>
      <c r="AK5" s="85">
        <f>INDEX(Results!T:T,MATCH(AH5,Results!V:V,0))</f>
        <v>-5.2777777777777777</v>
      </c>
      <c r="AL5" s="82"/>
      <c r="AM5" s="72"/>
      <c r="AN5" s="73" t="str">
        <f>IF(AI8=AI9,"Await earlier tie",IF(AI8&lt;AI9,AH9,AH8))</f>
        <v>Paul Fiddler</v>
      </c>
      <c r="AO5" s="102">
        <v>0.66249999999999964</v>
      </c>
      <c r="AP5" s="66"/>
      <c r="AQ5" s="85">
        <f>INDEX(Results!T:T,MATCH(AN5,Results!V:V,0))</f>
        <v>-1.4000000000000004</v>
      </c>
      <c r="AR5" s="82"/>
      <c r="AS5" s="64"/>
      <c r="AT5" s="98"/>
      <c r="AU5" s="98"/>
      <c r="AV5" s="98"/>
      <c r="AW5" s="95"/>
      <c r="AX5" s="160"/>
      <c r="AY5" s="160"/>
      <c r="AZ5" s="160"/>
      <c r="BA5" s="160"/>
      <c r="BB5" s="160"/>
      <c r="BC5" s="160"/>
      <c r="BD5" s="160"/>
      <c r="BE5" s="160"/>
      <c r="BF5" s="160"/>
    </row>
    <row r="6" spans="1:58">
      <c r="A6" s="61" t="s">
        <v>470</v>
      </c>
      <c r="B6" s="61">
        <f>(B1-B4)/2</f>
        <v>30</v>
      </c>
      <c r="C6" s="83"/>
      <c r="D6" s="83"/>
      <c r="E6" s="82"/>
      <c r="F6" s="70">
        <v>5</v>
      </c>
      <c r="G6" s="71" t="s">
        <v>296</v>
      </c>
      <c r="H6" s="62"/>
      <c r="I6" s="91">
        <v>3</v>
      </c>
      <c r="J6" s="76" t="s">
        <v>296</v>
      </c>
      <c r="K6" s="77"/>
      <c r="L6" s="78" t="str">
        <f>IF(K6="","",IF(K6=K7,"R",""))</f>
        <v/>
      </c>
      <c r="M6" s="81">
        <f>INDEX(Results!T:T,MATCH(J6,Results!V:V,0))</f>
        <v>-7</v>
      </c>
      <c r="N6" s="63"/>
      <c r="O6" s="91">
        <v>3</v>
      </c>
      <c r="P6" s="674" t="s">
        <v>296</v>
      </c>
      <c r="Q6" s="77">
        <v>-3.7</v>
      </c>
      <c r="R6" s="88" t="str">
        <f>IF(Q6="","",IF(Q6=Q7,"R",""))</f>
        <v/>
      </c>
      <c r="S6" s="85">
        <f>INDEX(Results!T:T,MATCH(P6,Results!V:V,0))</f>
        <v>-7</v>
      </c>
      <c r="T6" s="63"/>
      <c r="U6" s="65">
        <v>3</v>
      </c>
      <c r="V6" s="73" t="str">
        <f>IF(Q10=Q11,"Await earlier tie",IF(Q10&lt;Q11,P11,P10))</f>
        <v>Gareth McGuire</v>
      </c>
      <c r="W6" s="77">
        <v>-7</v>
      </c>
      <c r="X6" s="88" t="str">
        <f>IF(W6="","",IF(W6=W7,"R",""))</f>
        <v/>
      </c>
      <c r="Y6" s="85">
        <f>INDEX(Results!T:T,MATCH(V6,Results!V:V,0))</f>
        <v>-0.4222222222222225</v>
      </c>
      <c r="Z6" s="63"/>
      <c r="AA6" s="65">
        <v>3</v>
      </c>
      <c r="AB6" s="73" t="str">
        <f>IF(W10=W11,"Await earlier tie",IF(W10&lt;W11,V11,V10))</f>
        <v>Martin Molyneux</v>
      </c>
      <c r="AC6" s="102">
        <v>-7</v>
      </c>
      <c r="AD6" s="78" t="str">
        <f>IF(AC6="","",IF(AC6=AC7,"R",""))</f>
        <v/>
      </c>
      <c r="AE6" s="85">
        <f>INDEX(Results!T:T,MATCH(AB6,Results!V:V,0))</f>
        <v>-1.4000000000000004</v>
      </c>
      <c r="AF6" s="82"/>
      <c r="AG6" s="65">
        <v>3</v>
      </c>
      <c r="AH6" s="73" t="str">
        <f>IF(AC10=AC11,"Await earlier tie",IF(AC10&lt;AC11,AB11,AB10))</f>
        <v>Dave Orrell</v>
      </c>
      <c r="AI6" s="102">
        <v>-1.125</v>
      </c>
      <c r="AJ6" s="78" t="str">
        <f>IF(AI6="","",IF(AI6=AI7,"R",""))</f>
        <v/>
      </c>
      <c r="AK6" s="85">
        <f>INDEX(Results!T:T,MATCH(AH6,Results!V:V,0))</f>
        <v>-1.1709401709401703</v>
      </c>
      <c r="AL6" s="82"/>
      <c r="AM6" s="82"/>
      <c r="AN6" s="82"/>
      <c r="AO6" s="82"/>
      <c r="AP6" s="82"/>
      <c r="AQ6" s="87"/>
      <c r="AR6" s="82"/>
      <c r="AS6" s="64" t="s">
        <v>147</v>
      </c>
      <c r="AT6" s="98"/>
      <c r="AU6" s="98"/>
      <c r="AV6" s="98"/>
      <c r="AW6" s="95"/>
      <c r="AX6" s="160"/>
      <c r="AY6" s="160"/>
      <c r="AZ6" s="160"/>
      <c r="BA6" s="160"/>
      <c r="BB6" s="160"/>
      <c r="BC6" s="160"/>
      <c r="BD6" s="160"/>
      <c r="BE6" s="160"/>
      <c r="BF6" s="160"/>
    </row>
    <row r="7" spans="1:58">
      <c r="A7" s="61"/>
      <c r="B7" s="61"/>
      <c r="C7" s="83"/>
      <c r="D7" s="83"/>
      <c r="E7" s="82"/>
      <c r="F7" s="70">
        <v>6</v>
      </c>
      <c r="G7" s="71" t="s">
        <v>298</v>
      </c>
      <c r="H7" s="62"/>
      <c r="I7" s="90"/>
      <c r="J7" s="76" t="s">
        <v>298</v>
      </c>
      <c r="K7" s="77"/>
      <c r="L7" s="79"/>
      <c r="M7" s="81">
        <f>INDEX(Results!T:T,MATCH(J7,Results!V:V,0))</f>
        <v>0.57500000000000018</v>
      </c>
      <c r="N7" s="63"/>
      <c r="O7" s="90"/>
      <c r="P7" s="674" t="s">
        <v>298</v>
      </c>
      <c r="Q7" s="77">
        <v>-0.1538461538461533</v>
      </c>
      <c r="R7" s="66"/>
      <c r="S7" s="85">
        <f>INDEX(Results!T:T,MATCH(P7,Results!V:V,0))</f>
        <v>0.57500000000000018</v>
      </c>
      <c r="T7" s="63"/>
      <c r="U7" s="68"/>
      <c r="V7" s="73" t="str">
        <f>IF(Q12=Q13,"Await earlier tie",IF(Q12&lt;Q13,P13,P12))</f>
        <v>Mo Sudell</v>
      </c>
      <c r="W7" s="77">
        <v>4.545454545454497E-2</v>
      </c>
      <c r="X7" s="69"/>
      <c r="Y7" s="85">
        <f>INDEX(Results!T:T,MATCH(V7,Results!V:V,0))</f>
        <v>-0.40404040404040309</v>
      </c>
      <c r="Z7" s="63"/>
      <c r="AA7" s="68"/>
      <c r="AB7" s="73" t="str">
        <f>IF(W12=W13,"Await earlier tie",IF(W12&lt;W13,V13,V12))</f>
        <v>Frank Allen</v>
      </c>
      <c r="AC7" s="102">
        <v>-5.3</v>
      </c>
      <c r="AD7" s="69"/>
      <c r="AE7" s="85">
        <f>INDEX(Results!T:T,MATCH(AB7,Results!V:V,0))</f>
        <v>21.781818181818181</v>
      </c>
      <c r="AF7" s="82"/>
      <c r="AG7" s="68"/>
      <c r="AH7" s="73" t="str">
        <f>IF(AC12=AC13,"Await earlier tie",IF(AC12&lt;AC13,AB13,AB12))</f>
        <v>Stephen Troop</v>
      </c>
      <c r="AI7" s="102">
        <v>-5.25</v>
      </c>
      <c r="AJ7" s="69"/>
      <c r="AK7" s="85">
        <f>INDEX(Results!T:T,MATCH(AH7,Results!V:V,0))</f>
        <v>-7</v>
      </c>
      <c r="AL7" s="82"/>
      <c r="AM7" s="64" t="s">
        <v>147</v>
      </c>
      <c r="AN7" s="62"/>
      <c r="AO7" s="62"/>
      <c r="AP7" s="62"/>
      <c r="AQ7" s="87"/>
      <c r="AR7" s="82"/>
      <c r="AS7" s="728"/>
      <c r="AT7" s="701"/>
      <c r="AU7" s="702"/>
      <c r="AV7" s="88" t="str">
        <f>IF(AU7="","",IF(AU7=AU8,"R",""))</f>
        <v/>
      </c>
      <c r="AW7" s="95"/>
      <c r="AX7" s="160"/>
      <c r="AY7" s="160"/>
      <c r="AZ7" s="160"/>
      <c r="BA7" s="160"/>
      <c r="BB7" s="160"/>
      <c r="BC7" s="160"/>
      <c r="BD7" s="160"/>
      <c r="BE7" s="160"/>
      <c r="BF7" s="160"/>
    </row>
    <row r="8" spans="1:58">
      <c r="A8" s="61" t="s">
        <v>130</v>
      </c>
      <c r="B8" s="61" t="s">
        <v>129</v>
      </c>
      <c r="C8" s="83"/>
      <c r="D8" s="83"/>
      <c r="E8" s="82"/>
      <c r="F8" s="70">
        <v>7</v>
      </c>
      <c r="G8" s="71" t="s">
        <v>317</v>
      </c>
      <c r="H8" s="62"/>
      <c r="I8" s="91">
        <v>4</v>
      </c>
      <c r="J8" s="76" t="s">
        <v>317</v>
      </c>
      <c r="K8" s="77"/>
      <c r="L8" s="78" t="str">
        <f>IF(K8="","",IF(K8=K9,"R",""))</f>
        <v/>
      </c>
      <c r="M8" s="81">
        <f>INDEX(Results!T:T,MATCH(J8,Results!V:V,0))</f>
        <v>1.1000000000000001</v>
      </c>
      <c r="N8" s="62"/>
      <c r="O8" s="91">
        <v>4</v>
      </c>
      <c r="P8" s="674" t="s">
        <v>317</v>
      </c>
      <c r="Q8" s="77">
        <v>-3.9</v>
      </c>
      <c r="R8" s="88" t="str">
        <f>IF(Q8="","",IF(Q8=Q9,"R",""))</f>
        <v/>
      </c>
      <c r="S8" s="85">
        <f>INDEX(Results!T:T,MATCH(P8,Results!V:V,0))</f>
        <v>1.1000000000000001</v>
      </c>
      <c r="T8" s="63"/>
      <c r="U8" s="65">
        <v>4</v>
      </c>
      <c r="V8" s="73" t="str">
        <f>IF(Q14=Q15,"Await earlier tie",IF(Q14&lt;Q15,P15,P14))</f>
        <v>David Dunn</v>
      </c>
      <c r="W8" s="77">
        <v>-7</v>
      </c>
      <c r="X8" s="88" t="str">
        <f>IF(W8="","",IF(W8=W9,"R",""))</f>
        <v/>
      </c>
      <c r="Y8" s="85">
        <f>INDEX(Results!T:T,MATCH(V8,Results!V:V,0))</f>
        <v>-3</v>
      </c>
      <c r="Z8" s="63"/>
      <c r="AA8" s="65">
        <v>4</v>
      </c>
      <c r="AB8" s="73" t="str">
        <f>IF(W14=W15,"Await earlier tie",IF(W14&lt;W15,V15,V14))</f>
        <v>Mal Stott</v>
      </c>
      <c r="AC8" s="102">
        <v>-4.625</v>
      </c>
      <c r="AD8" s="78" t="str">
        <f>IF(AC8="","",IF(AC8=AC9,"R",""))</f>
        <v/>
      </c>
      <c r="AE8" s="85">
        <f>INDEX(Results!T:T,MATCH(AB8,Results!V:V,0))</f>
        <v>14.680000000000003</v>
      </c>
      <c r="AF8" s="82"/>
      <c r="AG8" s="65">
        <v>4</v>
      </c>
      <c r="AH8" s="73" t="str">
        <f>IF(AC14=AC15,"Await earlier tie",IF(AC14&lt;AC15,AB15,AB14))</f>
        <v>Paul Fiddler</v>
      </c>
      <c r="AI8" s="102">
        <v>-4.7</v>
      </c>
      <c r="AJ8" s="78" t="str">
        <f>IF(AI8="","",IF(AI8=AI9,"R",""))</f>
        <v/>
      </c>
      <c r="AK8" s="85">
        <f>INDEX(Results!T:T,MATCH(AH8,Results!V:V,0))</f>
        <v>-1.4000000000000004</v>
      </c>
      <c r="AL8" s="82"/>
      <c r="AM8" s="728"/>
      <c r="AN8" s="73"/>
      <c r="AO8" s="102"/>
      <c r="AP8" s="88" t="str">
        <f>IF(AO8="","",IF(AO8=AO9,"R",""))</f>
        <v/>
      </c>
      <c r="AQ8" s="87"/>
      <c r="AR8" s="82"/>
      <c r="AS8" s="729"/>
      <c r="AT8" s="701"/>
      <c r="AU8" s="702"/>
      <c r="AV8" s="66"/>
      <c r="AW8" s="95"/>
      <c r="AX8" s="160"/>
      <c r="AY8" s="160"/>
      <c r="AZ8" s="160"/>
      <c r="BA8" s="160"/>
      <c r="BB8" s="160"/>
      <c r="BC8" s="160"/>
      <c r="BD8" s="160"/>
      <c r="BE8" s="160"/>
      <c r="BF8" s="160"/>
    </row>
    <row r="9" spans="1:58">
      <c r="A9" s="82"/>
      <c r="B9" s="82"/>
      <c r="C9" s="83"/>
      <c r="D9" s="83"/>
      <c r="E9" s="82"/>
      <c r="F9" s="70">
        <v>8</v>
      </c>
      <c r="G9" s="71" t="s">
        <v>306</v>
      </c>
      <c r="H9" s="62"/>
      <c r="I9" s="90"/>
      <c r="J9" s="76" t="s">
        <v>306</v>
      </c>
      <c r="K9" s="77"/>
      <c r="L9" s="79"/>
      <c r="M9" s="81">
        <f>INDEX(Results!T:T,MATCH(J9,Results!V:V,0))</f>
        <v>-3</v>
      </c>
      <c r="N9" s="62"/>
      <c r="O9" s="90"/>
      <c r="P9" s="674" t="s">
        <v>306</v>
      </c>
      <c r="Q9" s="77">
        <v>-7</v>
      </c>
      <c r="R9" s="66"/>
      <c r="S9" s="85">
        <f>INDEX(Results!T:T,MATCH(P9,Results!V:V,0))</f>
        <v>-3</v>
      </c>
      <c r="T9" s="63"/>
      <c r="U9" s="68"/>
      <c r="V9" s="73" t="str">
        <f>IF(Q16=Q17,"Await earlier tie",IF(Q16&lt;Q17,P17,P16))</f>
        <v>Paul Allen</v>
      </c>
      <c r="W9" s="77">
        <v>2.8000000000000007</v>
      </c>
      <c r="X9" s="69"/>
      <c r="Y9" s="85">
        <f>INDEX(Results!T:T,MATCH(V9,Results!V:V,0))</f>
        <v>-0.30499999999999972</v>
      </c>
      <c r="Z9" s="63"/>
      <c r="AA9" s="68"/>
      <c r="AB9" s="73" t="str">
        <f>IF(W16=W17,"Await earlier tie",IF(W16&lt;W17,V17,V16))</f>
        <v>John Ronan</v>
      </c>
      <c r="AC9" s="102">
        <v>1.163636363636364</v>
      </c>
      <c r="AD9" s="69"/>
      <c r="AE9" s="85">
        <f>INDEX(Results!T:T,MATCH(AB9,Results!V:V,0))</f>
        <v>-5.2777777777777777</v>
      </c>
      <c r="AF9" s="82"/>
      <c r="AG9" s="72"/>
      <c r="AH9" s="73" t="str">
        <f>IF(AC16=AC17,"Await earlier tie",IF(AC16&lt;AC17,AB17,AB16))</f>
        <v>Dan Gibbard</v>
      </c>
      <c r="AI9" s="102">
        <v>-7</v>
      </c>
      <c r="AJ9" s="66"/>
      <c r="AK9" s="85">
        <f>INDEX(Results!T:T,MATCH(AH9,Results!V:V,0))</f>
        <v>-1.3</v>
      </c>
      <c r="AL9" s="82"/>
      <c r="AM9" s="729"/>
      <c r="AN9" s="73"/>
      <c r="AO9" s="102"/>
      <c r="AP9" s="66"/>
      <c r="AQ9" s="87"/>
      <c r="AR9" s="82"/>
      <c r="AS9" s="89"/>
      <c r="AT9" s="701"/>
      <c r="AU9" s="702"/>
      <c r="AV9" s="88" t="str">
        <f>IF(AU9="","",IF(AU9=AU10,"R",""))</f>
        <v/>
      </c>
      <c r="AW9" s="95"/>
      <c r="AX9" s="160"/>
      <c r="AY9" s="160"/>
      <c r="AZ9" s="160"/>
      <c r="BA9" s="160"/>
      <c r="BB9" s="160"/>
      <c r="BC9" s="160"/>
      <c r="BD9" s="160"/>
      <c r="BE9" s="160"/>
      <c r="BF9" s="160"/>
    </row>
    <row r="10" spans="1:58">
      <c r="A10" s="82"/>
      <c r="B10" s="82"/>
      <c r="C10" s="83"/>
      <c r="D10" s="83"/>
      <c r="E10" s="82"/>
      <c r="F10" s="70">
        <v>9</v>
      </c>
      <c r="G10" s="71" t="s">
        <v>460</v>
      </c>
      <c r="H10" s="62"/>
      <c r="I10" s="91">
        <v>5</v>
      </c>
      <c r="J10" s="76" t="s">
        <v>460</v>
      </c>
      <c r="K10" s="77"/>
      <c r="L10" s="78" t="str">
        <f>IF(K10="","",IF(K10=K11,"R",""))</f>
        <v/>
      </c>
      <c r="M10" s="81">
        <f>INDEX(Results!T:T,MATCH(J10,Results!V:V,0))</f>
        <v>-0.4222222222222225</v>
      </c>
      <c r="N10" s="62"/>
      <c r="O10" s="91">
        <v>5</v>
      </c>
      <c r="P10" s="674" t="s">
        <v>460</v>
      </c>
      <c r="Q10" s="77">
        <v>-0.44444444444444464</v>
      </c>
      <c r="R10" s="88" t="str">
        <f>IF(Q10="","",IF(Q10=Q11,"R",""))</f>
        <v/>
      </c>
      <c r="S10" s="85">
        <f>INDEX(Results!T:T,MATCH(P10,Results!V:V,0))</f>
        <v>-0.4222222222222225</v>
      </c>
      <c r="T10" s="63"/>
      <c r="U10" s="65">
        <v>5</v>
      </c>
      <c r="V10" s="73" t="str">
        <f>IF(Q18=Q19,"Await earlier tie",IF(Q18&lt;Q19,P19,P18))</f>
        <v>Oscar Jackson</v>
      </c>
      <c r="W10" s="77">
        <v>-4.75</v>
      </c>
      <c r="X10" s="88" t="str">
        <f>IF(W10="","",IF(W10=W11,"R",""))</f>
        <v/>
      </c>
      <c r="Y10" s="85" t="e">
        <f>INDEX(Results!T:T,MATCH(V10,Results!V:V,0))</f>
        <v>#VALUE!</v>
      </c>
      <c r="Z10" s="63"/>
      <c r="AA10" s="65">
        <v>5</v>
      </c>
      <c r="AB10" s="73" t="str">
        <f>IF(W18=W19,"Await earlier tie",IF(W18&lt;W19,V19,V18))</f>
        <v>Alan Bond</v>
      </c>
      <c r="AC10" s="102">
        <v>-5.2</v>
      </c>
      <c r="AD10" s="78" t="str">
        <f>IF(AC10="","",IF(AC10=AC11,"R",""))</f>
        <v/>
      </c>
      <c r="AE10" s="85">
        <f>INDEX(Results!T:T,MATCH(AB10,Results!V:V,0))</f>
        <v>-5.15</v>
      </c>
      <c r="AF10" s="82"/>
      <c r="AG10" s="82"/>
      <c r="AH10" s="82"/>
      <c r="AI10" s="94"/>
      <c r="AJ10" s="82"/>
      <c r="AK10" s="87"/>
      <c r="AL10" s="82"/>
      <c r="AM10" s="89"/>
      <c r="AN10" s="73"/>
      <c r="AO10" s="74"/>
      <c r="AP10" s="88" t="str">
        <f>IF(AO10="","",IF(AO10=AO11,"R",""))</f>
        <v/>
      </c>
      <c r="AQ10" s="87"/>
      <c r="AR10" s="82"/>
      <c r="AS10" s="90"/>
      <c r="AT10" s="701"/>
      <c r="AU10" s="702"/>
      <c r="AV10" s="66"/>
      <c r="AW10" s="95"/>
      <c r="AX10" s="160"/>
      <c r="AY10" s="160"/>
      <c r="AZ10" s="160"/>
      <c r="BA10" s="160"/>
      <c r="BB10" s="160"/>
      <c r="BC10" s="160"/>
      <c r="BD10" s="160"/>
      <c r="BE10" s="160"/>
      <c r="BF10" s="160"/>
    </row>
    <row r="11" spans="1:58">
      <c r="A11" s="92" t="s">
        <v>152</v>
      </c>
      <c r="B11" s="82"/>
      <c r="C11" s="83"/>
      <c r="D11" s="83"/>
      <c r="E11" s="82"/>
      <c r="F11" s="70">
        <v>10</v>
      </c>
      <c r="G11" s="71" t="s">
        <v>386</v>
      </c>
      <c r="H11" s="62"/>
      <c r="I11" s="90"/>
      <c r="J11" s="76" t="s">
        <v>386</v>
      </c>
      <c r="K11" s="77"/>
      <c r="L11" s="79"/>
      <c r="M11" s="81">
        <f>INDEX(Results!T:T,MATCH(J11,Results!V:V,0))</f>
        <v>-2.6222222222222218</v>
      </c>
      <c r="N11" s="62"/>
      <c r="O11" s="90"/>
      <c r="P11" s="674" t="s">
        <v>386</v>
      </c>
      <c r="Q11" s="77">
        <v>-3.7</v>
      </c>
      <c r="R11" s="66"/>
      <c r="S11" s="85">
        <f>INDEX(Results!T:T,MATCH(P11,Results!V:V,0))</f>
        <v>-2.6222222222222218</v>
      </c>
      <c r="T11" s="63"/>
      <c r="U11" s="68"/>
      <c r="V11" s="73" t="str">
        <f>IF(Q20=Q21,"Await earlier tie",IF(Q20&lt;Q21,P21,P20))</f>
        <v>Martin Molyneux</v>
      </c>
      <c r="W11" s="77">
        <v>-0.83249999999999957</v>
      </c>
      <c r="X11" s="69"/>
      <c r="Y11" s="85">
        <f>INDEX(Results!T:T,MATCH(V11,Results!V:V,0))</f>
        <v>-1.4000000000000004</v>
      </c>
      <c r="Z11" s="63"/>
      <c r="AA11" s="68"/>
      <c r="AB11" s="73" t="str">
        <f>IF(W20=W21,"Await earlier tie",IF(W20&lt;W21,V21,V20))</f>
        <v>Dave Orrell</v>
      </c>
      <c r="AC11" s="102">
        <v>0.50499999999999901</v>
      </c>
      <c r="AD11" s="69"/>
      <c r="AE11" s="85">
        <f>INDEX(Results!T:T,MATCH(AB11,Results!V:V,0))</f>
        <v>-1.1709401709401703</v>
      </c>
      <c r="AF11" s="82"/>
      <c r="AG11" s="82"/>
      <c r="AH11" s="82"/>
      <c r="AI11" s="94"/>
      <c r="AJ11" s="82"/>
      <c r="AK11" s="87"/>
      <c r="AL11" s="82"/>
      <c r="AM11" s="90"/>
      <c r="AN11" s="73"/>
      <c r="AO11" s="74"/>
      <c r="AP11" s="66"/>
      <c r="AQ11" s="87"/>
      <c r="AR11" s="82"/>
      <c r="AS11" s="82"/>
      <c r="AT11" s="160"/>
      <c r="AU11" s="160"/>
      <c r="AV11" s="160"/>
      <c r="AW11" s="160"/>
      <c r="AX11" s="160"/>
      <c r="AY11" s="160"/>
      <c r="AZ11" s="160"/>
      <c r="BA11" s="160"/>
      <c r="BB11" s="160"/>
      <c r="BC11" s="160"/>
      <c r="BD11" s="160"/>
      <c r="BE11" s="160"/>
      <c r="BF11" s="160"/>
    </row>
    <row r="12" spans="1:58">
      <c r="A12" s="82"/>
      <c r="B12" s="82"/>
      <c r="C12" s="83"/>
      <c r="D12" s="83"/>
      <c r="E12" s="82"/>
      <c r="F12" s="70">
        <v>11</v>
      </c>
      <c r="G12" s="71" t="s">
        <v>319</v>
      </c>
      <c r="H12" s="62"/>
      <c r="I12" s="91">
        <v>6</v>
      </c>
      <c r="J12" s="76" t="s">
        <v>319</v>
      </c>
      <c r="K12" s="77"/>
      <c r="L12" s="78" t="str">
        <f>IF(K12="","",IF(K12=K13,"R",""))</f>
        <v/>
      </c>
      <c r="M12" s="81">
        <f>INDEX(Results!T:T,MATCH(J12,Results!V:V,0))</f>
        <v>-0.40404040404040309</v>
      </c>
      <c r="N12" s="62"/>
      <c r="O12" s="91">
        <v>6</v>
      </c>
      <c r="P12" s="674" t="s">
        <v>319</v>
      </c>
      <c r="Q12" s="77">
        <v>-0.67692307692307629</v>
      </c>
      <c r="R12" s="88" t="str">
        <f>IF(Q12="","",IF(Q12=Q13,"R",""))</f>
        <v/>
      </c>
      <c r="S12" s="85">
        <f>INDEX(Results!T:T,MATCH(P12,Results!V:V,0))</f>
        <v>-0.40404040404040309</v>
      </c>
      <c r="T12" s="63"/>
      <c r="U12" s="65">
        <v>6</v>
      </c>
      <c r="V12" s="73" t="str">
        <f>IF(Q22=Q23,"Await earlier tie",IF(Q22&lt;Q23,P23,P22))</f>
        <v>Frank Allen</v>
      </c>
      <c r="W12" s="77">
        <v>-1.0674999999999999</v>
      </c>
      <c r="X12" s="88" t="str">
        <f>IF(W12="","",IF(W12=W13,"R",""))</f>
        <v/>
      </c>
      <c r="Y12" s="85">
        <f>INDEX(Results!T:T,MATCH(V12,Results!V:V,0))</f>
        <v>21.781818181818181</v>
      </c>
      <c r="Z12" s="63"/>
      <c r="AA12" s="65">
        <v>6</v>
      </c>
      <c r="AB12" s="73" t="str">
        <f>IF(W22=W23,"Await earlier tie",IF(W22&lt;W23,V23,V22))</f>
        <v>Chris Griffin</v>
      </c>
      <c r="AC12" s="102">
        <v>-5.5555555555555554</v>
      </c>
      <c r="AD12" s="78" t="str">
        <f>IF(AC12="","",IF(AC12=AC13,"R",""))</f>
        <v/>
      </c>
      <c r="AE12" s="85">
        <f>INDEX(Results!T:T,MATCH(AB12,Results!V:V,0))</f>
        <v>-4.8499999999999996</v>
      </c>
      <c r="AF12" s="82"/>
      <c r="AG12" s="62" t="s">
        <v>148</v>
      </c>
      <c r="AH12" s="62"/>
      <c r="AI12" s="93"/>
      <c r="AJ12" s="62"/>
      <c r="AK12" s="87"/>
      <c r="AL12" s="82"/>
      <c r="AM12" s="82"/>
      <c r="AN12" s="82"/>
      <c r="AO12" s="82"/>
      <c r="AP12" s="82"/>
      <c r="AQ12" s="82"/>
      <c r="AR12" s="82"/>
      <c r="AS12" s="82"/>
      <c r="AT12" s="160"/>
      <c r="AU12" s="160"/>
      <c r="AV12" s="160"/>
      <c r="AW12" s="160"/>
      <c r="AX12" s="160"/>
      <c r="AY12" s="160"/>
      <c r="AZ12" s="160"/>
      <c r="BA12" s="160"/>
      <c r="BB12" s="160"/>
      <c r="BC12" s="160"/>
      <c r="BD12" s="160"/>
      <c r="BE12" s="160"/>
      <c r="BF12" s="160"/>
    </row>
    <row r="13" spans="1:58">
      <c r="A13" s="82"/>
      <c r="B13" s="390" t="s">
        <v>475</v>
      </c>
      <c r="C13" s="582" t="s">
        <v>476</v>
      </c>
      <c r="D13" s="583" t="s">
        <v>522</v>
      </c>
      <c r="E13" s="82"/>
      <c r="F13" s="70">
        <v>12</v>
      </c>
      <c r="G13" s="71" t="s">
        <v>383</v>
      </c>
      <c r="H13" s="62"/>
      <c r="I13" s="90"/>
      <c r="J13" s="76" t="s">
        <v>383</v>
      </c>
      <c r="K13" s="77"/>
      <c r="L13" s="79"/>
      <c r="M13" s="81">
        <f>INDEX(Results!T:T,MATCH(J13,Results!V:V,0))</f>
        <v>0</v>
      </c>
      <c r="N13" s="62"/>
      <c r="O13" s="90"/>
      <c r="P13" s="674" t="s">
        <v>383</v>
      </c>
      <c r="Q13" s="77">
        <v>-7</v>
      </c>
      <c r="R13" s="66"/>
      <c r="S13" s="85">
        <f>INDEX(Results!T:T,MATCH(P13,Results!V:V,0))</f>
        <v>0</v>
      </c>
      <c r="T13" s="63"/>
      <c r="U13" s="68"/>
      <c r="V13" s="73" t="str">
        <f>IF(Q24=Q25,"Await earlier tie",IF(Q24&lt;Q25,P25,P24))</f>
        <v>Pete Baron</v>
      </c>
      <c r="W13" s="77">
        <v>-4</v>
      </c>
      <c r="X13" s="69"/>
      <c r="Y13" s="85">
        <f>INDEX(Results!T:T,MATCH(V13,Results!V:V,0))</f>
        <v>-7</v>
      </c>
      <c r="Z13" s="63"/>
      <c r="AA13" s="68"/>
      <c r="AB13" s="73" t="str">
        <f>IF(W24=W25,"Await earlier tie",IF(W24&lt;W25,V25,V24))</f>
        <v>Stephen Troop</v>
      </c>
      <c r="AC13" s="102">
        <v>-5.35</v>
      </c>
      <c r="AD13" s="69"/>
      <c r="AE13" s="85">
        <f>INDEX(Results!T:T,MATCH(AB13,Results!V:V,0))</f>
        <v>-7</v>
      </c>
      <c r="AF13" s="82"/>
      <c r="AG13" s="65"/>
      <c r="AH13" s="75"/>
      <c r="AI13" s="77"/>
      <c r="AJ13" s="88" t="str">
        <f>IF(AI13="","",IF(AI13=AI14,"R",""))</f>
        <v/>
      </c>
      <c r="AK13" s="1"/>
      <c r="AL13" s="82"/>
      <c r="AM13" s="82"/>
      <c r="AN13" s="82"/>
      <c r="AO13" s="82"/>
      <c r="AP13" s="82"/>
      <c r="AQ13" s="82"/>
      <c r="AR13" s="82"/>
      <c r="AS13" s="82"/>
      <c r="AT13" s="160"/>
      <c r="AU13" s="160"/>
      <c r="AV13" s="160"/>
      <c r="AW13" s="160"/>
      <c r="AX13" s="160"/>
      <c r="AY13" s="160"/>
      <c r="AZ13" s="160"/>
      <c r="BA13" s="160"/>
      <c r="BB13" s="160"/>
      <c r="BC13" s="160"/>
      <c r="BD13" s="160"/>
      <c r="BE13" s="160"/>
      <c r="BF13" s="160"/>
    </row>
    <row r="14" spans="1:58">
      <c r="A14" s="114" t="s">
        <v>471</v>
      </c>
      <c r="B14" s="390"/>
      <c r="C14" s="582" t="str">
        <f>IF(ISERROR(INDEX(Diary!B:B,MATCH(B14,Diary!C:C,0))),"",INDEX(Diary!B:B,MATCH(B14,Diary!C:C,0)))</f>
        <v/>
      </c>
      <c r="D14" s="583" t="str">
        <f>IF(C14="","",IF(INDEX(Diary!D:D,MATCH(B14,Diary!C:C,0))="*","*"," "))</f>
        <v/>
      </c>
      <c r="E14" s="82"/>
      <c r="F14" s="70">
        <v>13</v>
      </c>
      <c r="G14" s="71" t="s">
        <v>382</v>
      </c>
      <c r="H14" s="62"/>
      <c r="I14" s="91">
        <v>7</v>
      </c>
      <c r="J14" s="76" t="s">
        <v>382</v>
      </c>
      <c r="K14" s="77"/>
      <c r="L14" s="78" t="str">
        <f>IF(K14="","",IF(K14=K15,"R",""))</f>
        <v/>
      </c>
      <c r="M14" s="81">
        <f>INDEX(Results!T:T,MATCH(J14,Results!V:V,0))</f>
        <v>-3</v>
      </c>
      <c r="N14" s="62"/>
      <c r="O14" s="91">
        <v>7</v>
      </c>
      <c r="P14" s="674" t="s">
        <v>382</v>
      </c>
      <c r="Q14" s="77">
        <v>-0.22857142857142954</v>
      </c>
      <c r="R14" s="88" t="str">
        <f>IF(Q14="","",IF(Q14=Q15,"R",""))</f>
        <v/>
      </c>
      <c r="S14" s="85">
        <f>INDEX(Results!T:T,MATCH(P14,Results!V:V,0))</f>
        <v>-3</v>
      </c>
      <c r="T14" s="63"/>
      <c r="U14" s="65">
        <v>7</v>
      </c>
      <c r="V14" s="73" t="str">
        <f>IF(Q26=Q27,"Await earlier tie",IF(Q26&lt;Q27,P27,P26))</f>
        <v>Ian Davies</v>
      </c>
      <c r="W14" s="77">
        <v>-7</v>
      </c>
      <c r="X14" s="88" t="str">
        <f>IF(W14="","",IF(W14=W15,"R",""))</f>
        <v/>
      </c>
      <c r="Y14" s="85">
        <f>INDEX(Results!T:T,MATCH(V14,Results!V:V,0))</f>
        <v>-3</v>
      </c>
      <c r="Z14" s="63"/>
      <c r="AA14" s="65">
        <v>7</v>
      </c>
      <c r="AB14" s="73" t="str">
        <f>IF(W26=W27,"Await earlier tie",IF(W26&lt;W27,V27,V26))</f>
        <v>Mark Saunders</v>
      </c>
      <c r="AC14" s="102">
        <v>-4.3</v>
      </c>
      <c r="AD14" s="78" t="str">
        <f>IF(AC14="","",IF(AC14=AC15,"R",""))</f>
        <v/>
      </c>
      <c r="AE14" s="85">
        <f>INDEX(Results!T:T,MATCH(AB14,Results!V:V,0))</f>
        <v>-2.0600000000000005</v>
      </c>
      <c r="AF14" s="82"/>
      <c r="AG14" s="68"/>
      <c r="AH14" s="75"/>
      <c r="AI14" s="77"/>
      <c r="AJ14" s="69"/>
      <c r="AK14" s="87"/>
      <c r="AL14" s="82"/>
      <c r="AM14" s="82"/>
      <c r="AN14" s="82"/>
      <c r="AO14" s="82"/>
      <c r="AP14" s="82"/>
      <c r="AQ14" s="82"/>
      <c r="AR14" s="82"/>
      <c r="AS14" s="82"/>
      <c r="AT14" s="160"/>
      <c r="AU14" s="160"/>
      <c r="AV14" s="160"/>
      <c r="AW14" s="160"/>
      <c r="AX14" s="160"/>
      <c r="AY14" s="160"/>
      <c r="AZ14" s="160"/>
      <c r="BA14" s="160"/>
      <c r="BB14" s="160"/>
      <c r="BC14" s="160"/>
      <c r="BD14" s="160"/>
      <c r="BE14" s="160"/>
      <c r="BF14" s="160"/>
    </row>
    <row r="15" spans="1:58">
      <c r="A15" s="114" t="s">
        <v>472</v>
      </c>
      <c r="B15" s="390">
        <v>5</v>
      </c>
      <c r="C15" s="582">
        <v>44450</v>
      </c>
      <c r="D15" s="583" t="str">
        <f>IF(INDEX(Diary!D:D,MATCH(B15,Diary!C:C,0))="D","*"," ")</f>
        <v xml:space="preserve"> </v>
      </c>
      <c r="E15" s="82"/>
      <c r="F15" s="70">
        <v>14</v>
      </c>
      <c r="G15" s="71" t="s">
        <v>299</v>
      </c>
      <c r="H15" s="62"/>
      <c r="I15" s="90"/>
      <c r="J15" s="76" t="s">
        <v>299</v>
      </c>
      <c r="K15" s="77"/>
      <c r="L15" s="79"/>
      <c r="M15" s="81">
        <f>INDEX(Results!T:T,MATCH(J15,Results!V:V,0))</f>
        <v>-7</v>
      </c>
      <c r="N15" s="62"/>
      <c r="O15" s="90"/>
      <c r="P15" s="674" t="s">
        <v>299</v>
      </c>
      <c r="Q15" s="77">
        <v>-7</v>
      </c>
      <c r="R15" s="66"/>
      <c r="S15" s="85">
        <f>INDEX(Results!T:T,MATCH(P15,Results!V:V,0))</f>
        <v>-7</v>
      </c>
      <c r="T15" s="63"/>
      <c r="U15" s="68"/>
      <c r="V15" s="73" t="str">
        <f>IF(Q28=Q29,"Await earlier tie",IF(Q28&lt;Q29,P29,P28))</f>
        <v>Mal Stott</v>
      </c>
      <c r="W15" s="77">
        <v>0.18181818181818166</v>
      </c>
      <c r="X15" s="69"/>
      <c r="Y15" s="85">
        <f>INDEX(Results!T:T,MATCH(V15,Results!V:V,0))</f>
        <v>14.680000000000003</v>
      </c>
      <c r="Z15" s="63"/>
      <c r="AA15" s="68"/>
      <c r="AB15" s="73" t="str">
        <f>IF(W28=W29,"Await earlier tie",IF(W28&lt;W29,V29,V28))</f>
        <v>Paul Fiddler</v>
      </c>
      <c r="AC15" s="102">
        <v>0.82000000000000028</v>
      </c>
      <c r="AD15" s="69"/>
      <c r="AE15" s="85">
        <f>INDEX(Results!T:T,MATCH(AB15,Results!V:V,0))</f>
        <v>-1.4000000000000004</v>
      </c>
      <c r="AF15" s="82"/>
      <c r="AG15" s="65"/>
      <c r="AH15" s="67"/>
      <c r="AI15" s="77"/>
      <c r="AJ15" s="88" t="str">
        <f>IF(AI15="","",IF(AI15=AI16,"R",""))</f>
        <v/>
      </c>
      <c r="AK15" s="87"/>
      <c r="AL15" s="82"/>
      <c r="AM15" s="82"/>
      <c r="AN15" s="82"/>
      <c r="AO15" s="82"/>
      <c r="AP15" s="82"/>
      <c r="AQ15" s="82"/>
      <c r="AR15" s="82"/>
      <c r="AS15" s="82"/>
      <c r="AT15" s="160"/>
      <c r="AU15" s="160"/>
      <c r="AV15" s="160"/>
      <c r="AW15" s="160"/>
      <c r="AX15" s="160"/>
      <c r="AY15" s="160"/>
      <c r="AZ15" s="160"/>
      <c r="BA15" s="160"/>
      <c r="BB15" s="160"/>
      <c r="BC15" s="160"/>
      <c r="BD15" s="160"/>
      <c r="BE15" s="160"/>
      <c r="BF15" s="160"/>
    </row>
    <row r="16" spans="1:58">
      <c r="A16" s="114" t="s">
        <v>138</v>
      </c>
      <c r="B16" s="390">
        <v>8</v>
      </c>
      <c r="C16" s="582">
        <v>44471</v>
      </c>
      <c r="D16" s="583" t="str">
        <f>IF(INDEX(Diary!D:D,MATCH(B16,Diary!C:C,0))="D","*"," ")</f>
        <v xml:space="preserve"> </v>
      </c>
      <c r="E16" s="82"/>
      <c r="F16" s="70">
        <v>15</v>
      </c>
      <c r="G16" s="71" t="s">
        <v>309</v>
      </c>
      <c r="H16" s="62"/>
      <c r="I16" s="91">
        <v>8</v>
      </c>
      <c r="J16" s="76" t="s">
        <v>309</v>
      </c>
      <c r="K16" s="77"/>
      <c r="L16" s="78" t="str">
        <f>IF(K16="","",IF(K16=K17,"R",""))</f>
        <v/>
      </c>
      <c r="M16" s="81">
        <f>INDEX(Results!T:T,MATCH(J16,Results!V:V,0))</f>
        <v>-5.5555555555555554</v>
      </c>
      <c r="N16" s="62"/>
      <c r="O16" s="91">
        <v>8</v>
      </c>
      <c r="P16" s="674" t="s">
        <v>309</v>
      </c>
      <c r="Q16" s="77">
        <v>-7</v>
      </c>
      <c r="R16" s="88" t="str">
        <f>IF(Q16="","",IF(Q16=Q17,"R",""))</f>
        <v/>
      </c>
      <c r="S16" s="85">
        <f>INDEX(Results!T:T,MATCH(P16,Results!V:V,0))</f>
        <v>-5.5555555555555554</v>
      </c>
      <c r="T16" s="63"/>
      <c r="U16" s="65">
        <v>8</v>
      </c>
      <c r="V16" s="73" t="str">
        <f>IF(Q30=Q31,"Await earlier tie",IF(Q30&lt;Q31,P31,P30))</f>
        <v>John Ronan</v>
      </c>
      <c r="W16" s="77">
        <v>-5</v>
      </c>
      <c r="X16" s="88" t="str">
        <f>IF(W16="","",IF(W16=W17,"R",""))</f>
        <v/>
      </c>
      <c r="Y16" s="85">
        <f>INDEX(Results!T:T,MATCH(V16,Results!V:V,0))</f>
        <v>-5.2777777777777777</v>
      </c>
      <c r="Z16" s="63"/>
      <c r="AA16" s="65">
        <v>8</v>
      </c>
      <c r="AB16" s="73" t="str">
        <f>IF(W30=W31,"Await earlier tie",IF(W30&lt;W31,V31,V30))</f>
        <v>Rob England</v>
      </c>
      <c r="AC16" s="102">
        <v>-5.45</v>
      </c>
      <c r="AD16" s="78" t="str">
        <f>IF(AC16="","",IF(AC16=AC17,"R",""))</f>
        <v/>
      </c>
      <c r="AE16" s="85">
        <f>INDEX(Results!T:T,MATCH(AB16,Results!V:V,0))</f>
        <v>15.466666666666669</v>
      </c>
      <c r="AF16" s="82"/>
      <c r="AG16" s="72"/>
      <c r="AH16" s="67"/>
      <c r="AI16" s="77"/>
      <c r="AJ16" s="66"/>
      <c r="AK16" s="87"/>
      <c r="AL16" s="82"/>
      <c r="AM16" s="82"/>
      <c r="AN16" s="82"/>
      <c r="AO16" s="82"/>
      <c r="AP16" s="82"/>
      <c r="AQ16" s="82"/>
      <c r="AR16" s="82"/>
      <c r="AS16" s="82"/>
      <c r="AT16" s="160"/>
      <c r="AU16" s="160"/>
      <c r="AV16" s="160"/>
      <c r="AW16" s="160"/>
      <c r="AX16" s="160"/>
      <c r="AY16" s="160"/>
      <c r="AZ16" s="160"/>
      <c r="BA16" s="160"/>
      <c r="BB16" s="160"/>
      <c r="BC16" s="160"/>
      <c r="BD16" s="160"/>
      <c r="BE16" s="160"/>
      <c r="BF16" s="160"/>
    </row>
    <row r="17" spans="1:58">
      <c r="A17" s="114" t="s">
        <v>473</v>
      </c>
      <c r="B17" s="390">
        <v>11</v>
      </c>
      <c r="C17" s="582">
        <v>44492</v>
      </c>
      <c r="D17" s="583" t="str">
        <f>IF(INDEX(Diary!D:D,MATCH(B17,Diary!C:C,0))="D","*"," ")</f>
        <v xml:space="preserve"> </v>
      </c>
      <c r="E17" s="82"/>
      <c r="F17" s="70">
        <v>16</v>
      </c>
      <c r="G17" s="71" t="s">
        <v>287</v>
      </c>
      <c r="H17" s="62"/>
      <c r="I17" s="90"/>
      <c r="J17" s="76" t="s">
        <v>287</v>
      </c>
      <c r="K17" s="77"/>
      <c r="L17" s="79"/>
      <c r="M17" s="81">
        <f>INDEX(Results!T:T,MATCH(J17,Results!V:V,0))</f>
        <v>-0.30499999999999972</v>
      </c>
      <c r="N17" s="62"/>
      <c r="O17" s="90"/>
      <c r="P17" s="674" t="s">
        <v>287</v>
      </c>
      <c r="Q17" s="77">
        <v>-5.384615384615385</v>
      </c>
      <c r="R17" s="66"/>
      <c r="S17" s="85">
        <f>INDEX(Results!T:T,MATCH(P17,Results!V:V,0))</f>
        <v>-0.30499999999999972</v>
      </c>
      <c r="T17" s="63"/>
      <c r="U17" s="68"/>
      <c r="V17" s="73" t="str">
        <f>IF(Q32=Q33,"Await earlier tie",IF(Q32&lt;Q33,P33,P32))</f>
        <v>Steve Baxter</v>
      </c>
      <c r="W17" s="77">
        <v>-5.65</v>
      </c>
      <c r="X17" s="69"/>
      <c r="Y17" s="85">
        <f>INDEX(Results!T:T,MATCH(V17,Results!V:V,0))</f>
        <v>11.818803418803419</v>
      </c>
      <c r="Z17" s="63"/>
      <c r="AA17" s="72"/>
      <c r="AB17" s="73" t="str">
        <f>IF(W32=W33,"Await earlier tie",IF(W32&lt;W33,V33,V32))</f>
        <v>Dan Gibbard</v>
      </c>
      <c r="AC17" s="102">
        <v>-4.75</v>
      </c>
      <c r="AD17" s="66"/>
      <c r="AE17" s="85">
        <f>INDEX(Results!T:T,MATCH(AB17,Results!V:V,0))</f>
        <v>-1.3</v>
      </c>
      <c r="AF17" s="82"/>
      <c r="AG17" s="65"/>
      <c r="AH17" s="75"/>
      <c r="AI17" s="77"/>
      <c r="AJ17" s="88" t="str">
        <f>IF(AI17="","",IF(AI17=AI18,"R",""))</f>
        <v/>
      </c>
      <c r="AK17" s="87"/>
      <c r="AL17" s="82"/>
      <c r="AM17" s="82"/>
      <c r="AN17" s="82"/>
      <c r="AO17" s="82"/>
      <c r="AP17" s="82"/>
      <c r="AQ17" s="82"/>
      <c r="AR17" s="82"/>
      <c r="AS17" s="82"/>
      <c r="AT17" s="160"/>
      <c r="AU17" s="160"/>
      <c r="AV17" s="160"/>
      <c r="AW17" s="160"/>
      <c r="AX17" s="160"/>
      <c r="AY17" s="160"/>
      <c r="AZ17" s="160"/>
      <c r="BA17" s="160"/>
      <c r="BB17" s="160"/>
      <c r="BC17" s="160"/>
      <c r="BD17" s="160"/>
      <c r="BE17" s="160"/>
      <c r="BF17" s="160"/>
    </row>
    <row r="18" spans="1:58">
      <c r="A18" s="114" t="s">
        <v>474</v>
      </c>
      <c r="B18" s="390">
        <v>14</v>
      </c>
      <c r="C18" s="582">
        <v>44513</v>
      </c>
      <c r="D18" s="583" t="str">
        <f>IF(INDEX(Diary!D:D,MATCH(B18,Diary!C:C,0))="D","*"," ")</f>
        <v xml:space="preserve"> </v>
      </c>
      <c r="E18" s="82"/>
      <c r="F18" s="70">
        <v>17</v>
      </c>
      <c r="G18" s="71" t="s">
        <v>461</v>
      </c>
      <c r="H18" s="62"/>
      <c r="I18" s="91">
        <v>9</v>
      </c>
      <c r="J18" s="76" t="s">
        <v>461</v>
      </c>
      <c r="K18" s="77"/>
      <c r="L18" s="78" t="str">
        <f>IF(K18="","",IF(K18=K19,"R",""))</f>
        <v/>
      </c>
      <c r="M18" s="81">
        <f>INDEX(Results!T:T,MATCH(J18,Results!V:V,0))</f>
        <v>1.163636363636364</v>
      </c>
      <c r="N18" s="62"/>
      <c r="O18" s="91">
        <v>9</v>
      </c>
      <c r="P18" s="674" t="s">
        <v>461</v>
      </c>
      <c r="Q18" s="77">
        <v>-7</v>
      </c>
      <c r="R18" s="88" t="str">
        <f>IF(Q18="","",IF(Q18=Q19,"R",""))</f>
        <v/>
      </c>
      <c r="S18" s="85">
        <f>INDEX(Results!T:T,MATCH(P18,Results!V:V,0))</f>
        <v>1.163636363636364</v>
      </c>
      <c r="T18" s="63"/>
      <c r="U18" s="65">
        <v>9</v>
      </c>
      <c r="V18" s="73" t="str">
        <f>IF(Q34=Q35,"Await earlier tie",IF(Q34&lt;Q35,P35,P34))</f>
        <v>Alan Bond</v>
      </c>
      <c r="W18" s="77">
        <v>-4.75</v>
      </c>
      <c r="X18" s="88" t="str">
        <f>IF(W18="","",IF(W18=W19,"R",""))</f>
        <v/>
      </c>
      <c r="Y18" s="85">
        <f>INDEX(Results!T:T,MATCH(V18,Results!V:V,0))</f>
        <v>-5.15</v>
      </c>
      <c r="Z18" s="63"/>
      <c r="AA18" s="62"/>
      <c r="AB18" s="62"/>
      <c r="AC18" s="62"/>
      <c r="AD18" s="62"/>
      <c r="AE18" s="87"/>
      <c r="AF18" s="82"/>
      <c r="AG18" s="68"/>
      <c r="AH18" s="75"/>
      <c r="AI18" s="77"/>
      <c r="AJ18" s="69"/>
      <c r="AK18" s="87"/>
      <c r="AL18" s="82"/>
      <c r="AM18" s="82"/>
      <c r="AN18" s="82"/>
      <c r="AO18" s="82"/>
      <c r="AP18" s="82"/>
      <c r="AQ18" s="82"/>
      <c r="AR18" s="82"/>
      <c r="AS18" s="82"/>
      <c r="AT18" s="160"/>
      <c r="AU18" s="160"/>
      <c r="AV18" s="160"/>
      <c r="AW18" s="160"/>
      <c r="AX18" s="160"/>
      <c r="AY18" s="160"/>
      <c r="AZ18" s="160"/>
      <c r="BA18" s="160"/>
      <c r="BB18" s="160"/>
      <c r="BC18" s="160"/>
      <c r="BD18" s="160"/>
      <c r="BE18" s="160"/>
      <c r="BF18" s="160"/>
    </row>
    <row r="19" spans="1:58">
      <c r="A19" s="114" t="s">
        <v>144</v>
      </c>
      <c r="B19" s="390">
        <v>17</v>
      </c>
      <c r="C19" s="582">
        <v>44534</v>
      </c>
      <c r="D19" s="583" t="str">
        <f>IF(INDEX(Diary!D:D,MATCH(B19,Diary!C:C,0))="D","*"," ")</f>
        <v xml:space="preserve"> </v>
      </c>
      <c r="E19" s="82"/>
      <c r="F19" s="70">
        <v>18</v>
      </c>
      <c r="G19" s="71" t="s">
        <v>302</v>
      </c>
      <c r="H19" s="62"/>
      <c r="I19" s="90"/>
      <c r="J19" s="76" t="s">
        <v>302</v>
      </c>
      <c r="K19" s="77"/>
      <c r="L19" s="79"/>
      <c r="M19" s="81" t="e">
        <f>INDEX(Results!T:T,MATCH(J19,Results!V:V,0))</f>
        <v>#VALUE!</v>
      </c>
      <c r="N19" s="62"/>
      <c r="O19" s="90"/>
      <c r="P19" s="674" t="s">
        <v>302</v>
      </c>
      <c r="Q19" s="77">
        <v>-1.8285714285714292</v>
      </c>
      <c r="R19" s="66"/>
      <c r="S19" s="85" t="e">
        <f>INDEX(Results!T:T,MATCH(P19,Results!V:V,0))</f>
        <v>#VALUE!</v>
      </c>
      <c r="T19" s="63"/>
      <c r="U19" s="68"/>
      <c r="V19" s="73" t="str">
        <f>IF(Q36=Q37,"Await earlier tie",IF(Q36&lt;Q37,P37,P36))</f>
        <v>Steve Carter</v>
      </c>
      <c r="W19" s="77">
        <v>-7</v>
      </c>
      <c r="X19" s="69"/>
      <c r="Y19" s="85">
        <f>INDEX(Results!T:T,MATCH(V19,Results!V:V,0))</f>
        <v>1.7650000000000006</v>
      </c>
      <c r="Z19" s="63"/>
      <c r="AA19" s="62"/>
      <c r="AB19" s="62"/>
      <c r="AC19" s="62"/>
      <c r="AD19" s="62"/>
      <c r="AE19" s="87"/>
      <c r="AF19" s="82"/>
      <c r="AG19" s="65"/>
      <c r="AH19" s="67"/>
      <c r="AI19" s="77"/>
      <c r="AJ19" s="88" t="str">
        <f>IF(AI19="","",IF(AI19=AI20,"R",""))</f>
        <v/>
      </c>
      <c r="AK19" s="87"/>
      <c r="AL19" s="82"/>
      <c r="AM19" s="82"/>
      <c r="AN19" s="82"/>
      <c r="AO19" s="82"/>
      <c r="AP19" s="82"/>
      <c r="AQ19" s="82"/>
      <c r="AR19" s="82"/>
      <c r="AS19" s="82"/>
      <c r="AT19" s="160"/>
      <c r="AU19" s="160"/>
      <c r="AV19" s="160"/>
      <c r="AW19" s="160"/>
      <c r="AX19" s="160"/>
      <c r="AY19" s="160"/>
      <c r="AZ19" s="160"/>
      <c r="BA19" s="160"/>
      <c r="BB19" s="160"/>
      <c r="BC19" s="160"/>
      <c r="BD19" s="160"/>
      <c r="BE19" s="160"/>
      <c r="BF19" s="160"/>
    </row>
    <row r="20" spans="1:58">
      <c r="A20" s="114" t="s">
        <v>18</v>
      </c>
      <c r="B20" s="390">
        <v>18</v>
      </c>
      <c r="C20" s="582">
        <v>44541</v>
      </c>
      <c r="D20" s="583" t="str">
        <f>IF(INDEX(Diary!D:D,MATCH(B20,Diary!C:C,0))="D","*"," ")</f>
        <v xml:space="preserve"> </v>
      </c>
      <c r="E20" s="82"/>
      <c r="F20" s="70">
        <v>19</v>
      </c>
      <c r="G20" s="71" t="s">
        <v>321</v>
      </c>
      <c r="H20" s="62"/>
      <c r="I20" s="91">
        <v>10</v>
      </c>
      <c r="J20" s="76" t="s">
        <v>321</v>
      </c>
      <c r="K20" s="77"/>
      <c r="L20" s="78" t="str">
        <f>IF(K20="","",IF(K20=K21,"R",""))</f>
        <v/>
      </c>
      <c r="M20" s="81">
        <f>INDEX(Results!T:T,MATCH(J20,Results!V:V,0))</f>
        <v>-1.3</v>
      </c>
      <c r="N20" s="62"/>
      <c r="O20" s="91">
        <v>10</v>
      </c>
      <c r="P20" s="674" t="s">
        <v>321</v>
      </c>
      <c r="Q20" s="77">
        <v>-7</v>
      </c>
      <c r="R20" s="88" t="str">
        <f>IF(Q20="","",IF(Q20=Q21,"R",""))</f>
        <v/>
      </c>
      <c r="S20" s="85">
        <f>INDEX(Results!T:T,MATCH(P20,Results!V:V,0))</f>
        <v>-1.3</v>
      </c>
      <c r="T20" s="63"/>
      <c r="U20" s="65">
        <v>10</v>
      </c>
      <c r="V20" s="73" t="str">
        <f>IF(Q38=Q39,"Await earlier tie",IF(Q38&lt;Q39,P39,P38))</f>
        <v>Dave Orrell</v>
      </c>
      <c r="W20" s="77">
        <v>0.84999999999999964</v>
      </c>
      <c r="X20" s="88" t="str">
        <f>IF(W20="","",IF(W20=W21,"R",""))</f>
        <v/>
      </c>
      <c r="Y20" s="85">
        <f>INDEX(Results!T:T,MATCH(V20,Results!V:V,0))</f>
        <v>-1.1709401709401703</v>
      </c>
      <c r="Z20" s="63"/>
      <c r="AA20" s="62"/>
      <c r="AB20" s="62"/>
      <c r="AC20" s="62"/>
      <c r="AD20" s="62"/>
      <c r="AE20" s="87"/>
      <c r="AF20" s="82"/>
      <c r="AG20" s="72"/>
      <c r="AH20" s="67"/>
      <c r="AI20" s="77"/>
      <c r="AJ20" s="66"/>
      <c r="AK20" s="87"/>
      <c r="AL20" s="82"/>
      <c r="AM20" s="82"/>
      <c r="AN20" s="82"/>
      <c r="AO20" s="82"/>
      <c r="AP20" s="82"/>
      <c r="AQ20" s="82"/>
      <c r="AR20" s="82"/>
      <c r="AS20" s="82"/>
      <c r="AT20" s="160"/>
      <c r="AU20" s="160"/>
      <c r="AV20" s="160"/>
      <c r="AW20" s="160"/>
      <c r="AX20" s="160"/>
      <c r="AY20" s="160"/>
      <c r="AZ20" s="160"/>
      <c r="BA20" s="160"/>
      <c r="BB20" s="160"/>
      <c r="BC20" s="160"/>
      <c r="BD20" s="160"/>
      <c r="BE20" s="160"/>
      <c r="BF20" s="160"/>
    </row>
    <row r="21" spans="1:58">
      <c r="A21" s="82"/>
      <c r="B21" s="82"/>
      <c r="C21" s="83"/>
      <c r="D21" s="83"/>
      <c r="E21" s="82"/>
      <c r="F21" s="70">
        <v>20</v>
      </c>
      <c r="G21" s="71" t="s">
        <v>293</v>
      </c>
      <c r="H21" s="62"/>
      <c r="I21" s="90"/>
      <c r="J21" s="76" t="s">
        <v>293</v>
      </c>
      <c r="K21" s="77"/>
      <c r="L21" s="79"/>
      <c r="M21" s="81">
        <f>INDEX(Results!T:T,MATCH(J21,Results!V:V,0))</f>
        <v>-1.4000000000000004</v>
      </c>
      <c r="N21" s="62"/>
      <c r="O21" s="90"/>
      <c r="P21" s="674" t="s">
        <v>293</v>
      </c>
      <c r="Q21" s="77">
        <v>-1.0256410256410255</v>
      </c>
      <c r="R21" s="66"/>
      <c r="S21" s="85">
        <f>INDEX(Results!T:T,MATCH(P21,Results!V:V,0))</f>
        <v>-1.4000000000000004</v>
      </c>
      <c r="T21" s="63"/>
      <c r="U21" s="68"/>
      <c r="V21" s="73" t="str">
        <f>IF(Q40=Q41,"Await earlier tie",IF(Q40&lt;Q41,P41,P40))</f>
        <v>Gerard Ventom</v>
      </c>
      <c r="W21" s="77">
        <v>-7</v>
      </c>
      <c r="X21" s="69"/>
      <c r="Y21" s="85">
        <f>INDEX(Results!T:T,MATCH(V21,Results!V:V,0))</f>
        <v>-7</v>
      </c>
      <c r="Z21" s="63"/>
      <c r="AA21" s="62" t="s">
        <v>148</v>
      </c>
      <c r="AB21" s="62"/>
      <c r="AC21" s="62"/>
      <c r="AD21" s="62"/>
      <c r="AE21" s="87"/>
      <c r="AF21" s="82"/>
      <c r="AG21" s="82"/>
      <c r="AH21" s="82"/>
      <c r="AI21" s="82"/>
      <c r="AJ21" s="82"/>
      <c r="AK21" s="82"/>
      <c r="AL21" s="82"/>
      <c r="AM21" s="82"/>
      <c r="AN21" s="82"/>
      <c r="AO21" s="82"/>
      <c r="AP21" s="82"/>
      <c r="AQ21" s="82"/>
      <c r="AR21" s="82"/>
      <c r="AS21" s="82"/>
      <c r="AT21" s="160"/>
      <c r="AU21" s="160"/>
      <c r="AV21" s="160"/>
      <c r="AW21" s="160"/>
      <c r="AX21" s="160"/>
      <c r="AY21" s="160"/>
      <c r="AZ21" s="160"/>
      <c r="BA21" s="160"/>
      <c r="BB21" s="160"/>
      <c r="BC21" s="160"/>
      <c r="BD21" s="160"/>
      <c r="BE21" s="160"/>
      <c r="BF21" s="160"/>
    </row>
    <row r="22" spans="1:58">
      <c r="A22" s="82"/>
      <c r="B22" s="82"/>
      <c r="C22" s="83"/>
      <c r="D22" s="83"/>
      <c r="E22" s="82"/>
      <c r="F22" s="70">
        <v>21</v>
      </c>
      <c r="G22" s="71" t="s">
        <v>325</v>
      </c>
      <c r="H22" s="62"/>
      <c r="I22" s="91">
        <v>11</v>
      </c>
      <c r="J22" s="76" t="s">
        <v>325</v>
      </c>
      <c r="K22" s="77"/>
      <c r="L22" s="78" t="str">
        <f>IF(K22="","",IF(K22=K23,"R",""))</f>
        <v/>
      </c>
      <c r="M22" s="81">
        <f>INDEX(Results!T:T,MATCH(J22,Results!V:V,0))</f>
        <v>-0.93846153846153868</v>
      </c>
      <c r="N22" s="62"/>
      <c r="O22" s="91">
        <v>11</v>
      </c>
      <c r="P22" s="674" t="s">
        <v>325</v>
      </c>
      <c r="Q22" s="77">
        <v>-5.3333333333333339</v>
      </c>
      <c r="R22" s="88" t="str">
        <f>IF(Q22="","",IF(Q22=Q23,"R",""))</f>
        <v/>
      </c>
      <c r="S22" s="85">
        <f>INDEX(Results!T:T,MATCH(P22,Results!V:V,0))</f>
        <v>-0.93846153846153868</v>
      </c>
      <c r="T22" s="63"/>
      <c r="U22" s="65">
        <v>11</v>
      </c>
      <c r="V22" s="73" t="str">
        <f>IF(Q42=Q43,"Await earlier tie",IF(Q42&lt;Q43,P43,P42))</f>
        <v>Chris Griffin</v>
      </c>
      <c r="W22" s="77">
        <v>-1.0674999999999999</v>
      </c>
      <c r="X22" s="88" t="str">
        <f>IF(W22="","",IF(W22=W23,"R",""))</f>
        <v/>
      </c>
      <c r="Y22" s="85">
        <f>INDEX(Results!T:T,MATCH(V22,Results!V:V,0))</f>
        <v>-4.8499999999999996</v>
      </c>
      <c r="Z22" s="63"/>
      <c r="AA22" s="65"/>
      <c r="AB22" s="75"/>
      <c r="AC22" s="77"/>
      <c r="AD22" s="88"/>
      <c r="AE22" s="87"/>
      <c r="AF22" s="82"/>
      <c r="AG22" s="82"/>
      <c r="AH22" s="82"/>
      <c r="AI22" s="82"/>
      <c r="AJ22" s="82"/>
      <c r="AK22" s="82"/>
      <c r="AL22" s="82"/>
      <c r="AM22" s="82"/>
      <c r="AN22" s="82"/>
      <c r="AO22" s="82"/>
      <c r="AP22" s="82"/>
      <c r="AQ22" s="82"/>
      <c r="AR22" s="82"/>
      <c r="AS22" s="82"/>
      <c r="AT22" s="160"/>
      <c r="AU22" s="160"/>
      <c r="AV22" s="160"/>
      <c r="AW22" s="160"/>
      <c r="AX22" s="160"/>
      <c r="AY22" s="160"/>
      <c r="AZ22" s="160"/>
      <c r="BA22" s="160"/>
      <c r="BB22" s="160"/>
      <c r="BC22" s="160"/>
      <c r="BD22" s="160"/>
      <c r="BE22" s="160"/>
      <c r="BF22" s="160"/>
    </row>
    <row r="23" spans="1:58">
      <c r="A23" s="82"/>
      <c r="B23" s="82"/>
      <c r="C23" s="83"/>
      <c r="D23" s="83"/>
      <c r="E23" s="82"/>
      <c r="F23" s="70">
        <v>22</v>
      </c>
      <c r="G23" s="71" t="s">
        <v>553</v>
      </c>
      <c r="H23" s="62"/>
      <c r="I23" s="90"/>
      <c r="J23" s="76" t="s">
        <v>553</v>
      </c>
      <c r="K23" s="77"/>
      <c r="L23" s="79"/>
      <c r="M23" s="81">
        <f>INDEX(Results!T:T,MATCH(J23,Results!V:V,0))</f>
        <v>21.781818181818181</v>
      </c>
      <c r="N23" s="62"/>
      <c r="O23" s="90"/>
      <c r="P23" s="674" t="s">
        <v>553</v>
      </c>
      <c r="Q23" s="77">
        <v>-0.67692307692307629</v>
      </c>
      <c r="R23" s="66"/>
      <c r="S23" s="85">
        <f>INDEX(Results!T:T,MATCH(P23,Results!V:V,0))</f>
        <v>21.781818181818181</v>
      </c>
      <c r="T23" s="63"/>
      <c r="U23" s="68"/>
      <c r="V23" s="73" t="str">
        <f>IF(Q44=Q45,"Await earlier tie",IF(Q44&lt;Q45,P45,P44))</f>
        <v>Stephen Barr</v>
      </c>
      <c r="W23" s="77">
        <v>-7</v>
      </c>
      <c r="X23" s="69"/>
      <c r="Y23" s="85">
        <f>INDEX(Results!T:T,MATCH(V23,Results!V:V,0))</f>
        <v>-1.4000000000000004</v>
      </c>
      <c r="Z23" s="63"/>
      <c r="AA23" s="68"/>
      <c r="AB23" s="75"/>
      <c r="AC23" s="77"/>
      <c r="AD23" s="69"/>
      <c r="AE23" s="87"/>
      <c r="AF23" s="82"/>
      <c r="AG23" s="82"/>
      <c r="AH23" s="82"/>
      <c r="AI23" s="82"/>
      <c r="AJ23" s="82"/>
      <c r="AK23" s="82"/>
      <c r="AL23" s="82"/>
      <c r="AM23" s="82"/>
      <c r="AN23" s="82"/>
      <c r="AO23" s="82"/>
      <c r="AP23" s="82"/>
      <c r="AQ23" s="82"/>
      <c r="AR23" s="82"/>
      <c r="AS23" s="82"/>
      <c r="AT23" s="160"/>
      <c r="AU23" s="160"/>
      <c r="AV23" s="160"/>
      <c r="AW23" s="160"/>
      <c r="AX23" s="160"/>
      <c r="AY23" s="160"/>
      <c r="AZ23" s="160"/>
      <c r="BA23" s="160"/>
      <c r="BB23" s="160"/>
      <c r="BC23" s="160"/>
      <c r="BD23" s="160"/>
      <c r="BE23" s="160"/>
      <c r="BF23" s="160"/>
    </row>
    <row r="24" spans="1:58">
      <c r="A24" s="82"/>
      <c r="B24" s="82"/>
      <c r="C24" s="83"/>
      <c r="D24" s="83"/>
      <c r="E24" s="82"/>
      <c r="F24" s="70">
        <v>23</v>
      </c>
      <c r="G24" s="71" t="s">
        <v>322</v>
      </c>
      <c r="H24" s="62"/>
      <c r="I24" s="91">
        <v>12</v>
      </c>
      <c r="J24" s="76" t="s">
        <v>322</v>
      </c>
      <c r="K24" s="77"/>
      <c r="L24" s="78" t="str">
        <f>IF(K24="","",IF(K24=K25,"R",""))</f>
        <v/>
      </c>
      <c r="M24" s="81">
        <f>INDEX(Results!T:T,MATCH(J24,Results!V:V,0))</f>
        <v>-7</v>
      </c>
      <c r="N24" s="62"/>
      <c r="O24" s="91">
        <v>12</v>
      </c>
      <c r="P24" s="674" t="s">
        <v>322</v>
      </c>
      <c r="Q24" s="77">
        <v>8</v>
      </c>
      <c r="R24" s="88" t="str">
        <f>IF(Q24="","",IF(Q24=Q25,"R",""))</f>
        <v/>
      </c>
      <c r="S24" s="85">
        <f>INDEX(Results!T:T,MATCH(P24,Results!V:V,0))</f>
        <v>-7</v>
      </c>
      <c r="T24" s="63"/>
      <c r="U24" s="65">
        <v>12</v>
      </c>
      <c r="V24" s="73" t="str">
        <f>IF(Q46=Q47,"Await earlier tie",IF(Q46&lt;Q47,P47,P46))</f>
        <v>Bob Bailey</v>
      </c>
      <c r="W24" s="77">
        <v>-5.05</v>
      </c>
      <c r="X24" s="88" t="str">
        <f>IF(W24="","",IF(W24=W25,"R",""))</f>
        <v/>
      </c>
      <c r="Y24" s="85">
        <f>INDEX(Results!T:T,MATCH(V24,Results!V:V,0))</f>
        <v>-1</v>
      </c>
      <c r="Z24" s="63"/>
      <c r="AA24" s="65"/>
      <c r="AB24" s="67"/>
      <c r="AC24" s="77"/>
      <c r="AD24" s="88"/>
      <c r="AE24" s="87"/>
      <c r="AF24" s="82"/>
      <c r="AG24" s="82"/>
      <c r="AH24" s="82"/>
      <c r="AI24" s="82"/>
      <c r="AJ24" s="82"/>
      <c r="AK24" s="82"/>
      <c r="AL24" s="82"/>
      <c r="AM24" s="82"/>
      <c r="AN24" s="82"/>
      <c r="AO24" s="82"/>
      <c r="AP24" s="82"/>
      <c r="AQ24" s="82"/>
      <c r="AR24" s="82"/>
      <c r="AS24" s="82"/>
      <c r="AT24" s="160"/>
      <c r="AU24" s="160"/>
      <c r="AV24" s="160"/>
      <c r="AW24" s="160"/>
      <c r="AX24" s="160"/>
      <c r="AY24" s="160"/>
      <c r="AZ24" s="160"/>
      <c r="BA24" s="160"/>
      <c r="BB24" s="160"/>
      <c r="BC24" s="160"/>
      <c r="BD24" s="160"/>
      <c r="BE24" s="160"/>
      <c r="BF24" s="160"/>
    </row>
    <row r="25" spans="1:58">
      <c r="A25" s="82"/>
      <c r="B25" s="82"/>
      <c r="C25" s="83"/>
      <c r="D25" s="83"/>
      <c r="E25" s="82"/>
      <c r="F25" s="70">
        <v>24</v>
      </c>
      <c r="G25" s="71" t="s">
        <v>550</v>
      </c>
      <c r="H25" s="62"/>
      <c r="I25" s="90"/>
      <c r="J25" s="76" t="s">
        <v>550</v>
      </c>
      <c r="K25" s="77"/>
      <c r="L25" s="79"/>
      <c r="M25" s="81">
        <f>INDEX(Results!T:T,MATCH(J25,Results!V:V,0))</f>
        <v>5.0555555555555554</v>
      </c>
      <c r="N25" s="62"/>
      <c r="O25" s="90"/>
      <c r="P25" s="674" t="s">
        <v>550</v>
      </c>
      <c r="Q25" s="77">
        <v>-7</v>
      </c>
      <c r="R25" s="66"/>
      <c r="S25" s="85">
        <f>INDEX(Results!T:T,MATCH(P25,Results!V:V,0))</f>
        <v>5.0555555555555554</v>
      </c>
      <c r="T25" s="63"/>
      <c r="U25" s="68"/>
      <c r="V25" s="73" t="str">
        <f>IF(Q48=Q49,"Await earlier tie",IF(Q48&lt;Q49,P49,P48))</f>
        <v>Stephen Troop</v>
      </c>
      <c r="W25" s="77">
        <v>0.61249999999999982</v>
      </c>
      <c r="X25" s="69"/>
      <c r="Y25" s="85">
        <f>INDEX(Results!T:T,MATCH(V25,Results!V:V,0))</f>
        <v>-7</v>
      </c>
      <c r="Z25" s="63"/>
      <c r="AA25" s="72"/>
      <c r="AB25" s="67"/>
      <c r="AC25" s="77"/>
      <c r="AD25" s="66"/>
      <c r="AE25" s="87"/>
      <c r="AF25" s="82"/>
      <c r="AG25" s="82"/>
      <c r="AH25" s="82"/>
      <c r="AI25" s="82"/>
      <c r="AJ25" s="82"/>
      <c r="AK25" s="82"/>
      <c r="AL25" s="82"/>
      <c r="AM25" s="82"/>
      <c r="AN25" s="82"/>
      <c r="AO25" s="82"/>
      <c r="AP25" s="82"/>
      <c r="AQ25" s="82"/>
      <c r="AR25" s="82"/>
      <c r="AS25" s="82"/>
      <c r="AT25" s="160"/>
      <c r="AU25" s="160"/>
      <c r="AV25" s="160"/>
      <c r="AW25" s="160"/>
      <c r="AX25" s="160"/>
      <c r="AY25" s="160"/>
      <c r="AZ25" s="160"/>
      <c r="BA25" s="160"/>
      <c r="BB25" s="160"/>
      <c r="BC25" s="160"/>
      <c r="BD25" s="160"/>
      <c r="BE25" s="160"/>
      <c r="BF25" s="160"/>
    </row>
    <row r="26" spans="1:58">
      <c r="A26" s="82"/>
      <c r="B26" s="82"/>
      <c r="C26" s="83"/>
      <c r="D26" s="83"/>
      <c r="E26" s="82"/>
      <c r="F26" s="70">
        <v>25</v>
      </c>
      <c r="G26" s="71" t="s">
        <v>336</v>
      </c>
      <c r="H26" s="62"/>
      <c r="I26" s="91">
        <v>13</v>
      </c>
      <c r="J26" s="76" t="s">
        <v>336</v>
      </c>
      <c r="K26" s="77"/>
      <c r="L26" s="78" t="str">
        <f>IF(K26="","",IF(K26=K27,"R",""))</f>
        <v/>
      </c>
      <c r="M26" s="81" t="e">
        <f>INDEX(Results!T:T,MATCH(J26,Results!V:V,0))</f>
        <v>#VALUE!</v>
      </c>
      <c r="N26" s="62"/>
      <c r="O26" s="91">
        <v>13</v>
      </c>
      <c r="P26" s="674" t="s">
        <v>336</v>
      </c>
      <c r="Q26" s="77">
        <v>-5.7142857142857144</v>
      </c>
      <c r="R26" s="88" t="str">
        <f>IF(Q26="","",IF(Q26=Q27,"R",""))</f>
        <v/>
      </c>
      <c r="S26" s="85" t="e">
        <f>INDEX(Results!T:T,MATCH(P26,Results!V:V,0))</f>
        <v>#VALUE!</v>
      </c>
      <c r="T26" s="63"/>
      <c r="U26" s="65">
        <v>13</v>
      </c>
      <c r="V26" s="73" t="str">
        <f>IF(Q50=Q51,"Await earlier tie",IF(Q50&lt;Q51,P51,P50))</f>
        <v>Mark Saunders</v>
      </c>
      <c r="W26" s="77">
        <v>-4.95</v>
      </c>
      <c r="X26" s="88" t="str">
        <f>IF(W26="","",IF(W26=W27,"R",""))</f>
        <v/>
      </c>
      <c r="Y26" s="85">
        <f>INDEX(Results!T:T,MATCH(V26,Results!V:V,0))</f>
        <v>-2.0600000000000005</v>
      </c>
      <c r="Z26" s="63"/>
      <c r="AA26" s="65"/>
      <c r="AB26" s="75"/>
      <c r="AC26" s="77"/>
      <c r="AD26" s="88" t="str">
        <f>IF(AC26="","",IF(AC26=AC27,"R",""))</f>
        <v/>
      </c>
      <c r="AE26" s="87"/>
      <c r="AF26" s="82"/>
      <c r="AG26" s="82"/>
      <c r="AH26" s="82"/>
      <c r="AI26" s="82"/>
      <c r="AJ26" s="82"/>
      <c r="AK26" s="82"/>
      <c r="AL26" s="82"/>
      <c r="AM26" s="82"/>
      <c r="AN26" s="82"/>
      <c r="AO26" s="82"/>
      <c r="AP26" s="82"/>
      <c r="AQ26" s="82"/>
      <c r="AR26" s="82"/>
      <c r="AS26" s="82"/>
      <c r="AT26" s="160"/>
      <c r="AU26" s="160"/>
      <c r="AV26" s="160"/>
      <c r="AW26" s="160"/>
      <c r="AX26" s="160"/>
      <c r="AY26" s="160"/>
      <c r="AZ26" s="160"/>
      <c r="BA26" s="160"/>
      <c r="BB26" s="160"/>
      <c r="BC26" s="160"/>
      <c r="BD26" s="160"/>
      <c r="BE26" s="160"/>
      <c r="BF26" s="160"/>
    </row>
    <row r="27" spans="1:58">
      <c r="A27" s="82"/>
      <c r="B27" s="82"/>
      <c r="C27" s="83"/>
      <c r="D27" s="83"/>
      <c r="E27" s="82"/>
      <c r="F27" s="70">
        <v>26</v>
      </c>
      <c r="G27" s="71" t="s">
        <v>389</v>
      </c>
      <c r="H27" s="62"/>
      <c r="I27" s="90"/>
      <c r="J27" s="76" t="s">
        <v>389</v>
      </c>
      <c r="K27" s="77"/>
      <c r="L27" s="79"/>
      <c r="M27" s="81">
        <f>INDEX(Results!T:T,MATCH(J27,Results!V:V,0))</f>
        <v>-3</v>
      </c>
      <c r="N27" s="62"/>
      <c r="O27" s="90"/>
      <c r="P27" s="674" t="s">
        <v>389</v>
      </c>
      <c r="Q27" s="77">
        <v>-3.9</v>
      </c>
      <c r="R27" s="66"/>
      <c r="S27" s="85">
        <f>INDEX(Results!T:T,MATCH(P27,Results!V:V,0))</f>
        <v>-3</v>
      </c>
      <c r="T27" s="63"/>
      <c r="U27" s="68"/>
      <c r="V27" s="73" t="str">
        <f>IF(Q52=Q53,"Await earlier tie",IF(Q52&lt;Q53,P53,P52))</f>
        <v>Chris Luck</v>
      </c>
      <c r="W27" s="77">
        <v>-7</v>
      </c>
      <c r="X27" s="69"/>
      <c r="Y27" s="85">
        <f>INDEX(Results!T:T,MATCH(V27,Results!V:V,0))</f>
        <v>-7</v>
      </c>
      <c r="Z27" s="63"/>
      <c r="AA27" s="68"/>
      <c r="AB27" s="75"/>
      <c r="AC27" s="77"/>
      <c r="AD27" s="69"/>
      <c r="AE27" s="87"/>
      <c r="AF27" s="82"/>
      <c r="AG27" s="82"/>
      <c r="AH27" s="82"/>
      <c r="AI27" s="82"/>
      <c r="AJ27" s="82"/>
      <c r="AK27" s="82"/>
      <c r="AL27" s="82"/>
      <c r="AM27" s="82"/>
      <c r="AN27" s="82"/>
      <c r="AO27" s="82"/>
      <c r="AP27" s="82"/>
      <c r="AQ27" s="82"/>
      <c r="AR27" s="82"/>
      <c r="AS27" s="82"/>
      <c r="AT27" s="160"/>
      <c r="AU27" s="160"/>
      <c r="AV27" s="160"/>
      <c r="AW27" s="160"/>
      <c r="AX27" s="160"/>
      <c r="AY27" s="160"/>
      <c r="AZ27" s="160"/>
      <c r="BA27" s="160"/>
      <c r="BB27" s="160"/>
      <c r="BC27" s="160"/>
      <c r="BD27" s="160"/>
      <c r="BE27" s="160"/>
      <c r="BF27" s="160"/>
    </row>
    <row r="28" spans="1:58">
      <c r="A28" s="82"/>
      <c r="B28" s="82"/>
      <c r="C28" s="83"/>
      <c r="D28" s="83"/>
      <c r="E28" s="82"/>
      <c r="F28" s="70">
        <v>27</v>
      </c>
      <c r="G28" s="71" t="s">
        <v>289</v>
      </c>
      <c r="H28" s="62"/>
      <c r="I28" s="91">
        <v>14</v>
      </c>
      <c r="J28" s="76" t="s">
        <v>289</v>
      </c>
      <c r="K28" s="77"/>
      <c r="L28" s="78" t="str">
        <f>IF(K28="","",IF(K28=K29,"R",""))</f>
        <v/>
      </c>
      <c r="M28" s="81">
        <f>INDEX(Results!T:T,MATCH(J28,Results!V:V,0))</f>
        <v>9.2200000000000024</v>
      </c>
      <c r="N28" s="62"/>
      <c r="O28" s="91">
        <v>14</v>
      </c>
      <c r="P28" s="674" t="s">
        <v>289</v>
      </c>
      <c r="Q28" s="77">
        <v>-7</v>
      </c>
      <c r="R28" s="88" t="str">
        <f>IF(Q28="","",IF(Q28=Q29,"R",""))</f>
        <v/>
      </c>
      <c r="S28" s="85">
        <f>INDEX(Results!T:T,MATCH(P28,Results!V:V,0))</f>
        <v>9.2200000000000024</v>
      </c>
      <c r="T28" s="63"/>
      <c r="U28" s="65">
        <v>14</v>
      </c>
      <c r="V28" s="73" t="str">
        <f>IF(Q54=Q55,"Await earlier tie",IF(Q54&lt;Q55,P55,P54))</f>
        <v>Paul Fiddler</v>
      </c>
      <c r="W28" s="77">
        <v>0.84999999999999964</v>
      </c>
      <c r="X28" s="88" t="str">
        <f>IF(W28="","",IF(W28=W29,"R",""))</f>
        <v/>
      </c>
      <c r="Y28" s="85">
        <f>INDEX(Results!T:T,MATCH(V28,Results!V:V,0))</f>
        <v>-1.4000000000000004</v>
      </c>
      <c r="Z28" s="63"/>
      <c r="AA28" s="65"/>
      <c r="AB28" s="67"/>
      <c r="AC28" s="77"/>
      <c r="AD28" s="88" t="str">
        <f>IF(AC28="","",IF(AC28=AC29,"R",""))</f>
        <v/>
      </c>
      <c r="AE28" s="87"/>
      <c r="AF28" s="82"/>
      <c r="AG28" s="82"/>
      <c r="AH28" s="82"/>
      <c r="AI28" s="82"/>
      <c r="AJ28" s="82"/>
      <c r="AK28" s="82"/>
      <c r="AL28" s="82"/>
      <c r="AM28" s="82"/>
      <c r="AN28" s="82"/>
      <c r="AO28" s="82"/>
      <c r="AP28" s="82"/>
      <c r="AQ28" s="82"/>
      <c r="AR28" s="82"/>
      <c r="AS28" s="82"/>
      <c r="AT28" s="160"/>
      <c r="AU28" s="160"/>
      <c r="AV28" s="160"/>
      <c r="AW28" s="160"/>
      <c r="AX28" s="160"/>
      <c r="AY28" s="160"/>
      <c r="AZ28" s="160"/>
      <c r="BA28" s="160"/>
      <c r="BB28" s="160"/>
      <c r="BC28" s="160"/>
      <c r="BD28" s="160"/>
      <c r="BE28" s="160"/>
      <c r="BF28" s="160"/>
    </row>
    <row r="29" spans="1:58">
      <c r="A29" s="82"/>
      <c r="B29" s="82"/>
      <c r="C29" s="83"/>
      <c r="D29" s="83"/>
      <c r="E29" s="82"/>
      <c r="F29" s="70">
        <v>28</v>
      </c>
      <c r="G29" s="71" t="s">
        <v>307</v>
      </c>
      <c r="H29" s="62"/>
      <c r="I29" s="90"/>
      <c r="J29" s="76" t="s">
        <v>307</v>
      </c>
      <c r="K29" s="77"/>
      <c r="L29" s="79"/>
      <c r="M29" s="81">
        <f>INDEX(Results!T:T,MATCH(J29,Results!V:V,0))</f>
        <v>14.680000000000003</v>
      </c>
      <c r="N29" s="62"/>
      <c r="O29" s="90"/>
      <c r="P29" s="674" t="s">
        <v>307</v>
      </c>
      <c r="Q29" s="77">
        <v>-4.7</v>
      </c>
      <c r="R29" s="66"/>
      <c r="S29" s="85">
        <f>INDEX(Results!T:T,MATCH(P29,Results!V:V,0))</f>
        <v>14.680000000000003</v>
      </c>
      <c r="T29" s="63"/>
      <c r="U29" s="68"/>
      <c r="V29" s="73" t="str">
        <f>IF(Q56=Q57,"Await earlier tie",IF(Q56&lt;Q57,P57,P56))</f>
        <v>Graham Miller</v>
      </c>
      <c r="W29" s="77">
        <v>-10</v>
      </c>
      <c r="X29" s="69"/>
      <c r="Y29" s="85">
        <f>INDEX(Results!T:T,MATCH(V29,Results!V:V,0))</f>
        <v>16.239249999999998</v>
      </c>
      <c r="Z29" s="63"/>
      <c r="AA29" s="72"/>
      <c r="AB29" s="67"/>
      <c r="AC29" s="77"/>
      <c r="AD29" s="66"/>
      <c r="AE29" s="87"/>
      <c r="AF29" s="82"/>
      <c r="AG29" s="82"/>
      <c r="AH29" s="82"/>
      <c r="AI29" s="82"/>
      <c r="AJ29" s="82"/>
      <c r="AK29" s="82"/>
      <c r="AL29" s="82"/>
      <c r="AM29" s="82"/>
      <c r="AN29" s="82"/>
      <c r="AO29" s="82"/>
      <c r="AP29" s="82"/>
      <c r="AQ29" s="82"/>
      <c r="AR29" s="82"/>
      <c r="AS29" s="82"/>
      <c r="AT29" s="160"/>
      <c r="AU29" s="160"/>
      <c r="AV29" s="160"/>
      <c r="AW29" s="160"/>
      <c r="AX29" s="160"/>
      <c r="AY29" s="160"/>
      <c r="AZ29" s="160"/>
      <c r="BA29" s="160"/>
      <c r="BB29" s="160"/>
      <c r="BC29" s="160"/>
      <c r="BD29" s="160"/>
      <c r="BE29" s="160"/>
      <c r="BF29" s="160"/>
    </row>
    <row r="30" spans="1:58">
      <c r="A30" s="82"/>
      <c r="B30" s="82"/>
      <c r="C30" s="83"/>
      <c r="D30" s="83"/>
      <c r="E30" s="82"/>
      <c r="F30" s="70">
        <v>29</v>
      </c>
      <c r="G30" s="71" t="s">
        <v>385</v>
      </c>
      <c r="H30" s="62"/>
      <c r="I30" s="91">
        <v>15</v>
      </c>
      <c r="J30" s="76" t="s">
        <v>385</v>
      </c>
      <c r="K30" s="77"/>
      <c r="L30" s="78" t="str">
        <f>IF(K30="","",IF(K30=K31,"R",""))</f>
        <v/>
      </c>
      <c r="M30" s="81">
        <f>INDEX(Results!T:T,MATCH(J30,Results!V:V,0))</f>
        <v>-5.2777777777777777</v>
      </c>
      <c r="N30" s="62"/>
      <c r="O30" s="91">
        <v>15</v>
      </c>
      <c r="P30" s="674" t="s">
        <v>385</v>
      </c>
      <c r="Q30" s="77">
        <v>-4.4000000000000004</v>
      </c>
      <c r="R30" s="88" t="str">
        <f>IF(Q30="","",IF(Q30=Q31,"R",""))</f>
        <v/>
      </c>
      <c r="S30" s="85">
        <f>INDEX(Results!T:T,MATCH(P30,Results!V:V,0))</f>
        <v>-5.2777777777777777</v>
      </c>
      <c r="T30" s="63"/>
      <c r="U30" s="65">
        <v>15</v>
      </c>
      <c r="V30" s="73" t="str">
        <f>IF(Q58=Q59,"Await earlier tie",IF(Q58&lt;Q59,P59,P58))</f>
        <v>Liam Wah</v>
      </c>
      <c r="W30" s="77">
        <v>-7</v>
      </c>
      <c r="X30" s="88" t="str">
        <f>IF(W30="","",IF(W30=W31,"R",""))</f>
        <v/>
      </c>
      <c r="Y30" s="85" t="e">
        <f>INDEX(Results!T:T,MATCH(V30,Results!V:V,0))</f>
        <v>#VALUE!</v>
      </c>
      <c r="Z30" s="63"/>
      <c r="AA30" s="82"/>
      <c r="AB30" s="82"/>
      <c r="AC30" s="82"/>
      <c r="AD30" s="82"/>
      <c r="AE30" s="87"/>
      <c r="AF30" s="82"/>
      <c r="AG30" s="82"/>
      <c r="AH30" s="82"/>
      <c r="AI30" s="82"/>
      <c r="AJ30" s="82"/>
      <c r="AK30" s="82"/>
      <c r="AL30" s="82"/>
      <c r="AM30" s="82"/>
      <c r="AN30" s="82"/>
      <c r="AO30" s="82"/>
      <c r="AP30" s="82"/>
      <c r="AQ30" s="82"/>
      <c r="AR30" s="82"/>
      <c r="AS30" s="82"/>
      <c r="AT30" s="160"/>
      <c r="AU30" s="160"/>
      <c r="AV30" s="160"/>
      <c r="AW30" s="160"/>
      <c r="AX30" s="160"/>
      <c r="AY30" s="160"/>
      <c r="AZ30" s="160"/>
      <c r="BA30" s="160"/>
      <c r="BB30" s="160"/>
      <c r="BC30" s="160"/>
      <c r="BD30" s="160"/>
      <c r="BE30" s="160"/>
      <c r="BF30" s="160"/>
    </row>
    <row r="31" spans="1:58">
      <c r="A31" s="82"/>
      <c r="B31" s="82"/>
      <c r="C31" s="83"/>
      <c r="D31" s="83"/>
      <c r="E31" s="82"/>
      <c r="F31" s="70">
        <v>30</v>
      </c>
      <c r="G31" s="71" t="s">
        <v>303</v>
      </c>
      <c r="H31" s="62"/>
      <c r="I31" s="90"/>
      <c r="J31" s="76" t="s">
        <v>303</v>
      </c>
      <c r="K31" s="77"/>
      <c r="L31" s="79"/>
      <c r="M31" s="81">
        <f>INDEX(Results!T:T,MATCH(J31,Results!V:V,0))</f>
        <v>-7</v>
      </c>
      <c r="N31" s="62"/>
      <c r="O31" s="90"/>
      <c r="P31" s="674" t="s">
        <v>303</v>
      </c>
      <c r="Q31" s="77">
        <v>-4.7</v>
      </c>
      <c r="R31" s="66"/>
      <c r="S31" s="85">
        <f>INDEX(Results!T:T,MATCH(P31,Results!V:V,0))</f>
        <v>-7</v>
      </c>
      <c r="T31" s="63"/>
      <c r="U31" s="68"/>
      <c r="V31" s="73" t="str">
        <f>IF(Q60=Q61,"Await earlier tie",IF(Q60&lt;Q61,P61,P60))</f>
        <v>Rob England</v>
      </c>
      <c r="W31" s="77">
        <v>30.25</v>
      </c>
      <c r="X31" s="69"/>
      <c r="Y31" s="85">
        <f>INDEX(Results!T:T,MATCH(V31,Results!V:V,0))</f>
        <v>15.466666666666669</v>
      </c>
      <c r="Z31" s="63"/>
      <c r="AA31" s="82"/>
      <c r="AB31" s="82"/>
      <c r="AC31" s="82"/>
      <c r="AD31" s="82"/>
      <c r="AE31" s="87"/>
      <c r="AF31" s="82"/>
      <c r="AG31" s="82"/>
      <c r="AH31" s="82"/>
      <c r="AI31" s="82"/>
      <c r="AJ31" s="82"/>
      <c r="AK31" s="82"/>
      <c r="AL31" s="82"/>
      <c r="AM31" s="82"/>
      <c r="AN31" s="82"/>
      <c r="AO31" s="82"/>
      <c r="AP31" s="82"/>
      <c r="AQ31" s="82"/>
      <c r="AR31" s="82"/>
      <c r="AS31" s="82"/>
      <c r="AT31" s="160"/>
      <c r="AU31" s="160"/>
      <c r="AV31" s="160"/>
      <c r="AW31" s="160"/>
      <c r="AX31" s="160"/>
      <c r="AY31" s="160"/>
      <c r="AZ31" s="160"/>
      <c r="BA31" s="160"/>
      <c r="BB31" s="160"/>
      <c r="BC31" s="160"/>
      <c r="BD31" s="160"/>
      <c r="BE31" s="160"/>
      <c r="BF31" s="160"/>
    </row>
    <row r="32" spans="1:58">
      <c r="A32" s="82"/>
      <c r="B32" s="82"/>
      <c r="C32" s="83"/>
      <c r="D32" s="83"/>
      <c r="E32" s="82"/>
      <c r="F32" s="70">
        <v>31</v>
      </c>
      <c r="G32" s="71" t="s">
        <v>388</v>
      </c>
      <c r="H32" s="62"/>
      <c r="I32" s="91">
        <v>16</v>
      </c>
      <c r="J32" s="76" t="s">
        <v>388</v>
      </c>
      <c r="K32" s="77"/>
      <c r="L32" s="78" t="str">
        <f>IF(K32="","",IF(K32=K33,"R",""))</f>
        <v/>
      </c>
      <c r="M32" s="81">
        <f>INDEX(Results!T:T,MATCH(J32,Results!V:V,0))</f>
        <v>-1.6068376068376065</v>
      </c>
      <c r="N32" s="62"/>
      <c r="O32" s="91">
        <v>16</v>
      </c>
      <c r="P32" s="674" t="s">
        <v>388</v>
      </c>
      <c r="Q32" s="77">
        <v>-4.4000000000000004</v>
      </c>
      <c r="R32" s="88" t="str">
        <f>IF(Q32="","",IF(Q32=Q33,"R",""))</f>
        <v/>
      </c>
      <c r="S32" s="85">
        <f>INDEX(Results!T:T,MATCH(P32,Results!V:V,0))</f>
        <v>-1.6068376068376065</v>
      </c>
      <c r="T32" s="63"/>
      <c r="U32" s="65">
        <v>16</v>
      </c>
      <c r="V32" s="73" t="str">
        <f>IF(Q62=Q63,"Await earlier tie",IF(Q62&lt;Q63,P63,P62))</f>
        <v>Dan Gibbard</v>
      </c>
      <c r="W32" s="77">
        <v>67.96875</v>
      </c>
      <c r="X32" s="88" t="str">
        <f>IF(W32="","",IF(W32=W33,"R",""))</f>
        <v/>
      </c>
      <c r="Y32" s="85">
        <f>INDEX(Results!T:T,MATCH(V32,Results!V:V,0))</f>
        <v>-1.3</v>
      </c>
      <c r="Z32" s="63"/>
      <c r="AA32" s="82"/>
      <c r="AB32" s="82"/>
      <c r="AC32" s="82"/>
      <c r="AD32" s="82"/>
      <c r="AE32" s="87"/>
      <c r="AF32" s="82"/>
      <c r="AG32" s="82"/>
      <c r="AH32" s="82"/>
      <c r="AI32" s="82"/>
      <c r="AJ32" s="82"/>
      <c r="AK32" s="82"/>
      <c r="AL32" s="82"/>
      <c r="AM32" s="82"/>
      <c r="AN32" s="82"/>
      <c r="AO32" s="82"/>
      <c r="AP32" s="82"/>
      <c r="AQ32" s="82"/>
      <c r="AR32" s="82"/>
      <c r="AS32" s="82"/>
      <c r="AT32" s="160"/>
      <c r="AU32" s="160"/>
      <c r="AV32" s="160"/>
      <c r="AW32" s="160"/>
      <c r="AX32" s="160"/>
      <c r="AY32" s="160"/>
      <c r="AZ32" s="160"/>
      <c r="BA32" s="160"/>
      <c r="BB32" s="160"/>
      <c r="BC32" s="160"/>
      <c r="BD32" s="160"/>
      <c r="BE32" s="160"/>
      <c r="BF32" s="160"/>
    </row>
    <row r="33" spans="1:58">
      <c r="A33" s="82"/>
      <c r="B33" s="82"/>
      <c r="C33" s="83"/>
      <c r="D33" s="83"/>
      <c r="E33" s="82"/>
      <c r="F33" s="70">
        <v>32</v>
      </c>
      <c r="G33" s="71" t="s">
        <v>310</v>
      </c>
      <c r="H33" s="62"/>
      <c r="I33" s="90"/>
      <c r="J33" s="76" t="s">
        <v>310</v>
      </c>
      <c r="K33" s="77"/>
      <c r="L33" s="79"/>
      <c r="M33" s="81">
        <f>INDEX(Results!T:T,MATCH(J33,Results!V:V,0))</f>
        <v>11.818803418803419</v>
      </c>
      <c r="N33" s="62"/>
      <c r="O33" s="90"/>
      <c r="P33" s="674" t="s">
        <v>310</v>
      </c>
      <c r="Q33" s="77">
        <v>5.4095238095238081</v>
      </c>
      <c r="R33" s="66"/>
      <c r="S33" s="85">
        <f>INDEX(Results!T:T,MATCH(P33,Results!V:V,0))</f>
        <v>11.818803418803419</v>
      </c>
      <c r="T33" s="63"/>
      <c r="U33" s="72"/>
      <c r="V33" s="73" t="str">
        <f>IF(Q64=Q65,"Await earlier tie",IF(Q64&lt;Q65,P65,P64))</f>
        <v>Nigel Heyes</v>
      </c>
      <c r="W33" s="77">
        <v>-5.05</v>
      </c>
      <c r="X33" s="66"/>
      <c r="Y33" s="85">
        <f>INDEX(Results!T:T,MATCH(V33,Results!V:V,0))</f>
        <v>2.7249999999999996</v>
      </c>
      <c r="Z33" s="63"/>
      <c r="AA33" s="82"/>
      <c r="AB33" s="82"/>
      <c r="AC33" s="82"/>
      <c r="AD33" s="82"/>
      <c r="AE33" s="87"/>
      <c r="AF33" s="82"/>
      <c r="AG33" s="82"/>
      <c r="AH33" s="82"/>
      <c r="AI33" s="82"/>
      <c r="AJ33" s="82"/>
      <c r="AK33" s="82"/>
      <c r="AL33" s="82"/>
      <c r="AM33" s="82"/>
      <c r="AN33" s="82"/>
      <c r="AO33" s="82"/>
      <c r="AP33" s="82"/>
      <c r="AQ33" s="82"/>
      <c r="AR33" s="82"/>
      <c r="AS33" s="82"/>
      <c r="AT33" s="160"/>
      <c r="AU33" s="160"/>
      <c r="AV33" s="160"/>
      <c r="AW33" s="160"/>
      <c r="AX33" s="160"/>
      <c r="AY33" s="160"/>
      <c r="AZ33" s="160"/>
      <c r="BA33" s="160"/>
      <c r="BB33" s="160"/>
      <c r="BC33" s="160"/>
      <c r="BD33" s="160"/>
      <c r="BE33" s="160"/>
      <c r="BF33" s="160"/>
    </row>
    <row r="34" spans="1:58">
      <c r="A34" s="82"/>
      <c r="B34" s="82"/>
      <c r="C34" s="83"/>
      <c r="D34" s="83"/>
      <c r="E34" s="82"/>
      <c r="F34" s="70">
        <v>33</v>
      </c>
      <c r="G34" s="71" t="s">
        <v>549</v>
      </c>
      <c r="H34" s="62"/>
      <c r="I34" s="91">
        <v>17</v>
      </c>
      <c r="J34" s="76" t="s">
        <v>549</v>
      </c>
      <c r="K34" s="77"/>
      <c r="L34" s="78" t="str">
        <f>IF(K34="","",IF(K34=K35,"R",""))</f>
        <v/>
      </c>
      <c r="M34" s="81">
        <f>INDEX(Results!T:T,MATCH(J34,Results!V:V,0))</f>
        <v>-5.15</v>
      </c>
      <c r="N34" s="62"/>
      <c r="O34" s="91">
        <v>17</v>
      </c>
      <c r="P34" s="674" t="s">
        <v>549</v>
      </c>
      <c r="Q34" s="77">
        <v>-3.6</v>
      </c>
      <c r="R34" s="88" t="str">
        <f>IF(Q34="","",IF(Q34=Q35,"R",""))</f>
        <v/>
      </c>
      <c r="S34" s="85">
        <f>INDEX(Results!T:T,MATCH(P34,Results!V:V,0))</f>
        <v>-5.15</v>
      </c>
      <c r="T34" s="62"/>
      <c r="U34" s="62"/>
      <c r="V34" s="62"/>
      <c r="W34" s="62"/>
      <c r="X34" s="62"/>
      <c r="Y34" s="86"/>
      <c r="Z34" s="62"/>
      <c r="AA34" s="82"/>
      <c r="AB34" s="82"/>
      <c r="AC34" s="82"/>
      <c r="AD34" s="82"/>
      <c r="AE34" s="87"/>
      <c r="AF34" s="82"/>
      <c r="AG34" s="82"/>
      <c r="AH34" s="82"/>
      <c r="AI34" s="82"/>
      <c r="AJ34" s="82"/>
      <c r="AK34" s="82"/>
      <c r="AL34" s="82"/>
      <c r="AM34" s="82"/>
      <c r="AN34" s="82"/>
      <c r="AO34" s="82"/>
      <c r="AP34" s="82"/>
      <c r="AQ34" s="82"/>
      <c r="AR34" s="82"/>
      <c r="AS34" s="82"/>
      <c r="AT34" s="160"/>
      <c r="AU34" s="160"/>
      <c r="AV34" s="160"/>
      <c r="AW34" s="160"/>
      <c r="AX34" s="160"/>
      <c r="AY34" s="160"/>
      <c r="AZ34" s="160"/>
      <c r="BA34" s="160"/>
      <c r="BB34" s="160"/>
      <c r="BC34" s="160"/>
      <c r="BD34" s="160"/>
      <c r="BE34" s="160"/>
      <c r="BF34" s="160"/>
    </row>
    <row r="35" spans="1:58">
      <c r="A35" s="82"/>
      <c r="B35" s="82"/>
      <c r="C35" s="83"/>
      <c r="D35" s="83"/>
      <c r="E35" s="82"/>
      <c r="F35" s="70">
        <v>34</v>
      </c>
      <c r="G35" s="71" t="s">
        <v>380</v>
      </c>
      <c r="H35" s="62"/>
      <c r="I35" s="90"/>
      <c r="J35" s="76" t="s">
        <v>380</v>
      </c>
      <c r="K35" s="77"/>
      <c r="L35" s="79"/>
      <c r="M35" s="81">
        <f>INDEX(Results!T:T,MATCH(J35,Results!V:V,0))</f>
        <v>-3</v>
      </c>
      <c r="N35" s="62"/>
      <c r="O35" s="90"/>
      <c r="P35" s="674" t="s">
        <v>380</v>
      </c>
      <c r="Q35" s="77">
        <v>-4.7</v>
      </c>
      <c r="R35" s="66"/>
      <c r="S35" s="85">
        <f>INDEX(Results!T:T,MATCH(P35,Results!V:V,0))</f>
        <v>-3</v>
      </c>
      <c r="T35" s="62"/>
      <c r="U35" s="62"/>
      <c r="V35" s="62"/>
      <c r="W35" s="62"/>
      <c r="X35" s="62"/>
      <c r="Y35" s="86"/>
      <c r="Z35" s="62"/>
      <c r="AA35" s="82"/>
      <c r="AB35" s="82"/>
      <c r="AC35" s="82"/>
      <c r="AD35" s="82"/>
      <c r="AE35" s="87"/>
      <c r="AF35" s="82"/>
      <c r="AG35" s="82"/>
      <c r="AH35" s="82"/>
      <c r="AI35" s="82"/>
      <c r="AJ35" s="82"/>
      <c r="AK35" s="82"/>
      <c r="AL35" s="82"/>
      <c r="AM35" s="82"/>
      <c r="AN35" s="82"/>
      <c r="AO35" s="82"/>
      <c r="AP35" s="82"/>
      <c r="AQ35" s="82"/>
      <c r="AR35" s="82"/>
      <c r="AS35" s="82"/>
      <c r="AT35" s="160"/>
      <c r="AU35" s="160"/>
      <c r="AV35" s="160"/>
      <c r="AW35" s="160"/>
      <c r="AX35" s="160"/>
      <c r="AY35" s="160"/>
      <c r="AZ35" s="160"/>
      <c r="BA35" s="160"/>
      <c r="BB35" s="160"/>
      <c r="BC35" s="160"/>
      <c r="BD35" s="160"/>
      <c r="BE35" s="160"/>
      <c r="BF35" s="160"/>
    </row>
    <row r="36" spans="1:58">
      <c r="A36" s="82"/>
      <c r="B36" s="82"/>
      <c r="C36" s="83"/>
      <c r="D36" s="83"/>
      <c r="E36" s="82"/>
      <c r="F36" s="70">
        <v>35</v>
      </c>
      <c r="G36" s="71" t="s">
        <v>320</v>
      </c>
      <c r="H36" s="62"/>
      <c r="I36" s="91">
        <v>18</v>
      </c>
      <c r="J36" s="76" t="s">
        <v>320</v>
      </c>
      <c r="K36" s="77"/>
      <c r="L36" s="78" t="str">
        <f>IF(K36="","",IF(K36=K37,"R",""))</f>
        <v/>
      </c>
      <c r="M36" s="81">
        <f>INDEX(Results!T:T,MATCH(J36,Results!V:V,0))</f>
        <v>-0.54615384615384599</v>
      </c>
      <c r="N36" s="62"/>
      <c r="O36" s="91">
        <v>18</v>
      </c>
      <c r="P36" s="674" t="s">
        <v>320</v>
      </c>
      <c r="Q36" s="77">
        <v>-7</v>
      </c>
      <c r="R36" s="88" t="str">
        <f>IF(Q36="","",IF(Q36=Q37,"R",""))</f>
        <v/>
      </c>
      <c r="S36" s="85">
        <f>INDEX(Results!T:T,MATCH(P36,Results!V:V,0))</f>
        <v>-0.54615384615384599</v>
      </c>
      <c r="T36" s="62"/>
      <c r="U36" s="62"/>
      <c r="V36" s="62"/>
      <c r="W36" s="62"/>
      <c r="X36" s="62"/>
      <c r="Y36" s="86"/>
      <c r="Z36" s="62"/>
      <c r="AA36" s="82"/>
      <c r="AB36" s="82"/>
      <c r="AC36" s="82"/>
      <c r="AD36" s="82"/>
      <c r="AE36" s="87"/>
      <c r="AF36" s="82"/>
      <c r="AG36" s="82"/>
      <c r="AH36" s="82"/>
      <c r="AI36" s="82"/>
      <c r="AJ36" s="82"/>
      <c r="AK36" s="82"/>
      <c r="AL36" s="82"/>
      <c r="AM36" s="82"/>
      <c r="AN36" s="82"/>
      <c r="AO36" s="82"/>
      <c r="AP36" s="82"/>
      <c r="AQ36" s="82"/>
      <c r="AR36" s="82"/>
      <c r="AS36" s="82"/>
      <c r="AT36" s="160"/>
      <c r="AU36" s="160"/>
      <c r="AV36" s="160"/>
      <c r="AW36" s="160"/>
      <c r="AX36" s="160"/>
      <c r="AY36" s="160"/>
      <c r="AZ36" s="160"/>
      <c r="BA36" s="160"/>
      <c r="BB36" s="160"/>
      <c r="BC36" s="160"/>
      <c r="BD36" s="160"/>
      <c r="BE36" s="160"/>
      <c r="BF36" s="160"/>
    </row>
    <row r="37" spans="1:58" ht="13.15">
      <c r="A37" s="82"/>
      <c r="B37" s="82"/>
      <c r="C37" s="83"/>
      <c r="D37" s="83"/>
      <c r="E37" s="82"/>
      <c r="F37" s="70">
        <v>36</v>
      </c>
      <c r="G37" s="71" t="s">
        <v>290</v>
      </c>
      <c r="H37" s="62"/>
      <c r="I37" s="90"/>
      <c r="J37" s="76" t="s">
        <v>290</v>
      </c>
      <c r="K37" s="77"/>
      <c r="L37" s="79"/>
      <c r="M37" s="81">
        <f>INDEX(Results!T:T,MATCH(J37,Results!V:V,0))</f>
        <v>1.7650000000000006</v>
      </c>
      <c r="N37" s="62"/>
      <c r="O37" s="90"/>
      <c r="P37" s="674" t="s">
        <v>290</v>
      </c>
      <c r="Q37" s="77">
        <v>-4.7</v>
      </c>
      <c r="R37" s="66"/>
      <c r="S37" s="85">
        <f>INDEX(Results!T:T,MATCH(P37,Results!V:V,0))</f>
        <v>1.7650000000000006</v>
      </c>
      <c r="T37" s="62"/>
      <c r="U37" s="61" t="s">
        <v>446</v>
      </c>
      <c r="V37" s="159"/>
      <c r="W37" s="62"/>
      <c r="X37" s="62"/>
      <c r="Y37" s="86"/>
      <c r="Z37" s="62"/>
      <c r="AA37" s="82"/>
      <c r="AB37" s="82"/>
      <c r="AC37" s="82"/>
      <c r="AD37" s="82"/>
      <c r="AE37" s="87"/>
      <c r="AF37" s="82"/>
      <c r="AG37" s="82"/>
      <c r="AH37" s="82"/>
      <c r="AI37" s="82"/>
      <c r="AJ37" s="82"/>
      <c r="AK37" s="82"/>
      <c r="AL37" s="82"/>
      <c r="AM37" s="82"/>
      <c r="AN37" s="82"/>
      <c r="AO37" s="82"/>
      <c r="AP37" s="82"/>
      <c r="AQ37" s="82"/>
      <c r="AR37" s="82"/>
      <c r="AS37" s="82"/>
      <c r="AT37" s="160"/>
      <c r="AU37" s="160"/>
      <c r="AV37" s="160"/>
      <c r="AW37" s="160"/>
      <c r="AX37" s="160"/>
      <c r="AY37" s="160"/>
      <c r="AZ37" s="160"/>
      <c r="BA37" s="160"/>
      <c r="BB37" s="160"/>
      <c r="BC37" s="160"/>
      <c r="BD37" s="160"/>
      <c r="BE37" s="160"/>
      <c r="BF37" s="160"/>
    </row>
    <row r="38" spans="1:58">
      <c r="A38" s="82"/>
      <c r="B38" s="82"/>
      <c r="C38" s="83"/>
      <c r="D38" s="83"/>
      <c r="E38" s="82"/>
      <c r="F38" s="70">
        <v>37</v>
      </c>
      <c r="G38" s="71" t="s">
        <v>308</v>
      </c>
      <c r="H38" s="62"/>
      <c r="I38" s="91">
        <v>19</v>
      </c>
      <c r="J38" s="76" t="s">
        <v>308</v>
      </c>
      <c r="K38" s="77"/>
      <c r="L38" s="78" t="str">
        <f>IF(K38="","",IF(K38=K39,"R",""))</f>
        <v/>
      </c>
      <c r="M38" s="81">
        <f>INDEX(Results!T:T,MATCH(J38,Results!V:V,0))</f>
        <v>1.163636363636364</v>
      </c>
      <c r="N38" s="62"/>
      <c r="O38" s="91">
        <v>19</v>
      </c>
      <c r="P38" s="674" t="s">
        <v>308</v>
      </c>
      <c r="Q38" s="77">
        <v>-7</v>
      </c>
      <c r="R38" s="88" t="str">
        <f>IF(Q38="","",IF(Q38=Q39,"R",""))</f>
        <v/>
      </c>
      <c r="S38" s="85">
        <f>INDEX(Results!T:T,MATCH(P38,Results!V:V,0))</f>
        <v>1.163636363636364</v>
      </c>
      <c r="T38" s="62"/>
      <c r="U38" s="65"/>
      <c r="V38" s="67"/>
      <c r="W38" s="77"/>
      <c r="X38" s="88" t="str">
        <f>IF(W38="","",IF(W38=W39,"R",""))</f>
        <v/>
      </c>
      <c r="Y38" s="85" t="e">
        <f>INDEX(Results!T:T,MATCH(V38,Results!V:V,0))</f>
        <v>#N/A</v>
      </c>
      <c r="Z38" s="62"/>
      <c r="AF38" s="82"/>
      <c r="AG38" s="82"/>
      <c r="AH38" s="82"/>
      <c r="AI38" s="82"/>
      <c r="AJ38" s="82"/>
      <c r="AK38" s="82"/>
      <c r="AL38" s="82"/>
      <c r="AM38" s="82"/>
      <c r="AN38" s="82"/>
      <c r="AO38" s="82"/>
      <c r="AP38" s="82"/>
      <c r="AQ38" s="82"/>
      <c r="AR38" s="82"/>
      <c r="AS38" s="82"/>
      <c r="AT38" s="160"/>
      <c r="AU38" s="160"/>
      <c r="AV38" s="160"/>
      <c r="AW38" s="160"/>
      <c r="AX38" s="160"/>
      <c r="AY38" s="160"/>
      <c r="AZ38" s="160"/>
      <c r="BA38" s="160"/>
      <c r="BB38" s="160"/>
      <c r="BC38" s="160"/>
      <c r="BD38" s="160"/>
      <c r="BE38" s="160"/>
      <c r="BF38" s="160"/>
    </row>
    <row r="39" spans="1:58">
      <c r="A39" s="82"/>
      <c r="B39" s="82"/>
      <c r="C39" s="83"/>
      <c r="D39" s="83"/>
      <c r="E39" s="82"/>
      <c r="F39" s="70">
        <v>38</v>
      </c>
      <c r="G39" s="71" t="s">
        <v>381</v>
      </c>
      <c r="H39" s="62"/>
      <c r="I39" s="90"/>
      <c r="J39" s="76" t="s">
        <v>381</v>
      </c>
      <c r="K39" s="77"/>
      <c r="L39" s="79"/>
      <c r="M39" s="81">
        <f>INDEX(Results!T:T,MATCH(J39,Results!V:V,0))</f>
        <v>-1.1709401709401703</v>
      </c>
      <c r="N39" s="62"/>
      <c r="O39" s="90"/>
      <c r="P39" s="674" t="s">
        <v>381</v>
      </c>
      <c r="Q39" s="77">
        <v>-1.1597633136094672</v>
      </c>
      <c r="R39" s="66"/>
      <c r="S39" s="85">
        <f>INDEX(Results!T:T,MATCH(P39,Results!V:V,0))</f>
        <v>-1.1709401709401703</v>
      </c>
      <c r="T39" s="62"/>
      <c r="U39" s="68"/>
      <c r="V39" s="67"/>
      <c r="W39" s="77"/>
      <c r="X39" s="69"/>
      <c r="Y39" s="85" t="e">
        <f>INDEX(Results!T:T,MATCH(V39,Results!V:V,0))</f>
        <v>#N/A</v>
      </c>
      <c r="Z39" s="62"/>
      <c r="AF39" s="82"/>
      <c r="AG39" s="82"/>
      <c r="AH39" s="82"/>
      <c r="AI39" s="82"/>
      <c r="AJ39" s="82"/>
      <c r="AK39" s="82"/>
      <c r="AL39" s="82"/>
      <c r="AM39" s="82"/>
      <c r="AN39" s="82"/>
      <c r="AO39" s="82"/>
      <c r="AP39" s="82"/>
      <c r="AQ39" s="82"/>
      <c r="AR39" s="82"/>
      <c r="AS39" s="82"/>
      <c r="AT39" s="160"/>
      <c r="AU39" s="160"/>
      <c r="AV39" s="160"/>
      <c r="AW39" s="160"/>
      <c r="AX39" s="160"/>
      <c r="AY39" s="160"/>
      <c r="AZ39" s="160"/>
      <c r="BA39" s="160"/>
      <c r="BB39" s="160"/>
      <c r="BC39" s="160"/>
      <c r="BD39" s="160"/>
      <c r="BE39" s="160"/>
      <c r="BF39" s="160"/>
    </row>
    <row r="40" spans="1:58">
      <c r="A40" s="82"/>
      <c r="B40" s="82"/>
      <c r="C40" s="83"/>
      <c r="D40" s="83"/>
      <c r="E40" s="82"/>
      <c r="F40" s="70">
        <v>39</v>
      </c>
      <c r="G40" s="71" t="s">
        <v>384</v>
      </c>
      <c r="H40" s="62"/>
      <c r="I40" s="91">
        <v>20</v>
      </c>
      <c r="J40" s="76" t="s">
        <v>384</v>
      </c>
      <c r="K40" s="77"/>
      <c r="L40" s="78" t="str">
        <f>IF(K40="","",IF(K40=K41,"R",""))</f>
        <v/>
      </c>
      <c r="M40" s="81">
        <f>INDEX(Results!T:T,MATCH(J40,Results!V:V,0))</f>
        <v>-7</v>
      </c>
      <c r="N40" s="62"/>
      <c r="O40" s="91">
        <v>20</v>
      </c>
      <c r="P40" s="674" t="s">
        <v>384</v>
      </c>
      <c r="Q40" s="77">
        <v>-4.375</v>
      </c>
      <c r="R40" s="88" t="str">
        <f>IF(Q40="","",IF(Q40=Q41,"R",""))</f>
        <v/>
      </c>
      <c r="S40" s="85">
        <f>INDEX(Results!T:T,MATCH(P40,Results!V:V,0))</f>
        <v>-7</v>
      </c>
      <c r="T40" s="62"/>
      <c r="U40" s="65"/>
      <c r="V40" s="67"/>
      <c r="W40" s="77"/>
      <c r="X40" s="88" t="str">
        <f>IF(W40="","",IF(W40=W41,"R",""))</f>
        <v/>
      </c>
      <c r="Y40" s="85" t="e">
        <f>INDEX(Results!T:T,MATCH(V40,Results!V:V,0))</f>
        <v>#N/A</v>
      </c>
      <c r="Z40" s="62"/>
      <c r="AF40" s="82"/>
      <c r="AG40" s="82"/>
      <c r="AH40" s="82"/>
      <c r="AI40" s="82"/>
      <c r="AJ40" s="82"/>
      <c r="AK40" s="82"/>
      <c r="AL40" s="82"/>
      <c r="AM40" s="82"/>
      <c r="AN40" s="82"/>
      <c r="AO40" s="82"/>
      <c r="AP40" s="82"/>
      <c r="AQ40" s="82"/>
      <c r="AR40" s="82"/>
      <c r="AS40" s="82"/>
      <c r="AT40" s="160"/>
      <c r="AU40" s="160"/>
      <c r="AV40" s="160"/>
      <c r="AW40" s="160"/>
      <c r="AX40" s="160"/>
      <c r="AY40" s="160"/>
      <c r="AZ40" s="160"/>
      <c r="BA40" s="160"/>
      <c r="BB40" s="160"/>
      <c r="BC40" s="160"/>
      <c r="BD40" s="160"/>
      <c r="BE40" s="160"/>
      <c r="BF40" s="160"/>
    </row>
    <row r="41" spans="1:58">
      <c r="A41" s="82"/>
      <c r="B41" s="82"/>
      <c r="C41" s="83"/>
      <c r="D41" s="83"/>
      <c r="E41" s="82"/>
      <c r="F41" s="70">
        <v>40</v>
      </c>
      <c r="G41" s="71" t="s">
        <v>387</v>
      </c>
      <c r="H41" s="62"/>
      <c r="I41" s="90"/>
      <c r="J41" s="76" t="s">
        <v>387</v>
      </c>
      <c r="K41" s="77"/>
      <c r="L41" s="79"/>
      <c r="M41" s="81">
        <f>INDEX(Results!T:T,MATCH(J41,Results!V:V,0))</f>
        <v>-3.9</v>
      </c>
      <c r="N41" s="62"/>
      <c r="O41" s="90"/>
      <c r="P41" s="674" t="s">
        <v>387</v>
      </c>
      <c r="Q41" s="77">
        <v>-5.2</v>
      </c>
      <c r="R41" s="66"/>
      <c r="S41" s="85">
        <f>INDEX(Results!T:T,MATCH(P41,Results!V:V,0))</f>
        <v>-3.9</v>
      </c>
      <c r="T41" s="62"/>
      <c r="U41" s="68"/>
      <c r="V41" s="67"/>
      <c r="W41" s="77"/>
      <c r="X41" s="69"/>
      <c r="Y41" s="85" t="e">
        <f>INDEX(Results!T:T,MATCH(V41,Results!V:V,0))</f>
        <v>#N/A</v>
      </c>
      <c r="Z41" s="62"/>
      <c r="AF41" s="82"/>
      <c r="AG41" s="82"/>
      <c r="AH41" s="82"/>
      <c r="AI41" s="82"/>
      <c r="AJ41" s="82"/>
      <c r="AK41" s="82"/>
      <c r="AL41" s="82"/>
      <c r="AM41" s="82"/>
      <c r="AN41" s="82"/>
      <c r="AO41" s="82"/>
      <c r="AP41" s="82"/>
      <c r="AQ41" s="82"/>
      <c r="AR41" s="82"/>
      <c r="AS41" s="82"/>
      <c r="AT41" s="160"/>
      <c r="AU41" s="160"/>
      <c r="AV41" s="160"/>
      <c r="AW41" s="160"/>
      <c r="AX41" s="160"/>
      <c r="AY41" s="160"/>
      <c r="AZ41" s="160"/>
      <c r="BA41" s="160"/>
      <c r="BB41" s="160"/>
      <c r="BC41" s="160"/>
      <c r="BD41" s="160"/>
      <c r="BE41" s="160"/>
      <c r="BF41" s="160"/>
    </row>
    <row r="42" spans="1:58">
      <c r="A42" s="82"/>
      <c r="B42" s="82"/>
      <c r="C42" s="83"/>
      <c r="D42" s="83"/>
      <c r="E42" s="82"/>
      <c r="F42" s="70">
        <v>41</v>
      </c>
      <c r="G42" s="71" t="s">
        <v>316</v>
      </c>
      <c r="H42" s="62"/>
      <c r="I42" s="91">
        <v>21</v>
      </c>
      <c r="J42" s="76" t="s">
        <v>316</v>
      </c>
      <c r="K42" s="77"/>
      <c r="L42" s="78" t="str">
        <f>IF(K42="","",IF(K42=K43,"R",""))</f>
        <v/>
      </c>
      <c r="M42" s="81">
        <f>INDEX(Results!T:T,MATCH(J42,Results!V:V,0))</f>
        <v>-4.8499999999999996</v>
      </c>
      <c r="N42" s="62"/>
      <c r="O42" s="91">
        <v>21</v>
      </c>
      <c r="P42" s="674" t="s">
        <v>316</v>
      </c>
      <c r="Q42" s="77">
        <v>-2.2857142857142865</v>
      </c>
      <c r="R42" s="88" t="str">
        <f>IF(Q42="","",IF(Q42=Q43,"R",""))</f>
        <v/>
      </c>
      <c r="S42" s="85">
        <f>INDEX(Results!T:T,MATCH(P42,Results!V:V,0))</f>
        <v>-4.8499999999999996</v>
      </c>
      <c r="T42" s="62"/>
      <c r="U42" s="65"/>
      <c r="V42" s="67"/>
      <c r="W42" s="77"/>
      <c r="X42" s="88" t="str">
        <f>IF(W42="","",IF(W42=W43,"R",""))</f>
        <v/>
      </c>
      <c r="Y42" s="85" t="e">
        <f>INDEX(Results!T:T,MATCH(V42,Results!V:V,0))</f>
        <v>#N/A</v>
      </c>
      <c r="Z42" s="62"/>
      <c r="AF42" s="82"/>
      <c r="AG42" s="82"/>
      <c r="AH42" s="82"/>
      <c r="AI42" s="82"/>
      <c r="AJ42" s="82"/>
      <c r="AK42" s="82"/>
      <c r="AL42" s="82"/>
      <c r="AM42" s="82"/>
      <c r="AN42" s="82"/>
      <c r="AO42" s="82"/>
      <c r="AP42" s="82"/>
      <c r="AQ42" s="82"/>
      <c r="AR42" s="82"/>
      <c r="AS42" s="82"/>
      <c r="AT42" s="160"/>
      <c r="AU42" s="160"/>
      <c r="AV42" s="160"/>
      <c r="AW42" s="160"/>
      <c r="AX42" s="160"/>
      <c r="AY42" s="160"/>
      <c r="AZ42" s="160"/>
      <c r="BA42" s="160"/>
      <c r="BB42" s="160"/>
      <c r="BC42" s="160"/>
      <c r="BD42" s="160"/>
      <c r="BE42" s="160"/>
      <c r="BF42" s="160"/>
    </row>
    <row r="43" spans="1:58">
      <c r="A43" s="82"/>
      <c r="B43" s="82"/>
      <c r="C43" s="83"/>
      <c r="D43" s="83"/>
      <c r="E43" s="82"/>
      <c r="F43" s="70">
        <v>42</v>
      </c>
      <c r="G43" s="71" t="s">
        <v>390</v>
      </c>
      <c r="H43" s="62"/>
      <c r="I43" s="90"/>
      <c r="J43" s="76" t="s">
        <v>390</v>
      </c>
      <c r="K43" s="77"/>
      <c r="L43" s="79"/>
      <c r="M43" s="81">
        <f>INDEX(Results!T:T,MATCH(J43,Results!V:V,0))</f>
        <v>-7</v>
      </c>
      <c r="N43" s="62"/>
      <c r="O43" s="90"/>
      <c r="P43" s="674" t="s">
        <v>390</v>
      </c>
      <c r="Q43" s="77">
        <v>-7</v>
      </c>
      <c r="R43" s="66"/>
      <c r="S43" s="85">
        <f>INDEX(Results!T:T,MATCH(P43,Results!V:V,0))</f>
        <v>-7</v>
      </c>
      <c r="T43" s="62"/>
      <c r="U43" s="68"/>
      <c r="V43" s="67"/>
      <c r="W43" s="77"/>
      <c r="X43" s="69"/>
      <c r="Y43" s="85" t="e">
        <f>INDEX(Results!T:T,MATCH(V43,Results!V:V,0))</f>
        <v>#N/A</v>
      </c>
      <c r="Z43" s="62"/>
      <c r="AF43" s="82"/>
      <c r="AG43" s="82"/>
      <c r="AH43" s="82"/>
      <c r="AI43" s="82"/>
      <c r="AJ43" s="82"/>
      <c r="AK43" s="82"/>
      <c r="AL43" s="82"/>
      <c r="AM43" s="82"/>
      <c r="AN43" s="82"/>
      <c r="AO43" s="82"/>
      <c r="AP43" s="82"/>
      <c r="AQ43" s="82"/>
      <c r="AR43" s="82"/>
      <c r="AS43" s="82"/>
      <c r="AT43" s="160"/>
      <c r="AU43" s="160"/>
      <c r="AV43" s="160"/>
      <c r="AW43" s="160"/>
      <c r="AX43" s="160"/>
      <c r="AY43" s="160"/>
      <c r="AZ43" s="160"/>
      <c r="BA43" s="160"/>
      <c r="BB43" s="160"/>
      <c r="BC43" s="160"/>
      <c r="BD43" s="160"/>
      <c r="BE43" s="160"/>
      <c r="BF43" s="160"/>
    </row>
    <row r="44" spans="1:58">
      <c r="A44" s="82"/>
      <c r="B44" s="82"/>
      <c r="C44" s="83"/>
      <c r="D44" s="83"/>
      <c r="E44" s="82"/>
      <c r="F44" s="70">
        <v>43</v>
      </c>
      <c r="G44" s="71" t="s">
        <v>323</v>
      </c>
      <c r="H44" s="62"/>
      <c r="I44" s="91">
        <v>22</v>
      </c>
      <c r="J44" s="76" t="s">
        <v>323</v>
      </c>
      <c r="K44" s="77"/>
      <c r="L44" s="78" t="str">
        <f t="shared" ref="L44:L72" si="0">IF(K44="","",IF(K44=K45,"R",""))</f>
        <v/>
      </c>
      <c r="M44" s="81">
        <f>INDEX(Results!T:T,MATCH(J44,Results!V:V,0))</f>
        <v>7.75</v>
      </c>
      <c r="N44" s="62"/>
      <c r="O44" s="91">
        <v>22</v>
      </c>
      <c r="P44" s="674" t="s">
        <v>323</v>
      </c>
      <c r="Q44" s="77">
        <v>-7</v>
      </c>
      <c r="R44" s="88" t="str">
        <f>IF(Q44="","",IF(Q44=Q45,"R",""))</f>
        <v/>
      </c>
      <c r="S44" s="85">
        <f>INDEX(Results!T:T,MATCH(P44,Results!V:V,0))</f>
        <v>7.75</v>
      </c>
      <c r="T44" s="62"/>
      <c r="U44" s="65"/>
      <c r="V44" s="67"/>
      <c r="W44" s="77"/>
      <c r="X44" s="78" t="str">
        <f>IF(W44="","",IF(W44=W45,"R",""))</f>
        <v/>
      </c>
      <c r="Y44" s="85" t="e">
        <f>INDEX(Results!T:T,MATCH(V44,Results!V:V,0))</f>
        <v>#N/A</v>
      </c>
      <c r="Z44" s="62"/>
      <c r="AF44" s="82"/>
      <c r="AG44" s="82"/>
      <c r="AH44" s="82"/>
      <c r="AI44" s="82"/>
      <c r="AJ44" s="82"/>
      <c r="AK44" s="82"/>
      <c r="AL44" s="82"/>
      <c r="AM44" s="82"/>
      <c r="AN44" s="82"/>
      <c r="AO44" s="82"/>
      <c r="AP44" s="82"/>
      <c r="AQ44" s="82"/>
      <c r="AR44" s="82"/>
      <c r="AS44" s="82"/>
      <c r="AT44" s="160"/>
      <c r="AU44" s="160"/>
      <c r="AV44" s="160"/>
      <c r="AW44" s="160"/>
      <c r="AX44" s="160"/>
      <c r="AY44" s="160"/>
      <c r="AZ44" s="160"/>
      <c r="BA44" s="160"/>
      <c r="BB44" s="160"/>
      <c r="BC44" s="160"/>
      <c r="BD44" s="160"/>
      <c r="BE44" s="160"/>
      <c r="BF44" s="160"/>
    </row>
    <row r="45" spans="1:58">
      <c r="A45" s="82"/>
      <c r="B45" s="82"/>
      <c r="C45" s="83"/>
      <c r="D45" s="83"/>
      <c r="E45" s="82"/>
      <c r="F45" s="70">
        <v>44</v>
      </c>
      <c r="G45" s="71" t="s">
        <v>288</v>
      </c>
      <c r="H45" s="62"/>
      <c r="I45" s="90"/>
      <c r="J45" s="76" t="s">
        <v>288</v>
      </c>
      <c r="K45" s="77"/>
      <c r="L45" s="79"/>
      <c r="M45" s="81">
        <f>INDEX(Results!T:T,MATCH(J45,Results!V:V,0))</f>
        <v>-1.4000000000000004</v>
      </c>
      <c r="N45" s="62"/>
      <c r="O45" s="90"/>
      <c r="P45" s="674" t="s">
        <v>288</v>
      </c>
      <c r="Q45" s="77">
        <v>-4.4000000000000004</v>
      </c>
      <c r="R45" s="66"/>
      <c r="S45" s="85">
        <f>INDEX(Results!T:T,MATCH(P45,Results!V:V,0))</f>
        <v>-1.4000000000000004</v>
      </c>
      <c r="T45" s="62"/>
      <c r="U45" s="72"/>
      <c r="V45" s="67"/>
      <c r="W45" s="77"/>
      <c r="X45" s="66"/>
      <c r="Y45" s="85" t="e">
        <f>INDEX(Results!T:T,MATCH(V45,Results!V:V,0))</f>
        <v>#N/A</v>
      </c>
      <c r="Z45" s="62"/>
      <c r="AF45" s="82"/>
      <c r="AG45" s="82"/>
      <c r="AH45" s="82"/>
      <c r="AI45" s="82"/>
      <c r="AJ45" s="82"/>
      <c r="AK45" s="82"/>
      <c r="AL45" s="82"/>
      <c r="AM45" s="82"/>
      <c r="AN45" s="82"/>
      <c r="AO45" s="82"/>
      <c r="AP45" s="82"/>
      <c r="AQ45" s="82"/>
      <c r="AR45" s="82"/>
      <c r="AS45" s="82"/>
      <c r="AT45" s="160"/>
      <c r="AU45" s="160"/>
      <c r="AV45" s="160"/>
      <c r="AW45" s="160"/>
      <c r="AX45" s="160"/>
      <c r="AY45" s="160"/>
      <c r="AZ45" s="160"/>
      <c r="BA45" s="160"/>
      <c r="BB45" s="160"/>
      <c r="BC45" s="160"/>
      <c r="BD45" s="160"/>
      <c r="BE45" s="160"/>
      <c r="BF45" s="160"/>
    </row>
    <row r="46" spans="1:58">
      <c r="A46" s="82"/>
      <c r="B46" s="82"/>
      <c r="C46" s="83"/>
      <c r="D46" s="83"/>
      <c r="E46" s="82"/>
      <c r="F46" s="70">
        <v>45</v>
      </c>
      <c r="G46" s="71" t="s">
        <v>547</v>
      </c>
      <c r="H46" s="62"/>
      <c r="I46" s="91">
        <v>23</v>
      </c>
      <c r="J46" s="76" t="s">
        <v>547</v>
      </c>
      <c r="K46" s="77"/>
      <c r="L46" s="78" t="str">
        <f t="shared" si="0"/>
        <v/>
      </c>
      <c r="M46" s="81" t="e">
        <f>INDEX(Results!T:T,MATCH(J46,Results!V:V,0))</f>
        <v>#VALUE!</v>
      </c>
      <c r="N46" s="62"/>
      <c r="O46" s="91">
        <v>23</v>
      </c>
      <c r="P46" s="674" t="s">
        <v>547</v>
      </c>
      <c r="Q46" s="77">
        <v>-10</v>
      </c>
      <c r="R46" s="88" t="str">
        <f>IF(Q46="","",IF(Q46=Q47,"R",""))</f>
        <v/>
      </c>
      <c r="S46" s="85" t="e">
        <f>INDEX(Results!T:T,MATCH(P46,Results!V:V,0))</f>
        <v>#VALUE!</v>
      </c>
      <c r="T46" s="62"/>
      <c r="U46" s="65"/>
      <c r="V46" s="75"/>
      <c r="W46" s="77"/>
      <c r="X46" s="88" t="str">
        <f>IF(W46="","",IF(W46=W47,"R",""))</f>
        <v/>
      </c>
      <c r="Y46" s="85" t="e">
        <f>INDEX(Results!T:T,MATCH(V46,Results!V:V,0))</f>
        <v>#N/A</v>
      </c>
      <c r="Z46" s="62"/>
      <c r="AF46" s="82"/>
      <c r="AG46" s="82"/>
      <c r="AH46" s="82"/>
      <c r="AI46" s="82"/>
      <c r="AJ46" s="82"/>
      <c r="AK46" s="82"/>
      <c r="AL46" s="82"/>
      <c r="AM46" s="82"/>
      <c r="AN46" s="82"/>
      <c r="AO46" s="82"/>
      <c r="AP46" s="82"/>
      <c r="AQ46" s="82"/>
      <c r="AR46" s="82"/>
      <c r="AS46" s="82"/>
      <c r="AT46" s="160"/>
      <c r="AU46" s="160"/>
      <c r="AV46" s="160"/>
      <c r="AW46" s="160"/>
      <c r="AX46" s="160"/>
      <c r="AY46" s="160"/>
      <c r="AZ46" s="160"/>
      <c r="BA46" s="160"/>
      <c r="BB46" s="160"/>
      <c r="BC46" s="160"/>
      <c r="BD46" s="160"/>
      <c r="BE46" s="160"/>
      <c r="BF46" s="160"/>
    </row>
    <row r="47" spans="1:58">
      <c r="A47" s="82"/>
      <c r="B47" s="82"/>
      <c r="C47" s="83"/>
      <c r="D47" s="83"/>
      <c r="E47" s="82"/>
      <c r="F47" s="70">
        <v>46</v>
      </c>
      <c r="G47" s="71" t="s">
        <v>551</v>
      </c>
      <c r="H47" s="62"/>
      <c r="I47" s="90"/>
      <c r="J47" s="76" t="s">
        <v>551</v>
      </c>
      <c r="K47" s="77"/>
      <c r="L47" s="79"/>
      <c r="M47" s="81">
        <f>INDEX(Results!T:T,MATCH(J47,Results!V:V,0))</f>
        <v>-1</v>
      </c>
      <c r="N47" s="62"/>
      <c r="O47" s="90"/>
      <c r="P47" s="674" t="s">
        <v>551</v>
      </c>
      <c r="Q47" s="77">
        <v>-5.3333333333333339</v>
      </c>
      <c r="R47" s="66"/>
      <c r="S47" s="85">
        <f>INDEX(Results!T:T,MATCH(P47,Results!V:V,0))</f>
        <v>-1</v>
      </c>
      <c r="T47" s="62"/>
      <c r="U47" s="68"/>
      <c r="V47" s="75"/>
      <c r="W47" s="77"/>
      <c r="X47" s="69"/>
      <c r="Y47" s="85" t="e">
        <f>INDEX(Results!T:T,MATCH(V47,Results!V:V,0))</f>
        <v>#N/A</v>
      </c>
      <c r="Z47" s="62"/>
      <c r="AF47" s="82"/>
      <c r="AG47" s="82"/>
      <c r="AH47" s="82"/>
      <c r="AI47" s="82"/>
      <c r="AJ47" s="82"/>
      <c r="AK47" s="82"/>
      <c r="AL47" s="82"/>
      <c r="AM47" s="82"/>
      <c r="AN47" s="82"/>
      <c r="AO47" s="82"/>
      <c r="AP47" s="82"/>
      <c r="AQ47" s="82"/>
      <c r="AR47" s="82"/>
      <c r="AS47" s="82"/>
      <c r="AT47" s="160"/>
      <c r="AU47" s="160"/>
      <c r="AV47" s="160"/>
      <c r="AW47" s="160"/>
      <c r="AX47" s="160"/>
      <c r="AY47" s="160"/>
      <c r="AZ47" s="160"/>
      <c r="BA47" s="160"/>
      <c r="BB47" s="160"/>
      <c r="BC47" s="160"/>
      <c r="BD47" s="160"/>
      <c r="BE47" s="160"/>
      <c r="BF47" s="160"/>
    </row>
    <row r="48" spans="1:58">
      <c r="A48" s="82"/>
      <c r="B48" s="82"/>
      <c r="C48" s="83"/>
      <c r="D48" s="83"/>
      <c r="E48" s="82"/>
      <c r="F48" s="70">
        <v>47</v>
      </c>
      <c r="G48" s="71" t="s">
        <v>295</v>
      </c>
      <c r="H48" s="62"/>
      <c r="I48" s="91">
        <v>24</v>
      </c>
      <c r="J48" s="76" t="s">
        <v>295</v>
      </c>
      <c r="K48" s="77"/>
      <c r="L48" s="78" t="str">
        <f t="shared" si="0"/>
        <v/>
      </c>
      <c r="M48" s="81">
        <f>INDEX(Results!T:T,MATCH(J48,Results!V:V,0))</f>
        <v>0.83500000000000085</v>
      </c>
      <c r="N48" s="62"/>
      <c r="O48" s="91">
        <v>24</v>
      </c>
      <c r="P48" s="674" t="s">
        <v>295</v>
      </c>
      <c r="Q48" s="77">
        <v>-4.7</v>
      </c>
      <c r="R48" s="88" t="str">
        <f>IF(Q48="","",IF(Q48=Q49,"R",""))</f>
        <v/>
      </c>
      <c r="S48" s="85">
        <f>INDEX(Results!T:T,MATCH(P48,Results!V:V,0))</f>
        <v>0.83500000000000085</v>
      </c>
      <c r="T48" s="62"/>
      <c r="U48" s="65"/>
      <c r="V48" s="67"/>
      <c r="W48" s="77"/>
      <c r="X48" s="88" t="str">
        <f>IF(W48="","",IF(W48=W49,"R",""))</f>
        <v/>
      </c>
      <c r="Y48" s="85" t="e">
        <f>INDEX(Results!T:T,MATCH(V48,Results!V:V,0))</f>
        <v>#N/A</v>
      </c>
      <c r="Z48" s="62"/>
      <c r="AF48" s="82"/>
      <c r="AG48" s="82"/>
      <c r="AH48" s="82"/>
      <c r="AI48" s="82"/>
      <c r="AJ48" s="82"/>
      <c r="AK48" s="82"/>
      <c r="AL48" s="82"/>
      <c r="AM48" s="82"/>
      <c r="AN48" s="82"/>
      <c r="AO48" s="82"/>
      <c r="AP48" s="82"/>
      <c r="AQ48" s="82"/>
      <c r="AR48" s="82"/>
      <c r="AS48" s="82"/>
      <c r="AT48" s="160"/>
      <c r="AU48" s="160"/>
      <c r="AV48" s="160"/>
      <c r="AW48" s="160"/>
      <c r="AX48" s="160"/>
      <c r="AY48" s="160"/>
      <c r="AZ48" s="160"/>
      <c r="BA48" s="160"/>
      <c r="BB48" s="160"/>
      <c r="BC48" s="160"/>
      <c r="BD48" s="160"/>
      <c r="BE48" s="160"/>
      <c r="BF48" s="160"/>
    </row>
    <row r="49" spans="1:58">
      <c r="A49" s="82"/>
      <c r="B49" s="82"/>
      <c r="C49" s="83"/>
      <c r="D49" s="83"/>
      <c r="E49" s="82"/>
      <c r="F49" s="70">
        <v>48</v>
      </c>
      <c r="G49" s="71" t="s">
        <v>328</v>
      </c>
      <c r="H49" s="62"/>
      <c r="I49" s="90"/>
      <c r="J49" s="76" t="s">
        <v>328</v>
      </c>
      <c r="K49" s="77"/>
      <c r="L49" s="79"/>
      <c r="M49" s="81">
        <f>INDEX(Results!T:T,MATCH(J49,Results!V:V,0))</f>
        <v>-7</v>
      </c>
      <c r="N49" s="62"/>
      <c r="O49" s="90"/>
      <c r="P49" s="674" t="s">
        <v>328</v>
      </c>
      <c r="Q49" s="77">
        <v>5.1516483516483511</v>
      </c>
      <c r="R49" s="66"/>
      <c r="S49" s="85">
        <f>INDEX(Results!T:T,MATCH(P49,Results!V:V,0))</f>
        <v>-7</v>
      </c>
      <c r="T49" s="62"/>
      <c r="U49" s="68"/>
      <c r="V49" s="67"/>
      <c r="W49" s="77"/>
      <c r="X49" s="69"/>
      <c r="Y49" s="85" t="e">
        <f>INDEX(Results!T:T,MATCH(V49,Results!V:V,0))</f>
        <v>#N/A</v>
      </c>
      <c r="Z49" s="62"/>
      <c r="AF49" s="82"/>
      <c r="AG49" s="82"/>
      <c r="AH49" s="82"/>
      <c r="AI49" s="82"/>
      <c r="AJ49" s="82"/>
      <c r="AK49" s="82"/>
      <c r="AL49" s="82"/>
      <c r="AM49" s="82"/>
      <c r="AN49" s="82"/>
      <c r="AO49" s="82"/>
      <c r="AP49" s="82"/>
      <c r="AQ49" s="82"/>
      <c r="AR49" s="82"/>
      <c r="AS49" s="82"/>
      <c r="AT49" s="160"/>
      <c r="AU49" s="160"/>
      <c r="AV49" s="160"/>
      <c r="AW49" s="160"/>
      <c r="AX49" s="160"/>
      <c r="AY49" s="160"/>
      <c r="AZ49" s="160"/>
      <c r="BA49" s="160"/>
      <c r="BB49" s="160"/>
      <c r="BC49" s="160"/>
      <c r="BD49" s="160"/>
      <c r="BE49" s="160"/>
      <c r="BF49" s="160"/>
    </row>
    <row r="50" spans="1:58">
      <c r="A50" s="82"/>
      <c r="B50" s="82"/>
      <c r="C50" s="83"/>
      <c r="D50" s="83"/>
      <c r="E50" s="82"/>
      <c r="F50" s="70">
        <v>49</v>
      </c>
      <c r="G50" s="71" t="s">
        <v>294</v>
      </c>
      <c r="H50" s="62"/>
      <c r="I50" s="91">
        <v>25</v>
      </c>
      <c r="J50" s="76" t="s">
        <v>294</v>
      </c>
      <c r="K50" s="77"/>
      <c r="L50" s="78" t="str">
        <f t="shared" si="0"/>
        <v/>
      </c>
      <c r="M50" s="81">
        <f>INDEX(Results!T:T,MATCH(J50,Results!V:V,0))</f>
        <v>-2.0600000000000005</v>
      </c>
      <c r="N50" s="62"/>
      <c r="O50" s="91">
        <v>25</v>
      </c>
      <c r="P50" s="674" t="s">
        <v>294</v>
      </c>
      <c r="Q50" s="77">
        <v>6.5714285714285694</v>
      </c>
      <c r="R50" s="88" t="str">
        <f>IF(Q50="","",IF(Q50=Q51,"R",""))</f>
        <v/>
      </c>
      <c r="S50" s="85">
        <f>INDEX(Results!T:T,MATCH(P50,Results!V:V,0))</f>
        <v>-2.0600000000000005</v>
      </c>
      <c r="T50" s="82"/>
      <c r="U50" s="65"/>
      <c r="V50" s="67"/>
      <c r="W50" s="77"/>
      <c r="X50" s="88" t="str">
        <f>IF(W50="","",IF(W50=W51,"R",""))</f>
        <v/>
      </c>
      <c r="Y50" s="85" t="e">
        <f>INDEX(Results!T:T,MATCH(V50,Results!V:V,0))</f>
        <v>#N/A</v>
      </c>
      <c r="Z50" s="82"/>
      <c r="AF50" s="82"/>
      <c r="AG50" s="82"/>
      <c r="AH50" s="82"/>
      <c r="AI50" s="82"/>
      <c r="AJ50" s="82"/>
      <c r="AK50" s="82"/>
      <c r="AL50" s="82"/>
      <c r="AM50" s="82"/>
      <c r="AN50" s="82"/>
      <c r="AO50" s="82"/>
      <c r="AP50" s="82"/>
      <c r="AQ50" s="82"/>
      <c r="AR50" s="82"/>
      <c r="AS50" s="82"/>
      <c r="AT50" s="160"/>
      <c r="AU50" s="160"/>
      <c r="AV50" s="160"/>
      <c r="AW50" s="160"/>
      <c r="AX50" s="160"/>
      <c r="AY50" s="160"/>
      <c r="AZ50" s="160"/>
      <c r="BA50" s="160"/>
      <c r="BB50" s="160"/>
      <c r="BC50" s="160"/>
      <c r="BD50" s="160"/>
      <c r="BE50" s="160"/>
      <c r="BF50" s="160"/>
    </row>
    <row r="51" spans="1:58">
      <c r="A51" s="82"/>
      <c r="B51" s="82"/>
      <c r="C51" s="83"/>
      <c r="D51" s="83"/>
      <c r="E51" s="82"/>
      <c r="F51" s="70">
        <v>50</v>
      </c>
      <c r="G51" s="71" t="s">
        <v>312</v>
      </c>
      <c r="H51" s="62"/>
      <c r="I51" s="90"/>
      <c r="J51" s="76" t="s">
        <v>312</v>
      </c>
      <c r="K51" s="77"/>
      <c r="L51" s="79"/>
      <c r="M51" s="81">
        <f>INDEX(Results!T:T,MATCH(J51,Results!V:V,0))</f>
        <v>14.207499999999996</v>
      </c>
      <c r="N51" s="62"/>
      <c r="O51" s="90"/>
      <c r="P51" s="674" t="s">
        <v>312</v>
      </c>
      <c r="Q51" s="77">
        <v>-5.384615384615385</v>
      </c>
      <c r="R51" s="66"/>
      <c r="S51" s="85">
        <f>INDEX(Results!T:T,MATCH(P51,Results!V:V,0))</f>
        <v>14.207499999999996</v>
      </c>
      <c r="T51" s="82"/>
      <c r="U51" s="68"/>
      <c r="V51" s="67"/>
      <c r="W51" s="77"/>
      <c r="X51" s="69"/>
      <c r="Y51" s="85" t="e">
        <f>INDEX(Results!T:T,MATCH(V51,Results!V:V,0))</f>
        <v>#N/A</v>
      </c>
      <c r="Z51" s="82"/>
      <c r="AF51" s="82"/>
      <c r="AG51" s="82"/>
      <c r="AH51" s="82"/>
      <c r="AI51" s="82"/>
      <c r="AJ51" s="82"/>
      <c r="AK51" s="82"/>
      <c r="AL51" s="82"/>
      <c r="AM51" s="82"/>
      <c r="AN51" s="82"/>
      <c r="AO51" s="82"/>
      <c r="AP51" s="82"/>
      <c r="AQ51" s="82"/>
      <c r="AR51" s="82"/>
      <c r="AS51" s="82"/>
      <c r="AT51" s="160"/>
      <c r="AU51" s="160"/>
      <c r="AV51" s="160"/>
      <c r="AW51" s="160"/>
      <c r="AX51" s="160"/>
      <c r="AY51" s="160"/>
      <c r="AZ51" s="160"/>
      <c r="BA51" s="160"/>
      <c r="BB51" s="160"/>
      <c r="BC51" s="160"/>
      <c r="BD51" s="160"/>
      <c r="BE51" s="160"/>
      <c r="BF51" s="160"/>
    </row>
    <row r="52" spans="1:58">
      <c r="A52" s="82"/>
      <c r="B52" s="82"/>
      <c r="C52" s="83"/>
      <c r="D52" s="83"/>
      <c r="E52" s="82"/>
      <c r="F52" s="70">
        <v>51</v>
      </c>
      <c r="G52" s="71" t="s">
        <v>314</v>
      </c>
      <c r="H52" s="62"/>
      <c r="I52" s="91">
        <v>26</v>
      </c>
      <c r="J52" s="76" t="s">
        <v>314</v>
      </c>
      <c r="K52" s="77"/>
      <c r="L52" s="78" t="str">
        <f t="shared" si="0"/>
        <v/>
      </c>
      <c r="M52" s="81">
        <f>INDEX(Results!T:T,MATCH(J52,Results!V:V,0))</f>
        <v>-1</v>
      </c>
      <c r="N52" s="62"/>
      <c r="O52" s="91">
        <v>26</v>
      </c>
      <c r="P52" s="674" t="s">
        <v>314</v>
      </c>
      <c r="Q52" s="77">
        <v>-7</v>
      </c>
      <c r="R52" s="88" t="str">
        <f>IF(Q52="","",IF(Q52=Q53,"R",""))</f>
        <v/>
      </c>
      <c r="S52" s="85">
        <f>INDEX(Results!T:T,MATCH(P52,Results!V:V,0))</f>
        <v>-1</v>
      </c>
      <c r="T52" s="82"/>
      <c r="U52" s="65"/>
      <c r="V52" s="67"/>
      <c r="W52" s="77"/>
      <c r="X52" s="78" t="str">
        <f>IF(W52="","",IF(W52=W53,"R",""))</f>
        <v/>
      </c>
      <c r="Y52" s="85" t="e">
        <f>INDEX(Results!T:T,MATCH(V52,Results!V:V,0))</f>
        <v>#N/A</v>
      </c>
      <c r="Z52" s="82"/>
      <c r="AF52" s="82"/>
      <c r="AG52" s="82"/>
      <c r="AH52" s="82"/>
      <c r="AI52" s="82"/>
      <c r="AJ52" s="82"/>
      <c r="AK52" s="82"/>
      <c r="AL52" s="82"/>
      <c r="AM52" s="82"/>
      <c r="AN52" s="82"/>
      <c r="AO52" s="82"/>
      <c r="AP52" s="82"/>
      <c r="AQ52" s="82"/>
      <c r="AR52" s="82"/>
      <c r="AS52" s="82"/>
      <c r="AT52" s="160"/>
      <c r="AU52" s="160"/>
      <c r="AV52" s="160"/>
      <c r="AW52" s="160"/>
      <c r="AX52" s="160"/>
      <c r="AY52" s="160"/>
      <c r="AZ52" s="160"/>
      <c r="BA52" s="160"/>
      <c r="BB52" s="160"/>
      <c r="BC52" s="160"/>
      <c r="BD52" s="160"/>
      <c r="BE52" s="160"/>
      <c r="BF52" s="160"/>
    </row>
    <row r="53" spans="1:58">
      <c r="A53" s="82"/>
      <c r="B53" s="82"/>
      <c r="C53" s="83"/>
      <c r="D53" s="83"/>
      <c r="E53" s="82"/>
      <c r="F53" s="70">
        <v>52</v>
      </c>
      <c r="G53" s="71" t="s">
        <v>324</v>
      </c>
      <c r="H53" s="62"/>
      <c r="I53" s="90"/>
      <c r="J53" s="76" t="s">
        <v>324</v>
      </c>
      <c r="K53" s="77"/>
      <c r="L53" s="79"/>
      <c r="M53" s="81">
        <f>INDEX(Results!T:T,MATCH(J53,Results!V:V,0))</f>
        <v>-7</v>
      </c>
      <c r="N53" s="62"/>
      <c r="O53" s="90"/>
      <c r="P53" s="674" t="s">
        <v>324</v>
      </c>
      <c r="Q53" s="77">
        <v>-3.6</v>
      </c>
      <c r="R53" s="66"/>
      <c r="S53" s="85">
        <f>INDEX(Results!T:T,MATCH(P53,Results!V:V,0))</f>
        <v>-7</v>
      </c>
      <c r="T53" s="82"/>
      <c r="U53" s="72"/>
      <c r="V53" s="67"/>
      <c r="W53" s="77"/>
      <c r="X53" s="66"/>
      <c r="Y53" s="85" t="e">
        <f>INDEX(Results!T:T,MATCH(V53,Results!V:V,0))</f>
        <v>#N/A</v>
      </c>
      <c r="Z53" s="82"/>
      <c r="AF53" s="82"/>
      <c r="AG53" s="82"/>
      <c r="AH53" s="82"/>
      <c r="AI53" s="82"/>
      <c r="AJ53" s="82"/>
      <c r="AK53" s="82"/>
      <c r="AL53" s="82"/>
      <c r="AM53" s="82"/>
      <c r="AN53" s="82"/>
      <c r="AO53" s="82"/>
      <c r="AP53" s="82"/>
      <c r="AQ53" s="82"/>
      <c r="AR53" s="82"/>
      <c r="AS53" s="82"/>
      <c r="AT53" s="160"/>
      <c r="AU53" s="160"/>
      <c r="AV53" s="160"/>
      <c r="AW53" s="160"/>
      <c r="AX53" s="160"/>
      <c r="AY53" s="160"/>
      <c r="AZ53" s="160"/>
      <c r="BA53" s="160"/>
      <c r="BB53" s="160"/>
      <c r="BC53" s="160"/>
      <c r="BD53" s="160"/>
      <c r="BE53" s="160"/>
      <c r="BF53" s="160"/>
    </row>
    <row r="54" spans="1:58">
      <c r="A54" s="82"/>
      <c r="B54" s="82"/>
      <c r="C54" s="83"/>
      <c r="D54" s="83"/>
      <c r="E54" s="82"/>
      <c r="F54" s="70">
        <v>53</v>
      </c>
      <c r="G54" s="71" t="s">
        <v>291</v>
      </c>
      <c r="H54" s="62"/>
      <c r="I54" s="91">
        <v>27</v>
      </c>
      <c r="J54" s="76" t="s">
        <v>291</v>
      </c>
      <c r="K54" s="77"/>
      <c r="L54" s="78" t="str">
        <f t="shared" si="0"/>
        <v/>
      </c>
      <c r="M54" s="81">
        <f>INDEX(Results!T:T,MATCH(J54,Results!V:V,0))</f>
        <v>-1.4000000000000004</v>
      </c>
      <c r="N54" s="62"/>
      <c r="O54" s="91">
        <v>27</v>
      </c>
      <c r="P54" s="73" t="s">
        <v>291</v>
      </c>
      <c r="Q54" s="77">
        <v>7.0485207100591722</v>
      </c>
      <c r="R54" s="88" t="str">
        <f>IF(Q54="","",IF(Q54=Q55,"R",""))</f>
        <v/>
      </c>
      <c r="S54" s="85">
        <f>INDEX(Results!T:T,MATCH(P54,Results!V:V,0))</f>
        <v>-1.4000000000000004</v>
      </c>
      <c r="T54" s="82"/>
      <c r="U54" s="82"/>
      <c r="V54" s="82"/>
      <c r="W54" s="82"/>
      <c r="X54" s="82"/>
      <c r="Y54" s="86"/>
      <c r="Z54" s="82"/>
      <c r="AF54" s="82"/>
      <c r="AG54" s="82"/>
      <c r="AH54" s="82"/>
      <c r="AI54" s="82"/>
      <c r="AJ54" s="82"/>
      <c r="AK54" s="82"/>
      <c r="AL54" s="82"/>
      <c r="AM54" s="82"/>
      <c r="AN54" s="82"/>
      <c r="AO54" s="82"/>
      <c r="AP54" s="82"/>
      <c r="AQ54" s="82"/>
      <c r="AR54" s="82"/>
      <c r="AS54" s="82"/>
      <c r="AT54" s="160"/>
      <c r="AU54" s="160"/>
      <c r="AV54" s="160"/>
      <c r="AW54" s="160"/>
      <c r="AX54" s="160"/>
      <c r="AY54" s="160"/>
      <c r="AZ54" s="160"/>
      <c r="BA54" s="160"/>
      <c r="BB54" s="160"/>
      <c r="BC54" s="160"/>
      <c r="BD54" s="160"/>
      <c r="BE54" s="160"/>
      <c r="BF54" s="160"/>
    </row>
    <row r="55" spans="1:58">
      <c r="A55" s="82"/>
      <c r="B55" s="82"/>
      <c r="C55" s="83"/>
      <c r="D55" s="83"/>
      <c r="E55" s="82"/>
      <c r="F55" s="70">
        <v>54</v>
      </c>
      <c r="G55" s="71" t="s">
        <v>300</v>
      </c>
      <c r="H55" s="62"/>
      <c r="I55" s="90"/>
      <c r="J55" s="76" t="s">
        <v>300</v>
      </c>
      <c r="K55" s="77"/>
      <c r="L55" s="79"/>
      <c r="M55" s="81">
        <f>INDEX(Results!T:T,MATCH(J55,Results!V:V,0))</f>
        <v>-3</v>
      </c>
      <c r="N55" s="62"/>
      <c r="O55" s="90"/>
      <c r="P55" s="73" t="s">
        <v>300</v>
      </c>
      <c r="Q55" s="77">
        <v>-1</v>
      </c>
      <c r="R55" s="66"/>
      <c r="S55" s="85">
        <f>INDEX(Results!T:T,MATCH(P55,Results!V:V,0))</f>
        <v>-3</v>
      </c>
      <c r="T55" s="82"/>
      <c r="U55" s="82"/>
      <c r="V55" s="82"/>
      <c r="W55" s="82"/>
      <c r="X55" s="82"/>
      <c r="Y55" s="86"/>
      <c r="Z55" s="82"/>
      <c r="AF55" s="82"/>
      <c r="AG55" s="82"/>
      <c r="AH55" s="82"/>
      <c r="AI55" s="82"/>
      <c r="AJ55" s="82"/>
      <c r="AK55" s="82"/>
      <c r="AL55" s="82"/>
      <c r="AM55" s="82"/>
      <c r="AN55" s="82"/>
      <c r="AO55" s="82"/>
      <c r="AP55" s="82"/>
      <c r="AQ55" s="82"/>
      <c r="AR55" s="82"/>
      <c r="AS55" s="82"/>
      <c r="AT55" s="160"/>
      <c r="AU55" s="160"/>
      <c r="AV55" s="160"/>
      <c r="AW55" s="160"/>
      <c r="AX55" s="160"/>
      <c r="AY55" s="160"/>
      <c r="AZ55" s="160"/>
      <c r="BA55" s="160"/>
      <c r="BB55" s="160"/>
      <c r="BC55" s="160"/>
      <c r="BD55" s="160"/>
      <c r="BE55" s="160"/>
      <c r="BF55" s="160"/>
    </row>
    <row r="56" spans="1:58">
      <c r="A56" s="82"/>
      <c r="B56" s="82"/>
      <c r="C56" s="83"/>
      <c r="D56" s="83"/>
      <c r="E56" s="82"/>
      <c r="F56" s="70">
        <v>55</v>
      </c>
      <c r="G56" s="71" t="s">
        <v>327</v>
      </c>
      <c r="H56" s="62"/>
      <c r="I56" s="91">
        <v>28</v>
      </c>
      <c r="J56" s="76" t="s">
        <v>327</v>
      </c>
      <c r="K56" s="77"/>
      <c r="L56" s="78" t="str">
        <f t="shared" si="0"/>
        <v/>
      </c>
      <c r="M56" s="81">
        <f>INDEX(Results!T:T,MATCH(J56,Results!V:V,0))</f>
        <v>-1</v>
      </c>
      <c r="N56" s="62"/>
      <c r="O56" s="91">
        <v>28</v>
      </c>
      <c r="P56" s="73" t="s">
        <v>327</v>
      </c>
      <c r="Q56" s="77">
        <v>-7</v>
      </c>
      <c r="R56" s="88" t="str">
        <f>IF(Q56="","",IF(Q56=Q57,"R",""))</f>
        <v/>
      </c>
      <c r="S56" s="85">
        <f>INDEX(Results!T:T,MATCH(P56,Results!V:V,0))</f>
        <v>-1</v>
      </c>
      <c r="T56" s="82"/>
      <c r="U56" s="82"/>
      <c r="V56" s="82"/>
      <c r="W56" s="82"/>
      <c r="X56" s="82"/>
      <c r="Y56" s="86"/>
      <c r="Z56" s="82"/>
      <c r="AF56" s="82"/>
      <c r="AG56" s="82"/>
      <c r="AH56" s="82"/>
      <c r="AI56" s="82"/>
      <c r="AJ56" s="82"/>
      <c r="AK56" s="82"/>
      <c r="AL56" s="82"/>
      <c r="AM56" s="82"/>
      <c r="AN56" s="82"/>
      <c r="AO56" s="82"/>
      <c r="AP56" s="82"/>
      <c r="AQ56" s="82"/>
      <c r="AR56" s="82"/>
      <c r="AS56" s="82"/>
      <c r="AT56" s="160"/>
      <c r="AU56" s="160"/>
      <c r="AV56" s="160"/>
      <c r="AW56" s="160"/>
      <c r="AX56" s="160"/>
      <c r="AY56" s="160"/>
      <c r="AZ56" s="160"/>
      <c r="BA56" s="160"/>
      <c r="BB56" s="160"/>
      <c r="BC56" s="160"/>
      <c r="BD56" s="160"/>
      <c r="BE56" s="160"/>
      <c r="BF56" s="160"/>
    </row>
    <row r="57" spans="1:58">
      <c r="A57" s="82"/>
      <c r="B57" s="82"/>
      <c r="C57" s="83"/>
      <c r="D57" s="83"/>
      <c r="E57" s="82"/>
      <c r="F57" s="70">
        <v>56</v>
      </c>
      <c r="G57" s="71" t="s">
        <v>292</v>
      </c>
      <c r="H57" s="62"/>
      <c r="I57" s="90"/>
      <c r="J57" s="76" t="s">
        <v>292</v>
      </c>
      <c r="K57" s="77"/>
      <c r="L57" s="79"/>
      <c r="M57" s="81">
        <f>INDEX(Results!T:T,MATCH(J57,Results!V:V,0))</f>
        <v>16.239249999999998</v>
      </c>
      <c r="N57" s="62"/>
      <c r="O57" s="90"/>
      <c r="P57" s="73" t="s">
        <v>292</v>
      </c>
      <c r="Q57" s="77">
        <v>-0.13333333333333464</v>
      </c>
      <c r="R57" s="66"/>
      <c r="S57" s="85">
        <f>INDEX(Results!T:T,MATCH(P57,Results!V:V,0))</f>
        <v>16.239249999999998</v>
      </c>
      <c r="T57" s="82"/>
      <c r="U57" s="82"/>
      <c r="V57" s="82"/>
      <c r="W57" s="82"/>
      <c r="X57" s="82"/>
      <c r="Y57" s="86"/>
      <c r="Z57" s="82"/>
      <c r="AF57" s="82"/>
      <c r="AG57" s="82"/>
      <c r="AH57" s="82"/>
      <c r="AI57" s="82"/>
      <c r="AJ57" s="82"/>
      <c r="AK57" s="82"/>
      <c r="AL57" s="82"/>
      <c r="AM57" s="82"/>
      <c r="AN57" s="82"/>
      <c r="AO57" s="82"/>
      <c r="AP57" s="82"/>
      <c r="AQ57" s="82"/>
      <c r="AR57" s="82"/>
      <c r="AS57" s="82"/>
      <c r="AT57" s="160"/>
      <c r="AU57" s="160"/>
      <c r="AV57" s="160"/>
      <c r="AW57" s="160"/>
      <c r="AX57" s="160"/>
      <c r="AY57" s="160"/>
      <c r="AZ57" s="160"/>
      <c r="BA57" s="160"/>
      <c r="BB57" s="160"/>
      <c r="BC57" s="160"/>
      <c r="BD57" s="160"/>
      <c r="BE57" s="160"/>
      <c r="BF57" s="160"/>
    </row>
    <row r="58" spans="1:58">
      <c r="A58" s="82"/>
      <c r="B58" s="82"/>
      <c r="C58" s="83"/>
      <c r="D58" s="83"/>
      <c r="E58" s="82"/>
      <c r="F58" s="70">
        <v>57</v>
      </c>
      <c r="G58" s="71" t="s">
        <v>304</v>
      </c>
      <c r="H58" s="62"/>
      <c r="I58" s="91">
        <v>29</v>
      </c>
      <c r="J58" s="76" t="s">
        <v>304</v>
      </c>
      <c r="K58" s="77"/>
      <c r="L58" s="78" t="str">
        <f t="shared" si="0"/>
        <v/>
      </c>
      <c r="M58" s="81">
        <f>INDEX(Results!T:T,MATCH(J58,Results!V:V,0))</f>
        <v>6.666666666666643E-2</v>
      </c>
      <c r="N58" s="62"/>
      <c r="O58" s="91">
        <v>29</v>
      </c>
      <c r="P58" s="73" t="s">
        <v>304</v>
      </c>
      <c r="Q58" s="77">
        <v>-5</v>
      </c>
      <c r="R58" s="88" t="str">
        <f>IF(Q58="","",IF(Q58=Q59,"R",""))</f>
        <v/>
      </c>
      <c r="S58" s="85">
        <f>INDEX(Results!T:T,MATCH(P58,Results!V:V,0))</f>
        <v>6.666666666666643E-2</v>
      </c>
      <c r="T58" s="82"/>
      <c r="U58" s="82"/>
      <c r="V58" s="82"/>
      <c r="W58" s="82"/>
      <c r="X58" s="82"/>
      <c r="Y58" s="86"/>
      <c r="Z58" s="82"/>
      <c r="AA58" s="62"/>
      <c r="AB58" s="62"/>
      <c r="AC58" s="62"/>
      <c r="AD58" s="62"/>
      <c r="AE58" s="87"/>
      <c r="AF58" s="82"/>
      <c r="AG58" s="82"/>
      <c r="AH58" s="82"/>
      <c r="AI58" s="82"/>
      <c r="AJ58" s="82"/>
      <c r="AK58" s="82"/>
      <c r="AL58" s="82"/>
      <c r="AM58" s="82"/>
      <c r="AN58" s="82"/>
      <c r="AO58" s="82"/>
      <c r="AP58" s="82"/>
      <c r="AQ58" s="82"/>
      <c r="AR58" s="82"/>
      <c r="AS58" s="82"/>
    </row>
    <row r="59" spans="1:58">
      <c r="A59" s="82"/>
      <c r="B59" s="82"/>
      <c r="C59" s="83"/>
      <c r="D59" s="83"/>
      <c r="E59" s="82"/>
      <c r="F59" s="70">
        <v>58</v>
      </c>
      <c r="G59" s="71" t="s">
        <v>379</v>
      </c>
      <c r="H59" s="62"/>
      <c r="I59" s="90"/>
      <c r="J59" s="76" t="s">
        <v>379</v>
      </c>
      <c r="K59" s="77"/>
      <c r="L59" s="79"/>
      <c r="M59" s="81" t="e">
        <f>INDEX(Results!T:T,MATCH(J59,Results!V:V,0))</f>
        <v>#VALUE!</v>
      </c>
      <c r="N59" s="62"/>
      <c r="O59" s="90"/>
      <c r="P59" s="73" t="s">
        <v>379</v>
      </c>
      <c r="Q59" s="77">
        <v>13.94285714285714</v>
      </c>
      <c r="R59" s="66"/>
      <c r="S59" s="85" t="e">
        <f>INDEX(Results!T:T,MATCH(P59,Results!V:V,0))</f>
        <v>#VALUE!</v>
      </c>
      <c r="T59" s="82"/>
      <c r="U59" s="82"/>
      <c r="V59" s="82"/>
      <c r="W59" s="82"/>
      <c r="X59" s="82"/>
      <c r="Y59" s="86"/>
      <c r="Z59" s="82"/>
      <c r="AA59" s="62"/>
      <c r="AB59" s="62"/>
      <c r="AC59" s="62"/>
      <c r="AD59" s="62"/>
      <c r="AE59" s="87"/>
      <c r="AF59" s="82"/>
      <c r="AG59" s="82"/>
      <c r="AH59" s="82"/>
      <c r="AI59" s="82"/>
      <c r="AJ59" s="82"/>
      <c r="AK59" s="82"/>
      <c r="AL59" s="82"/>
      <c r="AM59" s="82"/>
      <c r="AN59" s="82"/>
      <c r="AO59" s="82"/>
      <c r="AP59" s="82"/>
      <c r="AQ59" s="82"/>
      <c r="AR59" s="82"/>
      <c r="AS59" s="82"/>
    </row>
    <row r="60" spans="1:58">
      <c r="A60" s="82"/>
      <c r="B60" s="82"/>
      <c r="C60" s="83"/>
      <c r="D60" s="83"/>
      <c r="E60" s="82"/>
      <c r="F60" s="70">
        <v>59</v>
      </c>
      <c r="G60" s="71" t="s">
        <v>311</v>
      </c>
      <c r="H60" s="62"/>
      <c r="I60" s="91">
        <v>30</v>
      </c>
      <c r="J60" s="76" t="s">
        <v>311</v>
      </c>
      <c r="K60" s="77"/>
      <c r="L60" s="78" t="str">
        <f t="shared" si="0"/>
        <v/>
      </c>
      <c r="M60" s="81">
        <f>INDEX(Results!T:T,MATCH(J60,Results!V:V,0))</f>
        <v>-5.5555555555555554</v>
      </c>
      <c r="N60" s="62"/>
      <c r="O60" s="91">
        <v>30</v>
      </c>
      <c r="P60" s="73" t="s">
        <v>311</v>
      </c>
      <c r="Q60" s="77">
        <v>-5.1666666666666661</v>
      </c>
      <c r="R60" s="88" t="str">
        <f>IF(Q60="","",IF(Q60=Q61,"R",""))</f>
        <v/>
      </c>
      <c r="S60" s="85">
        <f>INDEX(Results!T:T,MATCH(P60,Results!V:V,0))</f>
        <v>-5.5555555555555554</v>
      </c>
      <c r="T60" s="82"/>
      <c r="U60" s="82"/>
      <c r="V60" s="82"/>
      <c r="W60" s="82"/>
      <c r="X60" s="82"/>
      <c r="Y60" s="86"/>
      <c r="Z60" s="82"/>
      <c r="AA60" s="62"/>
      <c r="AB60" s="62"/>
      <c r="AC60" s="62"/>
      <c r="AD60" s="62"/>
      <c r="AE60" s="87"/>
      <c r="AF60" s="82"/>
      <c r="AG60" s="82"/>
      <c r="AH60" s="82"/>
      <c r="AI60" s="82"/>
      <c r="AJ60" s="82"/>
      <c r="AK60" s="82"/>
      <c r="AL60" s="82"/>
      <c r="AM60" s="82"/>
      <c r="AN60" s="82"/>
      <c r="AO60" s="82"/>
      <c r="AP60" s="82"/>
      <c r="AQ60" s="82"/>
      <c r="AR60" s="82"/>
      <c r="AS60" s="82"/>
    </row>
    <row r="61" spans="1:58">
      <c r="A61" s="82"/>
      <c r="B61" s="82"/>
      <c r="C61" s="83"/>
      <c r="D61" s="83"/>
      <c r="E61" s="82"/>
      <c r="F61" s="70">
        <v>60</v>
      </c>
      <c r="G61" s="71" t="s">
        <v>313</v>
      </c>
      <c r="H61" s="62"/>
      <c r="I61" s="90"/>
      <c r="J61" s="76" t="s">
        <v>313</v>
      </c>
      <c r="K61" s="77"/>
      <c r="L61" s="79"/>
      <c r="M61" s="81">
        <f>INDEX(Results!T:T,MATCH(J61,Results!V:V,0))</f>
        <v>15.466666666666669</v>
      </c>
      <c r="N61" s="62"/>
      <c r="O61" s="90"/>
      <c r="P61" s="73" t="s">
        <v>313</v>
      </c>
      <c r="Q61" s="77">
        <v>-1.4615384615384617</v>
      </c>
      <c r="R61" s="66"/>
      <c r="S61" s="85">
        <f>INDEX(Results!T:T,MATCH(P61,Results!V:V,0))</f>
        <v>15.466666666666669</v>
      </c>
      <c r="T61" s="82"/>
      <c r="U61" s="82"/>
      <c r="V61" s="82"/>
      <c r="W61" s="82"/>
      <c r="X61" s="82"/>
      <c r="Y61" s="86"/>
      <c r="Z61" s="82"/>
      <c r="AA61" s="62"/>
      <c r="AB61" s="62"/>
      <c r="AC61" s="62"/>
      <c r="AD61" s="62"/>
      <c r="AE61" s="87"/>
      <c r="AF61" s="82"/>
      <c r="AG61" s="82"/>
      <c r="AH61" s="82"/>
      <c r="AI61" s="82"/>
      <c r="AJ61" s="82"/>
      <c r="AK61" s="82"/>
      <c r="AL61" s="82"/>
      <c r="AM61" s="82"/>
      <c r="AN61" s="82"/>
      <c r="AO61" s="82"/>
      <c r="AP61" s="82"/>
      <c r="AQ61" s="82"/>
      <c r="AR61" s="82"/>
      <c r="AS61" s="82"/>
    </row>
    <row r="62" spans="1:58">
      <c r="A62" s="82"/>
      <c r="B62" s="82"/>
      <c r="C62" s="83"/>
      <c r="D62" s="83"/>
      <c r="E62" s="82"/>
      <c r="F62" s="70">
        <v>61</v>
      </c>
      <c r="G62" s="71" t="s">
        <v>552</v>
      </c>
      <c r="H62" s="62"/>
      <c r="I62" s="91">
        <v>31</v>
      </c>
      <c r="J62" s="76"/>
      <c r="K62" s="77"/>
      <c r="L62" s="78" t="str">
        <f t="shared" si="0"/>
        <v/>
      </c>
      <c r="M62" s="81" t="e">
        <f>INDEX(Results!T:T,MATCH(J62,Results!V:V,0))</f>
        <v>#N/A</v>
      </c>
      <c r="N62" s="62"/>
      <c r="O62" s="91">
        <v>31</v>
      </c>
      <c r="P62" s="73" t="s">
        <v>552</v>
      </c>
      <c r="Q62" s="77">
        <v>-7</v>
      </c>
      <c r="R62" s="88" t="str">
        <f>IF(Q62="","",IF(Q62=Q63,"R",""))</f>
        <v/>
      </c>
      <c r="S62" s="85">
        <f>INDEX(Results!T:T,MATCH(P62,Results!V:V,0))</f>
        <v>-1.3</v>
      </c>
      <c r="T62" s="82"/>
      <c r="U62" s="82"/>
      <c r="V62" s="82"/>
      <c r="W62" s="82"/>
      <c r="X62" s="82"/>
      <c r="Y62" s="86"/>
      <c r="Z62" s="82"/>
      <c r="AA62" s="62"/>
      <c r="AB62" s="62"/>
      <c r="AC62" s="62"/>
      <c r="AD62" s="62"/>
      <c r="AE62" s="87"/>
      <c r="AF62" s="82"/>
      <c r="AG62" s="82"/>
      <c r="AH62" s="82"/>
      <c r="AI62" s="82"/>
      <c r="AJ62" s="82"/>
      <c r="AK62" s="82"/>
      <c r="AL62" s="82"/>
      <c r="AM62" s="82"/>
      <c r="AN62" s="82"/>
      <c r="AO62" s="82"/>
      <c r="AP62" s="82"/>
      <c r="AQ62" s="82"/>
      <c r="AR62" s="82"/>
      <c r="AS62" s="82"/>
    </row>
    <row r="63" spans="1:58">
      <c r="A63" s="82"/>
      <c r="B63" s="82"/>
      <c r="C63" s="83"/>
      <c r="D63" s="83"/>
      <c r="E63" s="82"/>
      <c r="F63" s="70">
        <v>62</v>
      </c>
      <c r="G63" s="71" t="s">
        <v>318</v>
      </c>
      <c r="H63" s="62"/>
      <c r="I63" s="90"/>
      <c r="J63" s="76"/>
      <c r="K63" s="77"/>
      <c r="L63" s="79"/>
      <c r="M63" s="81" t="e">
        <f>INDEX(Results!T:T,MATCH(J63,Results!V:V,0))</f>
        <v>#N/A</v>
      </c>
      <c r="N63" s="62"/>
      <c r="O63" s="90"/>
      <c r="P63" s="73" t="s">
        <v>523</v>
      </c>
      <c r="Q63" s="77">
        <v>-10</v>
      </c>
      <c r="R63" s="66"/>
      <c r="S63" s="85" t="e">
        <f>INDEX(Results!T:T,MATCH(P63,Results!V:V,0))</f>
        <v>#N/A</v>
      </c>
      <c r="T63" s="82"/>
      <c r="U63" s="82"/>
      <c r="V63" s="82"/>
      <c r="W63" s="82"/>
      <c r="X63" s="82"/>
      <c r="Y63" s="86"/>
      <c r="Z63" s="82"/>
      <c r="AF63" s="82"/>
      <c r="AG63" s="82"/>
      <c r="AH63" s="82"/>
      <c r="AI63" s="82"/>
      <c r="AJ63" s="82"/>
      <c r="AK63" s="82"/>
      <c r="AL63" s="82"/>
      <c r="AM63" s="82"/>
      <c r="AN63" s="82"/>
      <c r="AO63" s="82"/>
      <c r="AP63" s="82"/>
      <c r="AQ63" s="82"/>
      <c r="AR63" s="82"/>
      <c r="AS63" s="82"/>
    </row>
    <row r="64" spans="1:58">
      <c r="A64" s="82"/>
      <c r="B64" s="82"/>
      <c r="C64" s="83"/>
      <c r="D64" s="83"/>
      <c r="E64" s="82"/>
      <c r="F64" s="70"/>
      <c r="G64" s="71"/>
      <c r="H64" s="62"/>
      <c r="I64" s="91">
        <v>32</v>
      </c>
      <c r="J64" s="76"/>
      <c r="K64" s="77"/>
      <c r="L64" s="78" t="str">
        <f t="shared" si="0"/>
        <v/>
      </c>
      <c r="M64" s="81" t="e">
        <f>INDEX(Results!T:T,MATCH(J64,Results!V:V,0))</f>
        <v>#N/A</v>
      </c>
      <c r="N64" s="62"/>
      <c r="O64" s="91">
        <v>32</v>
      </c>
      <c r="P64" s="73" t="s">
        <v>318</v>
      </c>
      <c r="Q64" s="77">
        <v>-5.2</v>
      </c>
      <c r="R64" s="88" t="str">
        <f>IF(Q64="","",IF(Q64=Q65,"R",""))</f>
        <v/>
      </c>
      <c r="S64" s="85">
        <f>INDEX(Results!T:T,MATCH(P64,Results!V:V,0))</f>
        <v>2.7249999999999996</v>
      </c>
      <c r="T64" s="82"/>
      <c r="U64" s="82"/>
      <c r="V64" s="82"/>
      <c r="W64" s="82"/>
      <c r="X64" s="82"/>
      <c r="Y64" s="86"/>
      <c r="Z64" s="82"/>
      <c r="AF64" s="82"/>
      <c r="AG64" s="82"/>
      <c r="AH64" s="82"/>
      <c r="AI64" s="82"/>
      <c r="AJ64" s="82"/>
      <c r="AK64" s="82"/>
      <c r="AL64" s="82"/>
      <c r="AM64" s="82"/>
      <c r="AN64" s="82"/>
      <c r="AO64" s="82"/>
      <c r="AP64" s="82"/>
      <c r="AQ64" s="82"/>
      <c r="AR64" s="82"/>
      <c r="AS64" s="82"/>
    </row>
    <row r="65" spans="1:45">
      <c r="A65" s="82"/>
      <c r="B65" s="82"/>
      <c r="C65" s="83"/>
      <c r="D65" s="83"/>
      <c r="E65" s="82"/>
      <c r="F65" s="70"/>
      <c r="G65" s="71"/>
      <c r="H65" s="62"/>
      <c r="I65" s="90"/>
      <c r="J65" s="76"/>
      <c r="K65" s="77"/>
      <c r="L65" s="79"/>
      <c r="M65" s="81" t="e">
        <f>INDEX(Results!T:T,MATCH(J65,Results!V:V,0))</f>
        <v>#N/A</v>
      </c>
      <c r="N65" s="62"/>
      <c r="O65" s="90"/>
      <c r="P65" s="73" t="s">
        <v>523</v>
      </c>
      <c r="Q65" s="77">
        <v>-10</v>
      </c>
      <c r="R65" s="66"/>
      <c r="S65" s="85" t="e">
        <f>INDEX(Results!T:T,MATCH(P65,Results!V:V,0))</f>
        <v>#N/A</v>
      </c>
      <c r="T65" s="82"/>
      <c r="U65" s="82"/>
      <c r="V65" s="82"/>
      <c r="W65" s="82"/>
      <c r="X65" s="82"/>
      <c r="Y65" s="86"/>
      <c r="Z65" s="82"/>
      <c r="AF65" s="82"/>
      <c r="AG65" s="82"/>
      <c r="AH65" s="82"/>
      <c r="AI65" s="82"/>
      <c r="AJ65" s="82"/>
      <c r="AK65" s="82"/>
      <c r="AL65" s="82"/>
      <c r="AM65" s="82"/>
      <c r="AN65" s="82"/>
      <c r="AO65" s="82"/>
      <c r="AP65" s="82"/>
      <c r="AQ65" s="82"/>
      <c r="AR65" s="82"/>
      <c r="AS65" s="82"/>
    </row>
    <row r="66" spans="1:45">
      <c r="A66" s="82"/>
      <c r="B66" s="82"/>
      <c r="C66" s="83"/>
      <c r="D66" s="83"/>
      <c r="E66" s="82"/>
      <c r="F66" s="70"/>
      <c r="G66" s="71"/>
      <c r="H66" s="62"/>
      <c r="I66" s="91">
        <v>33</v>
      </c>
      <c r="J66" s="76"/>
      <c r="K66" s="77"/>
      <c r="L66" s="78" t="str">
        <f t="shared" si="0"/>
        <v/>
      </c>
      <c r="M66" s="81" t="e">
        <f>INDEX(Results!T:T,MATCH(J66,Results!V:V,0))</f>
        <v>#N/A</v>
      </c>
      <c r="N66" s="62"/>
      <c r="O66" s="64"/>
      <c r="P66" s="62"/>
      <c r="Q66" s="93"/>
      <c r="R66" s="62"/>
      <c r="S66" s="86"/>
      <c r="T66" s="82"/>
      <c r="U66" s="82"/>
      <c r="V66" s="82"/>
      <c r="W66" s="82"/>
      <c r="X66" s="82"/>
      <c r="Y66" s="86"/>
      <c r="Z66" s="82"/>
      <c r="AF66" s="82"/>
      <c r="AG66" s="82"/>
      <c r="AH66" s="82"/>
      <c r="AI66" s="82"/>
      <c r="AJ66" s="82"/>
      <c r="AK66" s="82"/>
      <c r="AL66" s="82"/>
      <c r="AM66" s="82"/>
      <c r="AN66" s="82"/>
      <c r="AO66" s="82"/>
      <c r="AP66" s="82"/>
      <c r="AQ66" s="82"/>
      <c r="AR66" s="82"/>
      <c r="AS66" s="82"/>
    </row>
    <row r="67" spans="1:45">
      <c r="A67" s="82"/>
      <c r="B67" s="82"/>
      <c r="C67" s="83"/>
      <c r="D67" s="83"/>
      <c r="E67" s="82"/>
      <c r="F67" s="70"/>
      <c r="G67" s="71"/>
      <c r="H67" s="62"/>
      <c r="I67" s="90"/>
      <c r="J67" s="76"/>
      <c r="K67" s="77"/>
      <c r="L67" s="79"/>
      <c r="M67" s="81" t="e">
        <f>INDEX(Results!T:T,MATCH(J67,Results!V:V,0))</f>
        <v>#N/A</v>
      </c>
      <c r="N67" s="62"/>
      <c r="O67" s="64"/>
      <c r="P67" s="62"/>
      <c r="Q67" s="93"/>
      <c r="R67" s="62"/>
      <c r="S67" s="86"/>
      <c r="T67" s="82"/>
      <c r="U67" s="82"/>
      <c r="V67" s="82"/>
      <c r="W67" s="82"/>
      <c r="X67" s="82"/>
      <c r="Y67" s="86"/>
      <c r="Z67" s="82"/>
      <c r="AF67" s="82"/>
      <c r="AG67" s="82"/>
      <c r="AH67" s="82"/>
      <c r="AI67" s="82"/>
      <c r="AJ67" s="82"/>
      <c r="AK67" s="82"/>
      <c r="AL67" s="82"/>
      <c r="AM67" s="82"/>
      <c r="AN67" s="82"/>
      <c r="AO67" s="82"/>
      <c r="AP67" s="82"/>
      <c r="AQ67" s="82"/>
      <c r="AR67" s="82"/>
      <c r="AS67" s="82"/>
    </row>
    <row r="68" spans="1:45">
      <c r="A68" s="82"/>
      <c r="B68" s="82"/>
      <c r="C68" s="83"/>
      <c r="D68" s="83"/>
      <c r="E68" s="82"/>
      <c r="F68" s="70"/>
      <c r="G68" s="71"/>
      <c r="H68" s="62"/>
      <c r="I68" s="91">
        <v>34</v>
      </c>
      <c r="J68" s="76"/>
      <c r="K68" s="77"/>
      <c r="L68" s="78" t="str">
        <f t="shared" si="0"/>
        <v/>
      </c>
      <c r="M68" s="81" t="e">
        <f>INDEX(Results!T:T,MATCH(J68,Results!V:V,0))</f>
        <v>#N/A</v>
      </c>
      <c r="N68" s="62"/>
      <c r="O68" s="64" t="s">
        <v>147</v>
      </c>
      <c r="P68" s="82"/>
      <c r="Q68" s="94"/>
      <c r="R68" s="82"/>
      <c r="S68" s="87"/>
      <c r="T68" s="82"/>
      <c r="U68" s="82"/>
      <c r="V68" s="82"/>
      <c r="W68" s="82"/>
      <c r="X68" s="82"/>
      <c r="Y68" s="86"/>
      <c r="Z68" s="82"/>
      <c r="AF68" s="82"/>
      <c r="AG68" s="82"/>
      <c r="AH68" s="82"/>
      <c r="AI68" s="82"/>
      <c r="AJ68" s="82"/>
      <c r="AK68" s="82"/>
      <c r="AL68" s="82"/>
      <c r="AM68" s="82"/>
      <c r="AN68" s="82"/>
      <c r="AO68" s="82"/>
      <c r="AP68" s="82"/>
      <c r="AQ68" s="82"/>
      <c r="AR68" s="82"/>
      <c r="AS68" s="82"/>
    </row>
    <row r="69" spans="1:45">
      <c r="A69" s="82"/>
      <c r="B69" s="82"/>
      <c r="C69" s="83"/>
      <c r="D69" s="83"/>
      <c r="E69" s="82"/>
      <c r="F69" s="70"/>
      <c r="G69" s="71"/>
      <c r="H69" s="62"/>
      <c r="I69" s="90"/>
      <c r="J69" s="76"/>
      <c r="K69" s="77"/>
      <c r="L69" s="79"/>
      <c r="M69" s="81" t="e">
        <f>INDEX(Results!T:T,MATCH(J69,Results!V:V,0))</f>
        <v>#N/A</v>
      </c>
      <c r="N69" s="62"/>
      <c r="O69" s="91">
        <v>12</v>
      </c>
      <c r="P69" s="73" t="s">
        <v>322</v>
      </c>
      <c r="Q69" s="77">
        <v>-7</v>
      </c>
      <c r="R69" s="88" t="s">
        <v>528</v>
      </c>
      <c r="S69" s="85"/>
      <c r="T69" s="82"/>
      <c r="U69" s="82"/>
      <c r="V69" s="82"/>
      <c r="W69" s="82"/>
      <c r="X69" s="82"/>
      <c r="Y69" s="86"/>
      <c r="Z69" s="82"/>
      <c r="AF69" s="82"/>
      <c r="AG69" s="82"/>
      <c r="AH69" s="82"/>
      <c r="AI69" s="82"/>
      <c r="AJ69" s="82"/>
      <c r="AK69" s="82"/>
      <c r="AL69" s="82"/>
      <c r="AM69" s="82"/>
      <c r="AN69" s="82"/>
      <c r="AO69" s="82"/>
      <c r="AP69" s="82"/>
      <c r="AQ69" s="82"/>
      <c r="AR69" s="82"/>
      <c r="AS69" s="82"/>
    </row>
    <row r="70" spans="1:45">
      <c r="A70" s="82"/>
      <c r="B70" s="82"/>
      <c r="C70" s="83"/>
      <c r="D70" s="83"/>
      <c r="E70" s="82"/>
      <c r="F70" s="83"/>
      <c r="H70" s="62"/>
      <c r="I70" s="91">
        <v>35</v>
      </c>
      <c r="J70" s="76"/>
      <c r="K70" s="77"/>
      <c r="L70" s="78" t="str">
        <f t="shared" si="0"/>
        <v/>
      </c>
      <c r="M70" s="81" t="e">
        <f>INDEX(Results!T:T,MATCH(J70,Results!V:V,0))</f>
        <v>#N/A</v>
      </c>
      <c r="N70" s="62"/>
      <c r="O70" s="90"/>
      <c r="P70" s="73" t="s">
        <v>550</v>
      </c>
      <c r="Q70" s="77">
        <v>-7</v>
      </c>
      <c r="R70" s="66"/>
      <c r="S70" s="85"/>
      <c r="T70" s="82"/>
      <c r="U70" s="82"/>
      <c r="V70" s="82"/>
      <c r="W70" s="82"/>
      <c r="X70" s="82"/>
      <c r="Y70" s="86"/>
      <c r="Z70" s="82"/>
      <c r="AF70" s="82"/>
      <c r="AG70" s="82"/>
      <c r="AH70" s="82"/>
      <c r="AI70" s="82"/>
      <c r="AJ70" s="82"/>
      <c r="AK70" s="82"/>
      <c r="AL70" s="82"/>
      <c r="AM70" s="82"/>
      <c r="AN70" s="82"/>
      <c r="AO70" s="82"/>
      <c r="AP70" s="82"/>
      <c r="AQ70" s="82"/>
      <c r="AR70" s="82"/>
      <c r="AS70" s="82"/>
    </row>
    <row r="71" spans="1:45">
      <c r="A71" s="82"/>
      <c r="B71" s="82"/>
      <c r="C71" s="83"/>
      <c r="D71" s="83"/>
      <c r="E71" s="82"/>
      <c r="F71" s="83"/>
      <c r="H71" s="62"/>
      <c r="I71" s="90"/>
      <c r="J71" s="76"/>
      <c r="K71" s="77"/>
      <c r="L71" s="79"/>
      <c r="M71" s="81" t="e">
        <f>INDEX(Results!T:T,MATCH(J71,Results!V:V,0))</f>
        <v>#N/A</v>
      </c>
      <c r="N71" s="62"/>
      <c r="O71" s="91">
        <v>26</v>
      </c>
      <c r="P71" s="73" t="s">
        <v>314</v>
      </c>
      <c r="Q71" s="77">
        <v>-7</v>
      </c>
      <c r="R71" s="88" t="s">
        <v>528</v>
      </c>
      <c r="S71" s="85"/>
      <c r="T71" s="82"/>
      <c r="U71" s="82"/>
      <c r="V71" s="82"/>
      <c r="W71" s="82"/>
      <c r="X71" s="82"/>
      <c r="Y71" s="86"/>
      <c r="Z71" s="82"/>
      <c r="AF71" s="82"/>
      <c r="AG71" s="82"/>
      <c r="AH71" s="82"/>
      <c r="AI71" s="82"/>
      <c r="AJ71" s="82"/>
      <c r="AK71" s="82"/>
      <c r="AL71" s="82"/>
      <c r="AM71" s="82"/>
      <c r="AN71" s="82"/>
      <c r="AO71" s="82"/>
      <c r="AP71" s="82"/>
      <c r="AQ71" s="82"/>
      <c r="AR71" s="82"/>
      <c r="AS71" s="82"/>
    </row>
    <row r="72" spans="1:45">
      <c r="A72" s="82"/>
      <c r="B72" s="82"/>
      <c r="C72" s="83"/>
      <c r="D72" s="83"/>
      <c r="E72" s="82"/>
      <c r="H72" s="62"/>
      <c r="I72" s="91">
        <v>36</v>
      </c>
      <c r="J72" s="76"/>
      <c r="K72" s="77"/>
      <c r="L72" s="78" t="str">
        <f t="shared" si="0"/>
        <v/>
      </c>
      <c r="M72" s="81" t="e">
        <f>INDEX(Results!T:T,MATCH(J72,Results!V:V,0))</f>
        <v>#N/A</v>
      </c>
      <c r="N72" s="62"/>
      <c r="O72" s="90"/>
      <c r="P72" s="73" t="s">
        <v>324</v>
      </c>
      <c r="Q72" s="77">
        <v>-7</v>
      </c>
      <c r="R72" s="66"/>
      <c r="S72" s="85"/>
      <c r="T72" s="82"/>
      <c r="U72" s="82"/>
      <c r="V72" s="82"/>
      <c r="W72" s="82"/>
      <c r="X72" s="82"/>
      <c r="Y72" s="86"/>
      <c r="Z72" s="82"/>
      <c r="AF72" s="82"/>
      <c r="AG72" s="82"/>
      <c r="AH72" s="82"/>
      <c r="AI72" s="82"/>
      <c r="AJ72" s="82"/>
      <c r="AK72" s="82"/>
      <c r="AL72" s="82"/>
      <c r="AM72" s="82"/>
      <c r="AN72" s="82"/>
      <c r="AO72" s="82"/>
      <c r="AP72" s="82"/>
      <c r="AQ72" s="82"/>
      <c r="AR72" s="82"/>
      <c r="AS72" s="82"/>
    </row>
    <row r="73" spans="1:45">
      <c r="A73" s="82"/>
      <c r="B73" s="82"/>
      <c r="C73" s="83"/>
      <c r="D73" s="83"/>
      <c r="E73" s="82"/>
      <c r="H73" s="62"/>
      <c r="I73" s="90"/>
      <c r="J73" s="76"/>
      <c r="K73" s="77"/>
      <c r="L73" s="79"/>
      <c r="M73" s="81" t="e">
        <f>INDEX(Results!T:T,MATCH(J73,Results!V:V,0))</f>
        <v>#N/A</v>
      </c>
      <c r="N73" s="62"/>
      <c r="O73" s="91"/>
      <c r="P73" s="73"/>
      <c r="Q73" s="77"/>
      <c r="R73" s="88" t="str">
        <f>IF(Q73="","",IF(Q73=Q74,"R",""))</f>
        <v/>
      </c>
      <c r="S73" s="85"/>
      <c r="T73" s="82"/>
      <c r="U73" s="82"/>
      <c r="V73" s="82"/>
      <c r="W73" s="82"/>
      <c r="X73" s="82"/>
      <c r="Y73" s="86"/>
      <c r="Z73" s="82"/>
      <c r="AF73" s="82"/>
      <c r="AG73" s="82"/>
      <c r="AH73" s="82"/>
      <c r="AI73" s="82"/>
      <c r="AJ73" s="82"/>
      <c r="AK73" s="82"/>
      <c r="AL73" s="82"/>
      <c r="AM73" s="82"/>
      <c r="AN73" s="82"/>
      <c r="AO73" s="82"/>
      <c r="AP73" s="82"/>
      <c r="AQ73" s="82"/>
      <c r="AR73" s="82"/>
      <c r="AS73" s="82"/>
    </row>
    <row r="74" spans="1:45">
      <c r="A74" s="82"/>
      <c r="B74" s="82"/>
      <c r="C74" s="83"/>
      <c r="D74" s="83"/>
      <c r="E74" s="82"/>
      <c r="H74" s="62"/>
      <c r="I74" s="64"/>
      <c r="J74" s="62"/>
      <c r="K74" s="62"/>
      <c r="L74" s="62"/>
      <c r="M74" s="62"/>
      <c r="N74" s="62"/>
      <c r="O74" s="90"/>
      <c r="P74" s="73"/>
      <c r="Q74" s="77"/>
      <c r="R74" s="66"/>
      <c r="S74" s="85"/>
      <c r="T74" s="82"/>
      <c r="U74" s="82"/>
      <c r="V74" s="82"/>
      <c r="W74" s="82"/>
      <c r="X74" s="82"/>
      <c r="Y74" s="86"/>
      <c r="Z74" s="82"/>
      <c r="AA74" s="82"/>
      <c r="AB74" s="82"/>
      <c r="AC74" s="82"/>
      <c r="AD74" s="82"/>
      <c r="AE74" s="87"/>
      <c r="AF74" s="82"/>
      <c r="AG74" s="82"/>
      <c r="AH74" s="82"/>
      <c r="AI74" s="82"/>
      <c r="AJ74" s="82"/>
      <c r="AK74" s="82"/>
      <c r="AL74" s="82"/>
      <c r="AM74" s="82"/>
      <c r="AN74" s="82"/>
      <c r="AO74" s="82"/>
      <c r="AP74" s="82"/>
      <c r="AQ74" s="82"/>
      <c r="AR74" s="82"/>
      <c r="AS74" s="82"/>
    </row>
    <row r="75" spans="1:45">
      <c r="A75" s="82"/>
      <c r="B75" s="82"/>
      <c r="C75" s="83"/>
      <c r="D75" s="83"/>
      <c r="E75" s="82"/>
      <c r="H75" s="62"/>
      <c r="I75" s="64"/>
      <c r="J75" s="62"/>
      <c r="K75" s="62"/>
      <c r="L75" s="62"/>
      <c r="M75" s="62"/>
      <c r="N75" s="62"/>
      <c r="O75" s="91"/>
      <c r="P75" s="73"/>
      <c r="Q75" s="77"/>
      <c r="R75" s="88" t="str">
        <f>IF(Q75="","",IF(Q75=Q76,"R",""))</f>
        <v/>
      </c>
      <c r="S75" s="85"/>
      <c r="T75" s="82"/>
      <c r="U75" s="82"/>
      <c r="V75" s="82"/>
      <c r="W75" s="82"/>
      <c r="X75" s="82"/>
      <c r="Y75" s="86"/>
      <c r="Z75" s="82"/>
      <c r="AA75" s="82"/>
      <c r="AB75" s="82"/>
      <c r="AC75" s="82"/>
      <c r="AD75" s="82"/>
      <c r="AE75" s="87"/>
      <c r="AF75" s="82"/>
      <c r="AG75" s="82"/>
      <c r="AH75" s="82"/>
      <c r="AI75" s="82"/>
      <c r="AJ75" s="82"/>
      <c r="AK75" s="82"/>
      <c r="AL75" s="82"/>
      <c r="AM75" s="82"/>
      <c r="AN75" s="82"/>
      <c r="AO75" s="82"/>
      <c r="AP75" s="82"/>
      <c r="AQ75" s="82"/>
      <c r="AR75" s="82"/>
      <c r="AS75" s="82"/>
    </row>
    <row r="76" spans="1:45">
      <c r="A76" s="82"/>
      <c r="B76" s="82"/>
      <c r="C76" s="83"/>
      <c r="D76" s="83"/>
      <c r="E76" s="82"/>
      <c r="H76" s="62"/>
      <c r="I76" s="64"/>
      <c r="J76" s="62"/>
      <c r="K76" s="62"/>
      <c r="L76" s="62"/>
      <c r="M76" s="62"/>
      <c r="N76" s="62"/>
      <c r="O76" s="90"/>
      <c r="P76" s="73"/>
      <c r="Q76" s="77"/>
      <c r="R76" s="66"/>
      <c r="S76" s="85"/>
      <c r="T76" s="82"/>
      <c r="U76" s="82"/>
      <c r="V76" s="82"/>
      <c r="W76" s="82"/>
      <c r="X76" s="82"/>
      <c r="Y76" s="86"/>
      <c r="Z76" s="82"/>
      <c r="AA76" s="82"/>
      <c r="AB76" s="82"/>
      <c r="AC76" s="82"/>
      <c r="AD76" s="82"/>
      <c r="AE76" s="87"/>
      <c r="AF76" s="82"/>
      <c r="AG76" s="82"/>
      <c r="AH76" s="82"/>
      <c r="AI76" s="82"/>
      <c r="AJ76" s="82"/>
      <c r="AK76" s="82"/>
      <c r="AL76" s="82"/>
      <c r="AM76" s="82"/>
      <c r="AN76" s="82"/>
      <c r="AO76" s="82"/>
      <c r="AP76" s="82"/>
      <c r="AQ76" s="82"/>
      <c r="AR76" s="82"/>
      <c r="AS76" s="82"/>
    </row>
    <row r="77" spans="1:45">
      <c r="A77" s="82"/>
      <c r="B77" s="82"/>
      <c r="C77" s="83"/>
      <c r="D77" s="83"/>
      <c r="E77" s="82"/>
      <c r="H77" s="62"/>
      <c r="I77" s="64"/>
      <c r="J77" s="62"/>
      <c r="K77" s="62"/>
      <c r="L77" s="62"/>
      <c r="M77" s="62"/>
      <c r="N77" s="62"/>
      <c r="O77" s="726"/>
      <c r="P77" s="73"/>
      <c r="Q77" s="77"/>
      <c r="R77" s="88" t="str">
        <f>IF(Q77="","",IF(Q77=Q78,"R",""))</f>
        <v/>
      </c>
      <c r="S77" s="86"/>
      <c r="T77" s="82"/>
      <c r="U77" s="82"/>
      <c r="V77" s="82"/>
      <c r="W77" s="82"/>
      <c r="X77" s="82"/>
      <c r="Y77" s="86"/>
      <c r="Z77" s="82"/>
      <c r="AA77" s="82"/>
      <c r="AB77" s="82"/>
      <c r="AC77" s="82"/>
      <c r="AD77" s="82"/>
      <c r="AE77" s="87"/>
      <c r="AF77" s="82"/>
      <c r="AG77" s="82"/>
      <c r="AH77" s="82"/>
      <c r="AI77" s="82"/>
      <c r="AJ77" s="82"/>
      <c r="AK77" s="82"/>
      <c r="AL77" s="82"/>
      <c r="AM77" s="82"/>
      <c r="AN77" s="82"/>
      <c r="AO77" s="82"/>
      <c r="AP77" s="82"/>
      <c r="AQ77" s="82"/>
      <c r="AR77" s="82"/>
      <c r="AS77" s="82"/>
    </row>
    <row r="78" spans="1:45">
      <c r="A78" s="82"/>
      <c r="B78" s="82"/>
      <c r="C78" s="83"/>
      <c r="D78" s="83"/>
      <c r="E78" s="82"/>
      <c r="H78" s="62"/>
      <c r="I78" s="64" t="s">
        <v>147</v>
      </c>
      <c r="J78" s="82"/>
      <c r="K78" s="82"/>
      <c r="L78" s="82"/>
      <c r="M78" s="62"/>
      <c r="N78" s="62"/>
      <c r="O78" s="727"/>
      <c r="P78" s="73"/>
      <c r="Q78" s="77"/>
      <c r="R78" s="66"/>
      <c r="S78" s="86"/>
      <c r="T78" s="82"/>
      <c r="U78" s="82"/>
      <c r="V78" s="82"/>
      <c r="W78" s="82"/>
      <c r="X78" s="82"/>
      <c r="Y78" s="86"/>
      <c r="Z78" s="82"/>
      <c r="AA78" s="82"/>
      <c r="AB78" s="82"/>
      <c r="AC78" s="82"/>
      <c r="AD78" s="82"/>
      <c r="AE78" s="87"/>
      <c r="AF78" s="82"/>
      <c r="AG78" s="82"/>
      <c r="AH78" s="82"/>
      <c r="AI78" s="82"/>
      <c r="AJ78" s="82"/>
      <c r="AK78" s="82"/>
      <c r="AL78" s="82"/>
      <c r="AM78" s="82"/>
      <c r="AN78" s="82"/>
      <c r="AO78" s="82"/>
      <c r="AP78" s="82"/>
      <c r="AQ78" s="82"/>
      <c r="AR78" s="82"/>
      <c r="AS78" s="82"/>
    </row>
    <row r="79" spans="1:45">
      <c r="A79" s="82"/>
      <c r="B79" s="82"/>
      <c r="C79" s="83"/>
      <c r="D79" s="83"/>
      <c r="E79" s="82"/>
      <c r="H79" s="62"/>
      <c r="I79" s="137">
        <v>1</v>
      </c>
      <c r="J79" s="73"/>
      <c r="K79" s="77"/>
      <c r="L79" s="88"/>
      <c r="M79" s="62"/>
      <c r="N79" s="62"/>
      <c r="O79" s="89"/>
      <c r="P79" s="73"/>
      <c r="Q79" s="77"/>
      <c r="R79" s="88" t="str">
        <f>IF(Q79="","",IF(Q79=Q80,"R",""))</f>
        <v/>
      </c>
      <c r="S79" s="86"/>
      <c r="T79" s="82"/>
      <c r="U79" s="82"/>
      <c r="V79" s="82"/>
      <c r="W79" s="82"/>
      <c r="X79" s="82"/>
      <c r="Y79" s="86"/>
      <c r="Z79" s="82"/>
      <c r="AA79" s="82"/>
      <c r="AB79" s="82"/>
      <c r="AC79" s="82"/>
      <c r="AD79" s="82"/>
      <c r="AE79" s="87"/>
      <c r="AF79" s="82"/>
      <c r="AG79" s="82"/>
      <c r="AH79" s="82"/>
      <c r="AI79" s="82"/>
      <c r="AJ79" s="82"/>
      <c r="AK79" s="82"/>
      <c r="AL79" s="82"/>
      <c r="AM79" s="82"/>
      <c r="AN79" s="82"/>
      <c r="AO79" s="82"/>
      <c r="AP79" s="82"/>
      <c r="AQ79" s="82"/>
      <c r="AR79" s="82"/>
      <c r="AS79" s="82"/>
    </row>
    <row r="80" spans="1:45">
      <c r="A80" s="82"/>
      <c r="B80" s="82"/>
      <c r="C80" s="83"/>
      <c r="D80" s="83"/>
      <c r="E80" s="82"/>
      <c r="H80" s="62"/>
      <c r="I80" s="138"/>
      <c r="J80" s="73"/>
      <c r="K80" s="77"/>
      <c r="L80" s="66"/>
      <c r="M80" s="62"/>
      <c r="N80" s="62"/>
      <c r="O80" s="90"/>
      <c r="P80" s="73"/>
      <c r="Q80" s="77"/>
      <c r="R80" s="66"/>
      <c r="S80" s="86"/>
      <c r="T80" s="82"/>
      <c r="U80" s="82"/>
      <c r="V80" s="82"/>
      <c r="W80" s="82"/>
      <c r="X80" s="82"/>
      <c r="Y80" s="86"/>
      <c r="Z80" s="82"/>
      <c r="AF80" s="82"/>
      <c r="AG80" s="82"/>
      <c r="AH80" s="82"/>
      <c r="AI80" s="82"/>
      <c r="AJ80" s="82"/>
      <c r="AK80" s="82"/>
      <c r="AL80" s="82"/>
      <c r="AM80" s="82"/>
      <c r="AN80" s="82"/>
      <c r="AO80" s="82"/>
      <c r="AP80" s="82"/>
      <c r="AQ80" s="82"/>
      <c r="AR80" s="82"/>
      <c r="AS80" s="82"/>
    </row>
    <row r="81" spans="1:45">
      <c r="A81" s="82"/>
      <c r="B81" s="82"/>
      <c r="C81" s="83"/>
      <c r="D81" s="83"/>
      <c r="E81" s="82"/>
      <c r="H81" s="62"/>
      <c r="I81" s="89"/>
      <c r="J81" s="73"/>
      <c r="K81" s="77"/>
      <c r="L81" s="88" t="str">
        <f>IF(K81="","",IF(K81=K82,"R",""))</f>
        <v/>
      </c>
      <c r="M81" s="62"/>
      <c r="N81" s="62"/>
      <c r="O81" s="726"/>
      <c r="P81" s="73"/>
      <c r="Q81" s="77"/>
      <c r="R81" s="88" t="str">
        <f>IF(Q81="","",IF(Q81=Q82,"R",""))</f>
        <v/>
      </c>
      <c r="S81" s="86"/>
      <c r="T81" s="82"/>
      <c r="U81" s="82"/>
      <c r="V81" s="82"/>
      <c r="W81" s="82"/>
      <c r="X81" s="82"/>
      <c r="Y81" s="86"/>
      <c r="Z81" s="82"/>
      <c r="AF81" s="82"/>
      <c r="AG81" s="82"/>
      <c r="AH81" s="82"/>
      <c r="AI81" s="82"/>
      <c r="AJ81" s="82"/>
      <c r="AK81" s="82"/>
      <c r="AL81" s="82"/>
      <c r="AM81" s="82"/>
      <c r="AN81" s="82"/>
      <c r="AO81" s="82"/>
      <c r="AP81" s="82"/>
      <c r="AQ81" s="82"/>
      <c r="AR81" s="82"/>
      <c r="AS81" s="82"/>
    </row>
    <row r="82" spans="1:45">
      <c r="A82" s="82"/>
      <c r="B82" s="82"/>
      <c r="C82" s="83"/>
      <c r="D82" s="83"/>
      <c r="E82" s="82"/>
      <c r="H82" s="82"/>
      <c r="I82" s="90"/>
      <c r="J82" s="73"/>
      <c r="K82" s="77"/>
      <c r="L82" s="66"/>
      <c r="M82" s="62"/>
      <c r="N82" s="62"/>
      <c r="O82" s="727"/>
      <c r="P82" s="73"/>
      <c r="Q82" s="77"/>
      <c r="R82" s="66"/>
      <c r="S82" s="87"/>
      <c r="T82" s="82"/>
      <c r="U82" s="82"/>
      <c r="V82" s="82"/>
      <c r="W82" s="82"/>
      <c r="X82" s="82"/>
      <c r="Y82" s="87"/>
      <c r="Z82" s="82"/>
      <c r="AF82" s="82"/>
      <c r="AG82" s="82"/>
      <c r="AH82" s="82"/>
      <c r="AI82" s="82"/>
      <c r="AJ82" s="82"/>
      <c r="AK82" s="82"/>
      <c r="AL82" s="82"/>
      <c r="AM82" s="82"/>
      <c r="AN82" s="82"/>
      <c r="AO82" s="82"/>
      <c r="AP82" s="82"/>
      <c r="AQ82" s="82"/>
      <c r="AR82" s="82"/>
      <c r="AS82" s="82"/>
    </row>
    <row r="83" spans="1:45">
      <c r="A83" s="82"/>
      <c r="B83" s="82"/>
      <c r="C83" s="83"/>
      <c r="D83" s="83"/>
      <c r="E83" s="82"/>
      <c r="H83" s="82"/>
      <c r="I83" s="137"/>
      <c r="J83" s="73"/>
      <c r="K83" s="77"/>
      <c r="L83" s="88" t="str">
        <f>IF(K83="","",IF(K83=K84,"R",""))</f>
        <v/>
      </c>
      <c r="M83" s="62"/>
      <c r="N83" s="62"/>
      <c r="O83" s="89"/>
      <c r="P83" s="73"/>
      <c r="Q83" s="77"/>
      <c r="R83" s="88" t="str">
        <f>IF(Q83="","",IF(Q83=Q84,"R",""))</f>
        <v/>
      </c>
      <c r="S83" s="87"/>
      <c r="T83" s="82"/>
      <c r="U83" s="82"/>
      <c r="V83" s="82"/>
      <c r="W83" s="82"/>
      <c r="X83" s="82"/>
      <c r="Y83" s="87"/>
      <c r="Z83" s="82"/>
      <c r="AF83" s="82"/>
      <c r="AG83" s="82"/>
      <c r="AH83" s="82"/>
      <c r="AI83" s="82"/>
      <c r="AJ83" s="82"/>
      <c r="AK83" s="82"/>
      <c r="AL83" s="82"/>
      <c r="AM83" s="82"/>
      <c r="AN83" s="82"/>
      <c r="AO83" s="82"/>
      <c r="AP83" s="82"/>
      <c r="AQ83" s="82"/>
      <c r="AR83" s="82"/>
      <c r="AS83" s="82"/>
    </row>
    <row r="84" spans="1:45">
      <c r="A84" s="82"/>
      <c r="B84" s="82"/>
      <c r="C84" s="83"/>
      <c r="D84" s="83"/>
      <c r="E84" s="82"/>
      <c r="H84" s="82"/>
      <c r="I84" s="138"/>
      <c r="J84" s="73"/>
      <c r="K84" s="77"/>
      <c r="L84" s="66"/>
      <c r="M84" s="62"/>
      <c r="N84" s="62"/>
      <c r="O84" s="90"/>
      <c r="P84" s="73"/>
      <c r="Q84" s="77"/>
      <c r="R84" s="66"/>
      <c r="S84" s="87"/>
      <c r="T84" s="82"/>
      <c r="U84" s="82"/>
      <c r="V84" s="82"/>
      <c r="W84" s="82"/>
      <c r="X84" s="82"/>
      <c r="Y84" s="87"/>
      <c r="Z84" s="82"/>
      <c r="AF84" s="82"/>
      <c r="AG84" s="82"/>
      <c r="AH84" s="82"/>
      <c r="AI84" s="82"/>
      <c r="AJ84" s="82"/>
      <c r="AK84" s="82"/>
      <c r="AL84" s="82"/>
      <c r="AM84" s="82"/>
      <c r="AN84" s="82"/>
      <c r="AO84" s="82"/>
      <c r="AP84" s="82"/>
      <c r="AQ84" s="82"/>
      <c r="AR84" s="82"/>
      <c r="AS84" s="82"/>
    </row>
    <row r="85" spans="1:45">
      <c r="A85" s="82"/>
      <c r="B85" s="82"/>
      <c r="C85" s="83"/>
      <c r="D85" s="83"/>
      <c r="E85" s="82"/>
      <c r="H85" s="82"/>
      <c r="I85" s="89"/>
      <c r="J85" s="73"/>
      <c r="K85" s="77"/>
      <c r="L85" s="88" t="str">
        <f>IF(K85="","",IF(K85=K86,"R",""))</f>
        <v/>
      </c>
      <c r="M85" s="62"/>
      <c r="N85" s="62"/>
      <c r="O85" s="726"/>
      <c r="P85" s="73"/>
      <c r="Q85" s="77"/>
      <c r="R85" s="88" t="str">
        <f>IF(Q85="","",IF(Q85=Q86,"R",""))</f>
        <v/>
      </c>
      <c r="S85" s="87"/>
      <c r="T85" s="82"/>
      <c r="U85" s="82"/>
      <c r="V85" s="82"/>
      <c r="W85" s="82"/>
      <c r="X85" s="82"/>
      <c r="Y85" s="87"/>
      <c r="Z85" s="82"/>
      <c r="AF85" s="82"/>
      <c r="AG85" s="82"/>
      <c r="AH85" s="82"/>
      <c r="AI85" s="82"/>
      <c r="AJ85" s="82"/>
      <c r="AK85" s="82"/>
      <c r="AL85" s="82"/>
      <c r="AM85" s="82"/>
      <c r="AN85" s="82"/>
      <c r="AO85" s="82"/>
      <c r="AP85" s="82"/>
      <c r="AQ85" s="82"/>
      <c r="AR85" s="82"/>
      <c r="AS85" s="82"/>
    </row>
    <row r="86" spans="1:45">
      <c r="A86" s="82"/>
      <c r="B86" s="82"/>
      <c r="C86" s="83"/>
      <c r="D86" s="83"/>
      <c r="E86" s="82"/>
      <c r="H86" s="82"/>
      <c r="I86" s="90"/>
      <c r="J86" s="73"/>
      <c r="K86" s="77"/>
      <c r="L86" s="66"/>
      <c r="M86" s="62"/>
      <c r="N86" s="62"/>
      <c r="O86" s="727"/>
      <c r="P86" s="73"/>
      <c r="Q86" s="77"/>
      <c r="R86" s="66"/>
      <c r="S86" s="87"/>
      <c r="T86" s="82"/>
      <c r="U86" s="82"/>
      <c r="V86" s="82"/>
      <c r="W86" s="82"/>
      <c r="X86" s="82"/>
      <c r="Y86" s="87"/>
      <c r="Z86" s="82"/>
      <c r="AF86" s="82"/>
      <c r="AG86" s="82"/>
      <c r="AH86" s="82"/>
      <c r="AI86" s="82"/>
      <c r="AJ86" s="82"/>
      <c r="AK86" s="82"/>
      <c r="AL86" s="82"/>
      <c r="AM86" s="82"/>
      <c r="AN86" s="82"/>
      <c r="AO86" s="82"/>
      <c r="AP86" s="82"/>
      <c r="AQ86" s="82"/>
      <c r="AR86" s="82"/>
      <c r="AS86" s="82"/>
    </row>
    <row r="87" spans="1:45">
      <c r="A87" s="82"/>
      <c r="B87" s="82"/>
      <c r="C87" s="83"/>
      <c r="D87" s="83"/>
      <c r="E87" s="82"/>
      <c r="H87" s="82"/>
      <c r="I87" s="726"/>
      <c r="J87" s="73"/>
      <c r="K87" s="77"/>
      <c r="L87" s="88" t="str">
        <f>IF(K87="","",IF(K87=K88,"R",""))</f>
        <v/>
      </c>
      <c r="M87" s="62"/>
      <c r="N87" s="62"/>
      <c r="O87" s="89"/>
      <c r="P87" s="73"/>
      <c r="Q87" s="77"/>
      <c r="R87" s="88" t="str">
        <f>IF(Q87="","",IF(Q87=Q88,"R",""))</f>
        <v/>
      </c>
      <c r="S87" s="87"/>
      <c r="T87" s="82"/>
      <c r="U87" s="82"/>
      <c r="V87" s="82"/>
      <c r="W87" s="82"/>
      <c r="X87" s="82"/>
      <c r="Y87" s="87"/>
      <c r="Z87" s="82"/>
      <c r="AF87" s="82"/>
      <c r="AG87" s="82"/>
      <c r="AH87" s="82"/>
      <c r="AI87" s="82"/>
      <c r="AJ87" s="82"/>
      <c r="AK87" s="82"/>
      <c r="AL87" s="82"/>
      <c r="AM87" s="82"/>
      <c r="AN87" s="82"/>
      <c r="AO87" s="82"/>
      <c r="AP87" s="82"/>
      <c r="AQ87" s="82"/>
      <c r="AR87" s="82"/>
      <c r="AS87" s="82"/>
    </row>
    <row r="88" spans="1:45">
      <c r="A88" s="82"/>
      <c r="B88" s="82"/>
      <c r="C88" s="83"/>
      <c r="D88" s="83"/>
      <c r="E88" s="82"/>
      <c r="H88" s="82"/>
      <c r="I88" s="727"/>
      <c r="J88" s="73"/>
      <c r="K88" s="77"/>
      <c r="L88" s="66"/>
      <c r="M88" s="62"/>
      <c r="N88" s="62"/>
      <c r="O88" s="90"/>
      <c r="P88" s="73"/>
      <c r="Q88" s="77"/>
      <c r="R88" s="66"/>
      <c r="S88" s="87"/>
      <c r="T88" s="82"/>
      <c r="U88" s="82"/>
      <c r="V88" s="82"/>
      <c r="W88" s="82"/>
      <c r="X88" s="82"/>
      <c r="Y88" s="87"/>
      <c r="Z88" s="82"/>
      <c r="AF88" s="82"/>
      <c r="AG88" s="82"/>
      <c r="AH88" s="82"/>
      <c r="AI88" s="82"/>
      <c r="AJ88" s="82"/>
      <c r="AK88" s="82"/>
      <c r="AL88" s="82"/>
      <c r="AM88" s="82"/>
      <c r="AN88" s="82"/>
      <c r="AO88" s="82"/>
      <c r="AP88" s="82"/>
      <c r="AQ88" s="82"/>
      <c r="AR88" s="82"/>
      <c r="AS88" s="82"/>
    </row>
    <row r="89" spans="1:45">
      <c r="A89" s="82"/>
      <c r="B89" s="82"/>
      <c r="C89" s="83"/>
      <c r="D89" s="83"/>
      <c r="E89" s="82"/>
      <c r="H89" s="82"/>
      <c r="I89" s="89"/>
      <c r="J89" s="73"/>
      <c r="K89" s="77"/>
      <c r="L89" s="88" t="str">
        <f>IF(K89="","",IF(K89=K90,"R",""))</f>
        <v/>
      </c>
      <c r="M89" s="62"/>
      <c r="N89" s="62"/>
      <c r="O89" s="726"/>
      <c r="P89" s="73"/>
      <c r="Q89" s="77"/>
      <c r="R89" s="88" t="str">
        <f>IF(Q89="","",IF(Q89=Q90,"R",""))</f>
        <v/>
      </c>
      <c r="S89" s="87"/>
      <c r="T89" s="82"/>
      <c r="U89" s="82"/>
      <c r="V89" s="82"/>
      <c r="W89" s="82"/>
      <c r="X89" s="82"/>
      <c r="Y89" s="87"/>
      <c r="Z89" s="82"/>
      <c r="AF89" s="82"/>
      <c r="AG89" s="82"/>
      <c r="AH89" s="82"/>
      <c r="AI89" s="82"/>
      <c r="AJ89" s="82"/>
      <c r="AK89" s="82"/>
      <c r="AL89" s="82"/>
      <c r="AM89" s="82"/>
      <c r="AN89" s="82"/>
      <c r="AO89" s="82"/>
      <c r="AP89" s="82"/>
      <c r="AQ89" s="82"/>
      <c r="AR89" s="82"/>
      <c r="AS89" s="82"/>
    </row>
    <row r="90" spans="1:45">
      <c r="A90" s="82"/>
      <c r="B90" s="82"/>
      <c r="C90" s="83"/>
      <c r="D90" s="83"/>
      <c r="E90" s="82"/>
      <c r="H90" s="82"/>
      <c r="I90" s="90"/>
      <c r="J90" s="73"/>
      <c r="K90" s="77"/>
      <c r="L90" s="66"/>
      <c r="M90" s="62"/>
      <c r="N90" s="62"/>
      <c r="O90" s="727"/>
      <c r="P90" s="73"/>
      <c r="Q90" s="77"/>
      <c r="R90" s="66"/>
      <c r="S90" s="87"/>
      <c r="T90" s="82"/>
      <c r="U90" s="82"/>
      <c r="V90" s="82"/>
      <c r="W90" s="82"/>
      <c r="X90" s="82"/>
      <c r="Y90" s="87"/>
      <c r="Z90" s="82"/>
      <c r="AA90" s="82"/>
      <c r="AB90" s="82"/>
      <c r="AC90" s="82"/>
      <c r="AD90" s="82"/>
      <c r="AE90" s="87"/>
      <c r="AF90" s="82"/>
      <c r="AG90" s="82"/>
      <c r="AH90" s="82"/>
      <c r="AI90" s="82"/>
      <c r="AJ90" s="82"/>
      <c r="AK90" s="82"/>
      <c r="AL90" s="82"/>
      <c r="AM90" s="82"/>
      <c r="AN90" s="82"/>
      <c r="AO90" s="82"/>
      <c r="AP90" s="82"/>
      <c r="AQ90" s="82"/>
      <c r="AR90" s="82"/>
      <c r="AS90" s="82"/>
    </row>
    <row r="91" spans="1:45">
      <c r="A91" s="82"/>
      <c r="B91" s="82"/>
      <c r="C91" s="83"/>
      <c r="D91" s="83"/>
      <c r="E91" s="82"/>
      <c r="H91" s="82"/>
      <c r="I91" s="726"/>
      <c r="J91" s="73"/>
      <c r="K91" s="77"/>
      <c r="L91" s="88" t="str">
        <f>IF(K91="","",IF(K91=K92,"R",""))</f>
        <v/>
      </c>
      <c r="M91" s="62"/>
      <c r="N91" s="62"/>
      <c r="O91" s="89"/>
      <c r="P91" s="73"/>
      <c r="Q91" s="77"/>
      <c r="R91" s="88" t="str">
        <f>IF(Q91="","",IF(Q91=Q92,"R",""))</f>
        <v/>
      </c>
      <c r="S91" s="87"/>
      <c r="T91" s="82"/>
      <c r="U91" s="82"/>
      <c r="V91" s="82"/>
      <c r="W91" s="82"/>
      <c r="X91" s="82"/>
      <c r="Y91" s="87"/>
      <c r="Z91" s="82"/>
      <c r="AA91" s="82"/>
      <c r="AB91" s="82"/>
      <c r="AC91" s="82"/>
      <c r="AD91" s="82"/>
      <c r="AE91" s="87"/>
      <c r="AF91" s="82"/>
      <c r="AG91" s="82"/>
      <c r="AH91" s="82"/>
      <c r="AI91" s="82"/>
      <c r="AJ91" s="82"/>
      <c r="AK91" s="82"/>
      <c r="AL91" s="82"/>
      <c r="AM91" s="82"/>
      <c r="AN91" s="82"/>
      <c r="AO91" s="82"/>
      <c r="AP91" s="82"/>
      <c r="AQ91" s="82"/>
      <c r="AR91" s="82"/>
      <c r="AS91" s="82"/>
    </row>
    <row r="92" spans="1:45">
      <c r="A92" s="82"/>
      <c r="B92" s="82"/>
      <c r="C92" s="83"/>
      <c r="D92" s="83"/>
      <c r="E92" s="82"/>
      <c r="H92" s="82"/>
      <c r="I92" s="727"/>
      <c r="J92" s="73"/>
      <c r="K92" s="77"/>
      <c r="L92" s="66"/>
      <c r="M92" s="62"/>
      <c r="N92" s="62"/>
      <c r="O92" s="90"/>
      <c r="P92" s="73"/>
      <c r="Q92" s="77"/>
      <c r="R92" s="66"/>
      <c r="S92" s="87"/>
      <c r="T92" s="82"/>
      <c r="U92" s="82"/>
      <c r="V92" s="82"/>
      <c r="W92" s="82"/>
      <c r="X92" s="82"/>
      <c r="Y92" s="87"/>
      <c r="Z92" s="82"/>
      <c r="AA92" s="82"/>
      <c r="AB92" s="82"/>
      <c r="AC92" s="82"/>
      <c r="AD92" s="82"/>
      <c r="AE92" s="87"/>
      <c r="AF92" s="82"/>
      <c r="AG92" s="82"/>
      <c r="AH92" s="82"/>
      <c r="AI92" s="82"/>
      <c r="AJ92" s="82"/>
      <c r="AK92" s="82"/>
      <c r="AL92" s="82"/>
      <c r="AM92" s="82"/>
      <c r="AN92" s="82"/>
      <c r="AO92" s="82"/>
      <c r="AP92" s="82"/>
      <c r="AQ92" s="82"/>
      <c r="AR92" s="82"/>
      <c r="AS92" s="82"/>
    </row>
    <row r="93" spans="1:45">
      <c r="A93" s="82"/>
      <c r="B93" s="82"/>
      <c r="C93" s="83"/>
      <c r="D93" s="83"/>
      <c r="E93" s="82"/>
      <c r="H93" s="82"/>
      <c r="I93" s="89"/>
      <c r="J93" s="73"/>
      <c r="K93" s="77"/>
      <c r="L93" s="88" t="str">
        <f>IF(K93="","",IF(K93=K94,"R",""))</f>
        <v/>
      </c>
      <c r="M93" s="62"/>
      <c r="N93" s="62"/>
      <c r="O93" s="83"/>
      <c r="P93" s="82"/>
      <c r="Q93" s="82"/>
      <c r="R93" s="82"/>
      <c r="S93" s="87"/>
      <c r="T93" s="82"/>
      <c r="U93" s="82"/>
      <c r="V93" s="82"/>
      <c r="W93" s="82"/>
      <c r="X93" s="82"/>
      <c r="Y93" s="87"/>
      <c r="Z93" s="82"/>
      <c r="AA93" s="82"/>
      <c r="AB93" s="82"/>
      <c r="AC93" s="82"/>
      <c r="AD93" s="82"/>
      <c r="AE93" s="87"/>
      <c r="AF93" s="82"/>
      <c r="AG93" s="82"/>
      <c r="AH93" s="82"/>
      <c r="AI93" s="82"/>
      <c r="AJ93" s="82"/>
      <c r="AK93" s="82"/>
      <c r="AL93" s="82"/>
      <c r="AM93" s="82"/>
      <c r="AN93" s="82"/>
      <c r="AO93" s="82"/>
      <c r="AP93" s="82"/>
      <c r="AQ93" s="82"/>
      <c r="AR93" s="82"/>
      <c r="AS93" s="82"/>
    </row>
    <row r="94" spans="1:45">
      <c r="A94" s="82"/>
      <c r="B94" s="82"/>
      <c r="C94" s="83"/>
      <c r="D94" s="83"/>
      <c r="E94" s="82"/>
      <c r="H94" s="82"/>
      <c r="I94" s="90"/>
      <c r="J94" s="73"/>
      <c r="K94" s="77"/>
      <c r="L94" s="66"/>
      <c r="M94" s="62"/>
      <c r="N94" s="62"/>
      <c r="O94" s="83"/>
      <c r="P94" s="82"/>
      <c r="Q94" s="82"/>
      <c r="R94" s="82"/>
      <c r="S94" s="87"/>
      <c r="T94" s="82"/>
      <c r="U94" s="82"/>
      <c r="V94" s="82"/>
      <c r="W94" s="82"/>
      <c r="X94" s="82"/>
      <c r="Y94" s="87"/>
      <c r="Z94" s="82"/>
      <c r="AA94" s="82"/>
      <c r="AB94" s="82"/>
      <c r="AC94" s="82"/>
      <c r="AD94" s="82"/>
      <c r="AE94" s="87"/>
      <c r="AF94" s="82"/>
      <c r="AG94" s="82"/>
      <c r="AH94" s="82"/>
      <c r="AI94" s="82"/>
      <c r="AJ94" s="82"/>
      <c r="AK94" s="82"/>
      <c r="AL94" s="82"/>
      <c r="AM94" s="82"/>
      <c r="AN94" s="82"/>
      <c r="AO94" s="82"/>
      <c r="AP94" s="82"/>
      <c r="AQ94" s="82"/>
      <c r="AR94" s="82"/>
      <c r="AS94" s="82"/>
    </row>
    <row r="95" spans="1:45">
      <c r="A95" s="82"/>
      <c r="B95" s="82"/>
      <c r="C95" s="83"/>
      <c r="D95" s="83"/>
      <c r="E95" s="82"/>
      <c r="H95" s="82"/>
      <c r="I95" s="64"/>
      <c r="J95" s="62"/>
      <c r="K95" s="62"/>
      <c r="L95" s="62"/>
      <c r="M95" s="62"/>
      <c r="N95" s="62"/>
      <c r="O95" s="83"/>
      <c r="P95" s="82"/>
      <c r="Q95" s="82"/>
      <c r="R95" s="82"/>
      <c r="S95" s="87"/>
      <c r="T95" s="82"/>
      <c r="U95" s="82"/>
      <c r="V95" s="82"/>
      <c r="W95" s="82"/>
      <c r="X95" s="82"/>
      <c r="Y95" s="87"/>
      <c r="Z95" s="82"/>
      <c r="AA95" s="82"/>
      <c r="AB95" s="82"/>
      <c r="AC95" s="82"/>
      <c r="AD95" s="82"/>
      <c r="AE95" s="87"/>
      <c r="AF95" s="82"/>
      <c r="AG95" s="82"/>
      <c r="AH95" s="82"/>
      <c r="AI95" s="82"/>
      <c r="AJ95" s="82"/>
      <c r="AK95" s="82"/>
      <c r="AL95" s="82"/>
      <c r="AM95" s="82"/>
      <c r="AN95" s="82"/>
      <c r="AO95" s="82"/>
      <c r="AP95" s="82"/>
      <c r="AQ95" s="82"/>
      <c r="AR95" s="82"/>
      <c r="AS95" s="82"/>
    </row>
    <row r="96" spans="1:45">
      <c r="A96" s="82"/>
      <c r="B96" s="82"/>
      <c r="C96" s="83"/>
      <c r="D96" s="83"/>
      <c r="E96" s="82"/>
      <c r="H96" s="82"/>
      <c r="I96" s="64"/>
      <c r="J96" s="62"/>
      <c r="K96" s="62"/>
      <c r="L96" s="62"/>
      <c r="M96" s="62"/>
      <c r="N96" s="62"/>
      <c r="O96" s="83"/>
      <c r="P96" s="82"/>
      <c r="Q96" s="82"/>
      <c r="R96" s="82"/>
      <c r="S96" s="87"/>
      <c r="T96" s="82"/>
      <c r="U96" s="82"/>
      <c r="V96" s="82"/>
      <c r="W96" s="82"/>
      <c r="X96" s="82"/>
      <c r="Y96" s="87"/>
      <c r="Z96" s="82"/>
      <c r="AA96" s="82"/>
      <c r="AB96" s="82"/>
      <c r="AC96" s="82"/>
      <c r="AD96" s="82"/>
      <c r="AE96" s="87"/>
      <c r="AF96" s="82"/>
      <c r="AG96" s="82"/>
      <c r="AH96" s="82"/>
      <c r="AI96" s="82"/>
      <c r="AJ96" s="82"/>
      <c r="AK96" s="82"/>
      <c r="AL96" s="82"/>
      <c r="AM96" s="82"/>
      <c r="AN96" s="82"/>
      <c r="AO96" s="82"/>
      <c r="AP96" s="82"/>
      <c r="AQ96" s="82"/>
      <c r="AR96" s="82"/>
      <c r="AS96" s="82"/>
    </row>
    <row r="97" spans="1:45">
      <c r="A97" s="82"/>
      <c r="B97" s="82"/>
      <c r="C97" s="83"/>
      <c r="D97" s="83"/>
      <c r="E97" s="82"/>
      <c r="H97" s="82"/>
      <c r="I97" s="64"/>
      <c r="J97" s="62"/>
      <c r="K97" s="62"/>
      <c r="L97" s="62"/>
      <c r="M97" s="62"/>
      <c r="N97" s="62"/>
      <c r="O97" s="83"/>
      <c r="P97" s="82"/>
      <c r="Q97" s="82"/>
      <c r="R97" s="82"/>
      <c r="S97" s="87"/>
      <c r="T97" s="82"/>
      <c r="U97" s="82"/>
      <c r="V97" s="82"/>
      <c r="W97" s="82"/>
      <c r="X97" s="82"/>
      <c r="Y97" s="87"/>
      <c r="Z97" s="82"/>
      <c r="AA97" s="82"/>
      <c r="AB97" s="82"/>
      <c r="AC97" s="82"/>
      <c r="AD97" s="82"/>
      <c r="AE97" s="87"/>
      <c r="AF97" s="82"/>
      <c r="AG97" s="82"/>
      <c r="AH97" s="82"/>
      <c r="AI97" s="82"/>
      <c r="AJ97" s="82"/>
      <c r="AK97" s="82"/>
      <c r="AL97" s="82"/>
      <c r="AM97" s="82"/>
      <c r="AN97" s="82"/>
      <c r="AO97" s="82"/>
      <c r="AP97" s="82"/>
      <c r="AQ97" s="82"/>
      <c r="AR97" s="82"/>
      <c r="AS97" s="82"/>
    </row>
    <row r="98" spans="1:45">
      <c r="A98" s="82"/>
      <c r="B98" s="82"/>
      <c r="C98" s="83"/>
      <c r="D98" s="83"/>
      <c r="E98" s="82"/>
      <c r="H98" s="82"/>
      <c r="I98" s="64"/>
      <c r="J98" s="62"/>
      <c r="K98" s="62"/>
      <c r="L98" s="62"/>
      <c r="M98" s="62"/>
      <c r="N98" s="62"/>
      <c r="O98" s="83"/>
      <c r="P98" s="82"/>
      <c r="Q98" s="82"/>
      <c r="R98" s="82"/>
      <c r="S98" s="87"/>
      <c r="T98" s="82"/>
      <c r="U98" s="82"/>
      <c r="V98" s="82"/>
      <c r="W98" s="82"/>
      <c r="X98" s="82"/>
      <c r="Y98" s="87"/>
      <c r="Z98" s="82"/>
      <c r="AA98" s="82"/>
      <c r="AB98" s="82"/>
      <c r="AC98" s="82"/>
      <c r="AD98" s="82"/>
      <c r="AE98" s="87"/>
      <c r="AF98" s="82"/>
      <c r="AG98" s="82"/>
      <c r="AH98" s="82"/>
      <c r="AI98" s="82"/>
      <c r="AJ98" s="82"/>
      <c r="AK98" s="82"/>
      <c r="AL98" s="82"/>
      <c r="AM98" s="82"/>
      <c r="AN98" s="82"/>
      <c r="AO98" s="82"/>
      <c r="AP98" s="82"/>
      <c r="AQ98" s="82"/>
      <c r="AR98" s="82"/>
      <c r="AS98" s="82"/>
    </row>
    <row r="99" spans="1:45">
      <c r="A99" s="82"/>
      <c r="B99" s="82"/>
      <c r="C99" s="83"/>
      <c r="D99" s="83"/>
      <c r="E99" s="82"/>
      <c r="H99" s="82"/>
      <c r="I99" s="64"/>
      <c r="J99" s="62"/>
      <c r="K99" s="62"/>
      <c r="L99" s="62"/>
      <c r="M99" s="62"/>
      <c r="N99" s="62"/>
      <c r="O99" s="83"/>
      <c r="P99" s="82"/>
      <c r="Q99" s="82"/>
      <c r="R99" s="82"/>
      <c r="S99" s="87"/>
      <c r="T99" s="82"/>
      <c r="U99" s="82"/>
      <c r="V99" s="82"/>
      <c r="W99" s="82"/>
      <c r="X99" s="82"/>
      <c r="Y99" s="87"/>
      <c r="Z99" s="82"/>
      <c r="AA99" s="82"/>
      <c r="AB99" s="82"/>
      <c r="AC99" s="82"/>
      <c r="AD99" s="82"/>
      <c r="AE99" s="87"/>
      <c r="AF99" s="82"/>
      <c r="AG99" s="82"/>
      <c r="AH99" s="82"/>
      <c r="AI99" s="82"/>
      <c r="AJ99" s="82"/>
      <c r="AK99" s="82"/>
      <c r="AL99" s="82"/>
      <c r="AM99" s="82"/>
      <c r="AN99" s="82"/>
      <c r="AO99" s="82"/>
      <c r="AP99" s="82"/>
      <c r="AQ99" s="82"/>
      <c r="AR99" s="82"/>
      <c r="AS99" s="82"/>
    </row>
    <row r="100" spans="1:45">
      <c r="A100" s="82"/>
      <c r="B100" s="82"/>
      <c r="C100" s="83"/>
      <c r="D100" s="83"/>
      <c r="E100" s="82"/>
      <c r="H100" s="82"/>
      <c r="I100" s="64"/>
      <c r="J100" s="62"/>
      <c r="K100" s="62"/>
      <c r="L100" s="62"/>
      <c r="M100" s="62"/>
      <c r="N100" s="62"/>
      <c r="O100" s="83"/>
      <c r="P100" s="82"/>
      <c r="Q100" s="82"/>
      <c r="R100" s="82"/>
      <c r="S100" s="87"/>
      <c r="T100" s="82"/>
      <c r="U100" s="82"/>
      <c r="V100" s="82"/>
      <c r="W100" s="82"/>
      <c r="X100" s="82"/>
      <c r="Y100" s="87"/>
      <c r="Z100" s="82"/>
      <c r="AA100" s="82"/>
      <c r="AB100" s="82"/>
      <c r="AC100" s="82"/>
      <c r="AD100" s="82"/>
      <c r="AE100" s="87"/>
      <c r="AF100" s="82"/>
      <c r="AG100" s="82"/>
      <c r="AH100" s="82"/>
      <c r="AI100" s="82"/>
      <c r="AJ100" s="82"/>
      <c r="AK100" s="82"/>
      <c r="AL100" s="82"/>
      <c r="AM100" s="82"/>
      <c r="AN100" s="82"/>
      <c r="AO100" s="82"/>
      <c r="AP100" s="82"/>
      <c r="AQ100" s="82"/>
      <c r="AR100" s="82"/>
      <c r="AS100" s="82"/>
    </row>
    <row r="101" spans="1:45">
      <c r="A101" s="82"/>
      <c r="B101" s="82"/>
      <c r="C101" s="83"/>
      <c r="D101" s="83"/>
      <c r="E101" s="82"/>
      <c r="H101" s="82"/>
      <c r="I101" s="64"/>
      <c r="J101" s="62"/>
      <c r="K101" s="62"/>
      <c r="L101" s="62"/>
      <c r="M101" s="62"/>
      <c r="N101" s="62"/>
      <c r="O101" s="83"/>
      <c r="P101" s="82"/>
      <c r="Q101" s="82"/>
      <c r="R101" s="82"/>
      <c r="S101" s="87"/>
      <c r="T101" s="82"/>
      <c r="U101" s="82"/>
      <c r="V101" s="82"/>
      <c r="W101" s="82"/>
      <c r="X101" s="82"/>
      <c r="Y101" s="87"/>
      <c r="Z101" s="82"/>
      <c r="AA101" s="82"/>
      <c r="AB101" s="82"/>
      <c r="AC101" s="82"/>
      <c r="AD101" s="82"/>
      <c r="AE101" s="87"/>
      <c r="AF101" s="82"/>
      <c r="AG101" s="82"/>
      <c r="AH101" s="82"/>
      <c r="AI101" s="82"/>
      <c r="AJ101" s="82"/>
      <c r="AK101" s="82"/>
      <c r="AL101" s="82"/>
      <c r="AM101" s="82"/>
      <c r="AN101" s="82"/>
      <c r="AO101" s="82"/>
      <c r="AP101" s="82"/>
      <c r="AQ101" s="82"/>
      <c r="AR101" s="82"/>
      <c r="AS101" s="82"/>
    </row>
    <row r="102" spans="1:45">
      <c r="A102" s="82"/>
      <c r="B102" s="82"/>
      <c r="C102" s="83"/>
      <c r="D102" s="83"/>
      <c r="E102" s="82"/>
      <c r="H102" s="82"/>
      <c r="I102" s="64"/>
      <c r="J102" s="62"/>
      <c r="K102" s="62"/>
      <c r="L102" s="62"/>
      <c r="M102" s="62"/>
      <c r="N102" s="62"/>
      <c r="O102" s="83"/>
      <c r="P102" s="82"/>
      <c r="Q102" s="82"/>
      <c r="R102" s="82"/>
      <c r="S102" s="87"/>
      <c r="T102" s="82"/>
      <c r="U102" s="82"/>
      <c r="V102" s="82"/>
      <c r="W102" s="82"/>
      <c r="X102" s="82"/>
      <c r="Y102" s="87"/>
      <c r="Z102" s="82"/>
      <c r="AA102" s="82"/>
      <c r="AB102" s="82"/>
      <c r="AC102" s="82"/>
      <c r="AD102" s="82"/>
      <c r="AE102" s="87"/>
      <c r="AF102" s="82"/>
      <c r="AG102" s="82"/>
      <c r="AH102" s="82"/>
      <c r="AI102" s="82"/>
      <c r="AJ102" s="82"/>
      <c r="AK102" s="82"/>
      <c r="AL102" s="82"/>
      <c r="AM102" s="82"/>
      <c r="AN102" s="82"/>
      <c r="AO102" s="82"/>
      <c r="AP102" s="82"/>
      <c r="AQ102" s="82"/>
      <c r="AR102" s="82"/>
      <c r="AS102" s="82"/>
    </row>
    <row r="103" spans="1:45">
      <c r="A103" s="82"/>
      <c r="B103" s="82"/>
      <c r="C103" s="83"/>
      <c r="D103" s="83"/>
      <c r="E103" s="82"/>
      <c r="H103" s="82"/>
      <c r="I103" s="64"/>
      <c r="J103" s="62"/>
      <c r="K103" s="62"/>
      <c r="L103" s="62"/>
      <c r="M103" s="62"/>
      <c r="N103" s="62"/>
      <c r="O103" s="83"/>
      <c r="P103" s="82"/>
      <c r="Q103" s="82"/>
      <c r="R103" s="82"/>
      <c r="S103" s="87"/>
      <c r="T103" s="82"/>
      <c r="U103" s="82"/>
      <c r="V103" s="82"/>
      <c r="W103" s="82"/>
      <c r="X103" s="82"/>
      <c r="Y103" s="87"/>
      <c r="Z103" s="82"/>
      <c r="AA103" s="82"/>
      <c r="AB103" s="82"/>
      <c r="AC103" s="82"/>
      <c r="AD103" s="82"/>
      <c r="AE103" s="87"/>
      <c r="AF103" s="82"/>
      <c r="AG103" s="82"/>
      <c r="AH103" s="82"/>
      <c r="AI103" s="82"/>
      <c r="AJ103" s="82"/>
      <c r="AK103" s="82"/>
      <c r="AL103" s="82"/>
      <c r="AM103" s="82"/>
      <c r="AN103" s="82"/>
      <c r="AO103" s="82"/>
      <c r="AP103" s="82"/>
      <c r="AQ103" s="82"/>
      <c r="AR103" s="82"/>
      <c r="AS103" s="82"/>
    </row>
    <row r="104" spans="1:45">
      <c r="A104" s="82"/>
      <c r="B104" s="82"/>
      <c r="C104" s="83"/>
      <c r="D104" s="83"/>
      <c r="E104" s="82"/>
      <c r="H104" s="82"/>
      <c r="I104" s="64"/>
      <c r="J104" s="62"/>
      <c r="K104" s="62"/>
      <c r="L104" s="62"/>
      <c r="M104" s="62"/>
      <c r="N104" s="62"/>
      <c r="O104" s="83"/>
      <c r="P104" s="82"/>
      <c r="Q104" s="82"/>
      <c r="R104" s="82"/>
      <c r="S104" s="87"/>
      <c r="T104" s="82"/>
      <c r="U104" s="82"/>
      <c r="V104" s="82"/>
      <c r="W104" s="82"/>
      <c r="X104" s="82"/>
      <c r="Y104" s="87"/>
      <c r="Z104" s="82"/>
      <c r="AA104" s="82"/>
      <c r="AB104" s="82"/>
      <c r="AC104" s="82"/>
      <c r="AD104" s="82"/>
      <c r="AE104" s="87"/>
      <c r="AF104" s="82"/>
      <c r="AG104" s="82"/>
      <c r="AH104" s="82"/>
      <c r="AI104" s="82"/>
      <c r="AJ104" s="82"/>
      <c r="AK104" s="82"/>
      <c r="AL104" s="82"/>
      <c r="AM104" s="82"/>
      <c r="AN104" s="82"/>
      <c r="AO104" s="82"/>
      <c r="AP104" s="82"/>
      <c r="AQ104" s="82"/>
      <c r="AR104" s="82"/>
      <c r="AS104" s="82"/>
    </row>
    <row r="105" spans="1:45">
      <c r="A105" s="82"/>
      <c r="B105" s="82"/>
      <c r="C105" s="83"/>
      <c r="D105" s="83"/>
      <c r="E105" s="82"/>
      <c r="H105" s="82"/>
      <c r="I105" s="64"/>
      <c r="J105" s="62"/>
      <c r="K105" s="62"/>
      <c r="L105" s="62"/>
      <c r="M105" s="62"/>
      <c r="N105" s="62"/>
      <c r="O105" s="83"/>
      <c r="P105" s="82"/>
      <c r="Q105" s="82"/>
      <c r="R105" s="82"/>
      <c r="S105" s="87"/>
      <c r="T105" s="82"/>
      <c r="U105" s="82"/>
      <c r="V105" s="82"/>
      <c r="W105" s="82"/>
      <c r="X105" s="82"/>
      <c r="Y105" s="87"/>
      <c r="Z105" s="82"/>
      <c r="AA105" s="82"/>
      <c r="AB105" s="82"/>
      <c r="AC105" s="82"/>
      <c r="AD105" s="82"/>
      <c r="AE105" s="87"/>
      <c r="AF105" s="82"/>
      <c r="AG105" s="82"/>
      <c r="AH105" s="82"/>
      <c r="AI105" s="82"/>
      <c r="AJ105" s="82"/>
      <c r="AK105" s="82"/>
      <c r="AL105" s="82"/>
      <c r="AM105" s="82"/>
      <c r="AN105" s="82"/>
      <c r="AO105" s="82"/>
      <c r="AP105" s="82"/>
      <c r="AQ105" s="82"/>
      <c r="AR105" s="82"/>
      <c r="AS105" s="82"/>
    </row>
    <row r="106" spans="1:45">
      <c r="A106" s="82"/>
      <c r="B106" s="82"/>
      <c r="C106" s="83"/>
      <c r="D106" s="83"/>
      <c r="E106" s="82"/>
      <c r="H106" s="82"/>
      <c r="I106" s="64"/>
      <c r="J106" s="62"/>
      <c r="K106" s="62"/>
      <c r="L106" s="62"/>
      <c r="M106" s="62"/>
      <c r="N106" s="62"/>
      <c r="O106" s="83"/>
      <c r="P106" s="82"/>
      <c r="Q106" s="82"/>
      <c r="R106" s="82"/>
      <c r="S106" s="87"/>
      <c r="T106" s="82"/>
      <c r="U106" s="82"/>
      <c r="V106" s="82"/>
      <c r="W106" s="82"/>
      <c r="X106" s="82"/>
      <c r="Y106" s="87"/>
      <c r="Z106" s="82"/>
      <c r="AA106" s="82"/>
      <c r="AB106" s="82"/>
      <c r="AC106" s="82"/>
      <c r="AD106" s="82"/>
      <c r="AE106" s="87"/>
      <c r="AF106" s="82"/>
      <c r="AG106" s="82"/>
      <c r="AH106" s="82"/>
      <c r="AI106" s="82"/>
      <c r="AJ106" s="82"/>
      <c r="AK106" s="82"/>
      <c r="AL106" s="82"/>
      <c r="AM106" s="82"/>
      <c r="AN106" s="82"/>
      <c r="AO106" s="82"/>
      <c r="AP106" s="82"/>
      <c r="AQ106" s="82"/>
      <c r="AR106" s="82"/>
      <c r="AS106" s="82"/>
    </row>
    <row r="107" spans="1:45">
      <c r="A107" s="82"/>
      <c r="B107" s="82"/>
      <c r="C107" s="83"/>
      <c r="D107" s="83"/>
      <c r="E107" s="82"/>
      <c r="H107" s="82"/>
      <c r="I107" s="64"/>
      <c r="J107" s="62"/>
      <c r="K107" s="62"/>
      <c r="L107" s="62"/>
      <c r="M107" s="62"/>
      <c r="N107" s="62"/>
      <c r="O107" s="83"/>
      <c r="P107" s="82"/>
      <c r="Q107" s="82"/>
      <c r="R107" s="82"/>
      <c r="S107" s="87"/>
      <c r="T107" s="82"/>
      <c r="U107" s="82"/>
      <c r="V107" s="82"/>
      <c r="W107" s="82"/>
      <c r="X107" s="82"/>
      <c r="Y107" s="87"/>
      <c r="Z107" s="82"/>
      <c r="AA107" s="82"/>
      <c r="AB107" s="82"/>
      <c r="AC107" s="82"/>
      <c r="AD107" s="82"/>
      <c r="AE107" s="87"/>
      <c r="AF107" s="82"/>
      <c r="AG107" s="82"/>
      <c r="AH107" s="82"/>
      <c r="AI107" s="82"/>
      <c r="AJ107" s="82"/>
      <c r="AK107" s="82"/>
      <c r="AL107" s="82"/>
      <c r="AM107" s="82"/>
      <c r="AN107" s="82"/>
      <c r="AO107" s="82"/>
      <c r="AP107" s="82"/>
      <c r="AQ107" s="82"/>
      <c r="AR107" s="82"/>
      <c r="AS107" s="82"/>
    </row>
    <row r="108" spans="1:45">
      <c r="A108" s="82"/>
      <c r="B108" s="82"/>
      <c r="C108" s="83"/>
      <c r="D108" s="83"/>
      <c r="E108" s="82"/>
      <c r="H108" s="82"/>
      <c r="I108" s="64"/>
      <c r="J108" s="62"/>
      <c r="K108" s="62"/>
      <c r="L108" s="62"/>
      <c r="M108" s="62"/>
      <c r="N108" s="62"/>
      <c r="O108" s="83"/>
      <c r="P108" s="82"/>
      <c r="Q108" s="82"/>
      <c r="R108" s="82"/>
      <c r="S108" s="87"/>
      <c r="T108" s="82"/>
      <c r="U108" s="82"/>
      <c r="V108" s="82"/>
      <c r="W108" s="82"/>
      <c r="X108" s="82"/>
      <c r="Y108" s="87"/>
      <c r="Z108" s="82"/>
      <c r="AA108" s="82"/>
      <c r="AB108" s="82"/>
      <c r="AC108" s="82"/>
      <c r="AD108" s="82"/>
      <c r="AE108" s="87"/>
      <c r="AF108" s="82"/>
      <c r="AG108" s="82"/>
      <c r="AH108" s="82"/>
      <c r="AI108" s="82"/>
      <c r="AJ108" s="82"/>
      <c r="AK108" s="82"/>
      <c r="AL108" s="82"/>
      <c r="AM108" s="82"/>
      <c r="AN108" s="82"/>
      <c r="AO108" s="82"/>
      <c r="AP108" s="82"/>
      <c r="AQ108" s="82"/>
      <c r="AR108" s="82"/>
      <c r="AS108" s="82"/>
    </row>
    <row r="109" spans="1:45">
      <c r="A109" s="82"/>
      <c r="B109" s="82"/>
      <c r="C109" s="83"/>
      <c r="D109" s="83"/>
      <c r="E109" s="82"/>
      <c r="H109" s="82"/>
      <c r="I109" s="64"/>
      <c r="J109" s="62"/>
      <c r="K109" s="62"/>
      <c r="L109" s="62"/>
      <c r="M109" s="62"/>
      <c r="N109" s="62"/>
      <c r="O109" s="83"/>
      <c r="P109" s="82"/>
      <c r="Q109" s="82"/>
      <c r="R109" s="82"/>
      <c r="S109" s="87"/>
      <c r="T109" s="82"/>
      <c r="U109" s="82"/>
      <c r="V109" s="82"/>
      <c r="W109" s="82"/>
      <c r="X109" s="82"/>
      <c r="Y109" s="87"/>
      <c r="Z109" s="82"/>
      <c r="AA109" s="82"/>
      <c r="AB109" s="82"/>
      <c r="AC109" s="82"/>
      <c r="AD109" s="82"/>
      <c r="AE109" s="87"/>
      <c r="AF109" s="82"/>
      <c r="AG109" s="82"/>
      <c r="AH109" s="82"/>
      <c r="AI109" s="82"/>
      <c r="AJ109" s="82"/>
      <c r="AK109" s="82"/>
      <c r="AL109" s="82"/>
      <c r="AM109" s="82"/>
      <c r="AN109" s="82"/>
      <c r="AO109" s="82"/>
      <c r="AP109" s="82"/>
      <c r="AQ109" s="82"/>
      <c r="AR109" s="82"/>
      <c r="AS109" s="82"/>
    </row>
    <row r="110" spans="1:45">
      <c r="A110" s="82"/>
      <c r="B110" s="82"/>
      <c r="C110" s="83"/>
      <c r="D110" s="83"/>
      <c r="E110" s="82"/>
      <c r="H110" s="82"/>
      <c r="I110" s="64"/>
      <c r="J110" s="62"/>
      <c r="K110" s="62"/>
      <c r="L110" s="62"/>
      <c r="M110" s="62"/>
      <c r="N110" s="62"/>
      <c r="O110" s="83"/>
      <c r="P110" s="82"/>
      <c r="Q110" s="82"/>
      <c r="R110" s="82"/>
      <c r="S110" s="87"/>
      <c r="T110" s="82"/>
      <c r="U110" s="82"/>
      <c r="V110" s="82"/>
      <c r="W110" s="82"/>
      <c r="X110" s="82"/>
      <c r="Y110" s="87"/>
      <c r="Z110" s="82"/>
      <c r="AA110" s="82"/>
      <c r="AB110" s="82"/>
      <c r="AC110" s="82"/>
      <c r="AD110" s="82"/>
      <c r="AE110" s="87"/>
      <c r="AF110" s="82"/>
      <c r="AG110" s="82"/>
      <c r="AH110" s="82"/>
      <c r="AI110" s="82"/>
      <c r="AJ110" s="82"/>
      <c r="AK110" s="82"/>
      <c r="AL110" s="82"/>
      <c r="AM110" s="82"/>
      <c r="AN110" s="82"/>
      <c r="AO110" s="82"/>
      <c r="AP110" s="82"/>
      <c r="AQ110" s="82"/>
      <c r="AR110" s="82"/>
      <c r="AS110" s="82"/>
    </row>
    <row r="111" spans="1:45">
      <c r="A111" s="82"/>
      <c r="B111" s="82"/>
      <c r="C111" s="83"/>
      <c r="D111" s="83"/>
      <c r="E111" s="82"/>
      <c r="H111" s="82"/>
      <c r="I111" s="64"/>
      <c r="J111" s="62"/>
      <c r="K111" s="62"/>
      <c r="L111" s="62"/>
      <c r="M111" s="62"/>
      <c r="N111" s="62"/>
      <c r="O111" s="83"/>
      <c r="P111" s="82"/>
      <c r="Q111" s="82"/>
      <c r="R111" s="82"/>
      <c r="S111" s="87"/>
      <c r="T111" s="82"/>
      <c r="U111" s="82"/>
      <c r="V111" s="82"/>
      <c r="W111" s="82"/>
      <c r="X111" s="82"/>
      <c r="Y111" s="87"/>
      <c r="Z111" s="82"/>
      <c r="AA111" s="82"/>
      <c r="AB111" s="82"/>
      <c r="AC111" s="82"/>
      <c r="AD111" s="82"/>
      <c r="AE111" s="87"/>
      <c r="AF111" s="82"/>
      <c r="AG111" s="82"/>
      <c r="AH111" s="82"/>
      <c r="AI111" s="82"/>
      <c r="AJ111" s="82"/>
      <c r="AK111" s="82"/>
      <c r="AL111" s="82"/>
      <c r="AM111" s="82"/>
      <c r="AN111" s="82"/>
      <c r="AO111" s="82"/>
      <c r="AP111" s="82"/>
      <c r="AQ111" s="82"/>
      <c r="AR111" s="82"/>
      <c r="AS111" s="82"/>
    </row>
    <row r="112" spans="1:45">
      <c r="A112" s="82"/>
      <c r="B112" s="82"/>
      <c r="C112" s="83"/>
      <c r="D112" s="83"/>
      <c r="E112" s="82"/>
      <c r="H112" s="82"/>
      <c r="I112" s="64"/>
      <c r="J112" s="62"/>
      <c r="K112" s="62"/>
      <c r="L112" s="62"/>
      <c r="M112" s="62"/>
      <c r="N112" s="62"/>
      <c r="O112" s="83"/>
      <c r="P112" s="82"/>
      <c r="Q112" s="82"/>
      <c r="R112" s="82"/>
      <c r="S112" s="87"/>
      <c r="T112" s="82"/>
      <c r="U112" s="82"/>
      <c r="V112" s="82"/>
      <c r="W112" s="82"/>
      <c r="X112" s="82"/>
      <c r="Y112" s="87"/>
      <c r="Z112" s="82"/>
      <c r="AA112" s="82"/>
      <c r="AB112" s="82"/>
      <c r="AC112" s="82"/>
      <c r="AD112" s="82"/>
      <c r="AE112" s="87"/>
      <c r="AF112" s="82"/>
      <c r="AG112" s="82"/>
      <c r="AH112" s="82"/>
      <c r="AI112" s="82"/>
      <c r="AJ112" s="82"/>
      <c r="AK112" s="82"/>
      <c r="AL112" s="82"/>
      <c r="AM112" s="82"/>
      <c r="AN112" s="82"/>
      <c r="AO112" s="82"/>
      <c r="AP112" s="82"/>
      <c r="AQ112" s="82"/>
      <c r="AR112" s="82"/>
      <c r="AS112" s="82"/>
    </row>
    <row r="113" spans="1:45">
      <c r="A113" s="82"/>
      <c r="B113" s="82"/>
      <c r="C113" s="83"/>
      <c r="D113" s="83"/>
      <c r="E113" s="82"/>
      <c r="H113" s="82"/>
      <c r="I113" s="64"/>
      <c r="J113" s="62"/>
      <c r="K113" s="62"/>
      <c r="L113" s="62"/>
      <c r="M113" s="62"/>
      <c r="N113" s="62"/>
      <c r="O113" s="83"/>
      <c r="P113" s="82"/>
      <c r="Q113" s="82"/>
      <c r="R113" s="82"/>
      <c r="S113" s="87"/>
      <c r="T113" s="82"/>
      <c r="U113" s="82"/>
      <c r="V113" s="82"/>
      <c r="W113" s="82"/>
      <c r="X113" s="82"/>
      <c r="Y113" s="87"/>
      <c r="Z113" s="82"/>
      <c r="AA113" s="82"/>
      <c r="AB113" s="82"/>
      <c r="AC113" s="82"/>
      <c r="AD113" s="82"/>
      <c r="AE113" s="87"/>
      <c r="AF113" s="82"/>
      <c r="AG113" s="82"/>
      <c r="AH113" s="82"/>
      <c r="AI113" s="82"/>
      <c r="AJ113" s="82"/>
      <c r="AK113" s="82"/>
      <c r="AL113" s="82"/>
      <c r="AM113" s="82"/>
      <c r="AN113" s="82"/>
      <c r="AO113" s="82"/>
      <c r="AP113" s="82"/>
      <c r="AQ113" s="82"/>
      <c r="AR113" s="82"/>
      <c r="AS113" s="82"/>
    </row>
    <row r="114" spans="1:45">
      <c r="A114" s="82"/>
      <c r="B114" s="82"/>
      <c r="C114" s="83"/>
      <c r="D114" s="83"/>
      <c r="E114" s="82"/>
      <c r="H114" s="82"/>
      <c r="I114" s="64"/>
      <c r="J114" s="62"/>
      <c r="K114" s="62"/>
      <c r="L114" s="62"/>
      <c r="M114" s="62"/>
      <c r="N114" s="62"/>
      <c r="O114" s="83"/>
      <c r="P114" s="82"/>
      <c r="Q114" s="82"/>
      <c r="R114" s="82"/>
      <c r="S114" s="87"/>
      <c r="T114" s="82"/>
      <c r="U114" s="82"/>
      <c r="V114" s="82"/>
      <c r="W114" s="82"/>
      <c r="X114" s="82"/>
      <c r="Y114" s="87"/>
      <c r="Z114" s="82"/>
      <c r="AA114" s="82"/>
      <c r="AB114" s="82"/>
      <c r="AC114" s="82"/>
      <c r="AD114" s="82"/>
      <c r="AE114" s="87"/>
      <c r="AF114" s="82"/>
      <c r="AG114" s="82"/>
      <c r="AH114" s="82"/>
      <c r="AI114" s="82"/>
      <c r="AJ114" s="82"/>
      <c r="AK114" s="82"/>
      <c r="AL114" s="82"/>
      <c r="AM114" s="82"/>
      <c r="AN114" s="82"/>
      <c r="AO114" s="82"/>
      <c r="AP114" s="82"/>
      <c r="AQ114" s="82"/>
      <c r="AR114" s="82"/>
      <c r="AS114" s="82"/>
    </row>
    <row r="115" spans="1:45">
      <c r="A115" s="82"/>
      <c r="B115" s="82"/>
      <c r="C115" s="83"/>
      <c r="D115" s="83"/>
      <c r="E115" s="82"/>
      <c r="H115" s="82"/>
      <c r="I115" s="64"/>
      <c r="J115" s="62"/>
      <c r="K115" s="62"/>
      <c r="L115" s="62"/>
      <c r="M115" s="62"/>
      <c r="N115" s="62"/>
      <c r="O115" s="83"/>
      <c r="P115" s="82"/>
      <c r="Q115" s="82"/>
      <c r="R115" s="82"/>
      <c r="S115" s="87"/>
      <c r="T115" s="82"/>
      <c r="U115" s="82"/>
      <c r="V115" s="82"/>
      <c r="W115" s="82"/>
      <c r="X115" s="82"/>
      <c r="Y115" s="87"/>
      <c r="Z115" s="82"/>
      <c r="AA115" s="82"/>
      <c r="AB115" s="82"/>
      <c r="AC115" s="82"/>
      <c r="AD115" s="82"/>
      <c r="AE115" s="87"/>
      <c r="AF115" s="82"/>
      <c r="AG115" s="82"/>
      <c r="AH115" s="82"/>
      <c r="AI115" s="82"/>
      <c r="AJ115" s="82"/>
      <c r="AK115" s="82"/>
      <c r="AL115" s="82"/>
      <c r="AM115" s="82"/>
      <c r="AN115" s="82"/>
      <c r="AO115" s="82"/>
      <c r="AP115" s="82"/>
      <c r="AQ115" s="82"/>
      <c r="AR115" s="82"/>
      <c r="AS115" s="82"/>
    </row>
    <row r="116" spans="1:45">
      <c r="A116" s="82"/>
      <c r="B116" s="82"/>
      <c r="C116" s="83"/>
      <c r="D116" s="83"/>
      <c r="E116" s="82"/>
      <c r="H116" s="82"/>
      <c r="I116" s="64"/>
      <c r="J116" s="62"/>
      <c r="K116" s="62"/>
      <c r="L116" s="62"/>
      <c r="M116" s="62"/>
      <c r="N116" s="62"/>
      <c r="O116" s="83"/>
      <c r="P116" s="82"/>
      <c r="Q116" s="82"/>
      <c r="R116" s="82"/>
      <c r="S116" s="87"/>
      <c r="T116" s="82"/>
      <c r="U116" s="82"/>
      <c r="V116" s="82"/>
      <c r="W116" s="82"/>
      <c r="X116" s="82"/>
      <c r="Y116" s="87"/>
      <c r="Z116" s="82"/>
      <c r="AA116" s="82"/>
      <c r="AB116" s="82"/>
      <c r="AC116" s="82"/>
      <c r="AD116" s="82"/>
      <c r="AE116" s="87"/>
      <c r="AF116" s="82"/>
      <c r="AG116" s="82"/>
      <c r="AH116" s="82"/>
      <c r="AI116" s="82"/>
      <c r="AJ116" s="82"/>
      <c r="AK116" s="82"/>
      <c r="AL116" s="82"/>
      <c r="AM116" s="82"/>
      <c r="AN116" s="82"/>
      <c r="AO116" s="82"/>
      <c r="AP116" s="82"/>
      <c r="AQ116" s="82"/>
      <c r="AR116" s="82"/>
      <c r="AS116" s="82"/>
    </row>
    <row r="117" spans="1:45">
      <c r="A117" s="82"/>
      <c r="B117" s="82"/>
      <c r="C117" s="83"/>
      <c r="D117" s="83"/>
      <c r="E117" s="82"/>
      <c r="H117" s="82"/>
      <c r="I117" s="64"/>
      <c r="J117" s="62"/>
      <c r="K117" s="62"/>
      <c r="L117" s="62"/>
      <c r="M117" s="62"/>
      <c r="N117" s="62"/>
      <c r="O117" s="83"/>
      <c r="P117" s="82"/>
      <c r="Q117" s="82"/>
      <c r="R117" s="82"/>
      <c r="S117" s="87"/>
      <c r="T117" s="82"/>
      <c r="U117" s="82"/>
      <c r="V117" s="82"/>
      <c r="W117" s="82"/>
      <c r="X117" s="82"/>
      <c r="Y117" s="87"/>
      <c r="Z117" s="82"/>
      <c r="AA117" s="82"/>
      <c r="AB117" s="82"/>
      <c r="AC117" s="82"/>
      <c r="AD117" s="82"/>
      <c r="AE117" s="87"/>
      <c r="AF117" s="82"/>
      <c r="AG117" s="82"/>
      <c r="AH117" s="82"/>
      <c r="AI117" s="82"/>
      <c r="AJ117" s="82"/>
      <c r="AK117" s="82"/>
      <c r="AL117" s="82"/>
      <c r="AM117" s="82"/>
      <c r="AN117" s="82"/>
      <c r="AO117" s="82"/>
      <c r="AP117" s="82"/>
      <c r="AQ117" s="82"/>
      <c r="AR117" s="82"/>
      <c r="AS117" s="82"/>
    </row>
    <row r="118" spans="1:45">
      <c r="A118" s="82"/>
      <c r="B118" s="82"/>
      <c r="C118" s="83"/>
      <c r="D118" s="83"/>
      <c r="E118" s="82"/>
      <c r="H118" s="82"/>
      <c r="I118" s="64"/>
      <c r="J118" s="62"/>
      <c r="K118" s="62"/>
      <c r="L118" s="62"/>
      <c r="M118" s="62"/>
      <c r="N118" s="62"/>
      <c r="O118" s="83"/>
      <c r="P118" s="82"/>
      <c r="Q118" s="82"/>
      <c r="R118" s="82"/>
      <c r="S118" s="87"/>
      <c r="T118" s="82"/>
      <c r="U118" s="82"/>
      <c r="V118" s="82"/>
      <c r="W118" s="82"/>
      <c r="X118" s="82"/>
      <c r="Y118" s="87"/>
      <c r="Z118" s="82"/>
      <c r="AA118" s="82"/>
      <c r="AB118" s="82"/>
      <c r="AC118" s="82"/>
      <c r="AD118" s="82"/>
      <c r="AE118" s="87"/>
      <c r="AF118" s="82"/>
      <c r="AG118" s="82"/>
      <c r="AH118" s="82"/>
      <c r="AI118" s="82"/>
      <c r="AJ118" s="82"/>
      <c r="AK118" s="82"/>
      <c r="AL118" s="82"/>
      <c r="AM118" s="82"/>
      <c r="AN118" s="82"/>
      <c r="AO118" s="82"/>
      <c r="AP118" s="82"/>
      <c r="AQ118" s="82"/>
      <c r="AR118" s="82"/>
      <c r="AS118" s="82"/>
    </row>
    <row r="119" spans="1:45">
      <c r="A119" s="82"/>
      <c r="B119" s="82"/>
      <c r="C119" s="83"/>
      <c r="D119" s="83"/>
      <c r="E119" s="82"/>
      <c r="H119" s="82"/>
      <c r="I119" s="64"/>
      <c r="J119" s="62"/>
      <c r="K119" s="62"/>
      <c r="L119" s="62"/>
      <c r="M119" s="62"/>
      <c r="N119" s="62"/>
      <c r="O119" s="83"/>
      <c r="P119" s="82"/>
      <c r="Q119" s="82"/>
      <c r="R119" s="82"/>
      <c r="S119" s="87"/>
      <c r="T119" s="82"/>
      <c r="U119" s="82"/>
      <c r="V119" s="82"/>
      <c r="W119" s="82"/>
      <c r="X119" s="82"/>
      <c r="Y119" s="87"/>
      <c r="Z119" s="82"/>
      <c r="AA119" s="82"/>
      <c r="AB119" s="82"/>
      <c r="AC119" s="82"/>
      <c r="AD119" s="82"/>
      <c r="AE119" s="87"/>
      <c r="AF119" s="82"/>
      <c r="AG119" s="82"/>
      <c r="AH119" s="82"/>
      <c r="AI119" s="82"/>
      <c r="AJ119" s="82"/>
      <c r="AK119" s="82"/>
      <c r="AL119" s="82"/>
      <c r="AM119" s="82"/>
      <c r="AN119" s="82"/>
      <c r="AO119" s="82"/>
      <c r="AP119" s="82"/>
      <c r="AQ119" s="82"/>
      <c r="AR119" s="82"/>
      <c r="AS119" s="82"/>
    </row>
    <row r="120" spans="1:45">
      <c r="A120" s="82"/>
      <c r="B120" s="82"/>
      <c r="C120" s="83"/>
      <c r="D120" s="83"/>
      <c r="E120" s="82"/>
      <c r="H120" s="82"/>
      <c r="I120" s="64"/>
      <c r="J120" s="62"/>
      <c r="K120" s="62"/>
      <c r="L120" s="62"/>
      <c r="M120" s="62"/>
      <c r="N120" s="62"/>
      <c r="O120" s="83"/>
      <c r="P120" s="82"/>
      <c r="Q120" s="82"/>
      <c r="R120" s="82"/>
      <c r="S120" s="87"/>
      <c r="T120" s="82"/>
      <c r="U120" s="82"/>
      <c r="V120" s="82"/>
      <c r="W120" s="82"/>
      <c r="X120" s="82"/>
      <c r="Y120" s="87"/>
      <c r="Z120" s="82"/>
      <c r="AA120" s="82"/>
      <c r="AB120" s="82"/>
      <c r="AC120" s="82"/>
      <c r="AD120" s="82"/>
      <c r="AE120" s="87"/>
      <c r="AF120" s="82"/>
      <c r="AG120" s="82"/>
      <c r="AH120" s="82"/>
      <c r="AI120" s="82"/>
      <c r="AJ120" s="82"/>
      <c r="AK120" s="82"/>
      <c r="AL120" s="82"/>
      <c r="AM120" s="82"/>
      <c r="AN120" s="82"/>
      <c r="AO120" s="82"/>
      <c r="AP120" s="82"/>
      <c r="AQ120" s="82"/>
      <c r="AR120" s="82"/>
      <c r="AS120" s="82"/>
    </row>
    <row r="121" spans="1:45">
      <c r="I121" s="64"/>
      <c r="J121" s="62"/>
      <c r="K121" s="62"/>
      <c r="L121" s="62"/>
      <c r="M121" s="62"/>
      <c r="N121" s="62"/>
    </row>
    <row r="122" spans="1:45">
      <c r="I122" s="64"/>
      <c r="J122" s="62"/>
      <c r="K122" s="62"/>
      <c r="L122" s="62"/>
      <c r="M122" s="62"/>
      <c r="N122" s="62"/>
    </row>
    <row r="123" spans="1:45">
      <c r="I123" s="64"/>
      <c r="J123" s="62"/>
      <c r="K123" s="62"/>
      <c r="L123" s="62"/>
      <c r="M123" s="62"/>
      <c r="N123" s="82"/>
    </row>
    <row r="124" spans="1:45">
      <c r="I124" s="64"/>
      <c r="J124" s="62"/>
      <c r="K124" s="62"/>
      <c r="L124" s="62"/>
      <c r="M124" s="62"/>
      <c r="N124" s="82"/>
    </row>
    <row r="125" spans="1:45">
      <c r="I125" s="64"/>
      <c r="J125" s="62"/>
      <c r="K125" s="62"/>
      <c r="L125" s="62"/>
      <c r="M125" s="62"/>
      <c r="N125" s="82"/>
    </row>
    <row r="126" spans="1:45">
      <c r="I126" s="64"/>
      <c r="J126" s="62"/>
      <c r="K126" s="62"/>
      <c r="L126" s="62"/>
      <c r="M126" s="62"/>
      <c r="N126" s="82"/>
    </row>
    <row r="127" spans="1:45">
      <c r="I127" s="64"/>
      <c r="J127" s="62"/>
      <c r="K127" s="62"/>
      <c r="L127" s="62"/>
      <c r="M127" s="62"/>
      <c r="N127" s="82"/>
    </row>
    <row r="128" spans="1:45">
      <c r="I128" s="64"/>
      <c r="J128" s="62"/>
      <c r="K128" s="62"/>
      <c r="L128" s="62"/>
      <c r="M128" s="62"/>
      <c r="N128" s="82"/>
    </row>
    <row r="129" spans="9:14">
      <c r="I129" s="64"/>
      <c r="J129" s="62"/>
      <c r="K129" s="62"/>
      <c r="L129" s="62"/>
      <c r="M129" s="62"/>
      <c r="N129" s="82"/>
    </row>
    <row r="130" spans="9:14">
      <c r="I130" s="64"/>
      <c r="J130" s="62"/>
      <c r="K130" s="62"/>
      <c r="L130" s="62"/>
      <c r="M130" s="62"/>
      <c r="N130" s="82"/>
    </row>
    <row r="131" spans="9:14">
      <c r="I131" s="64"/>
      <c r="J131" s="62"/>
      <c r="K131" s="62"/>
      <c r="L131" s="62"/>
      <c r="M131" s="62"/>
      <c r="N131" s="82"/>
    </row>
    <row r="132" spans="9:14">
      <c r="I132" s="64"/>
      <c r="J132" s="62"/>
      <c r="K132" s="62"/>
      <c r="L132" s="62"/>
      <c r="M132" s="62"/>
      <c r="N132" s="82"/>
    </row>
    <row r="133" spans="9:14">
      <c r="I133" s="83"/>
      <c r="J133" s="82"/>
      <c r="K133" s="82"/>
      <c r="L133" s="82"/>
      <c r="M133" s="82"/>
      <c r="N133" s="82"/>
    </row>
    <row r="134" spans="9:14">
      <c r="I134" s="83"/>
      <c r="J134" s="82"/>
      <c r="K134" s="82"/>
      <c r="L134" s="82"/>
      <c r="M134" s="82"/>
      <c r="N134" s="82"/>
    </row>
    <row r="135" spans="9:14">
      <c r="I135" s="83"/>
      <c r="J135" s="82"/>
      <c r="K135" s="82"/>
      <c r="L135" s="82"/>
      <c r="M135" s="82"/>
      <c r="N135" s="82"/>
    </row>
    <row r="136" spans="9:14">
      <c r="I136" s="83"/>
      <c r="J136" s="82"/>
      <c r="K136" s="82"/>
      <c r="L136" s="82"/>
      <c r="M136" s="82"/>
      <c r="N136" s="82"/>
    </row>
    <row r="137" spans="9:14">
      <c r="I137" s="83"/>
      <c r="J137" s="82"/>
      <c r="K137" s="82"/>
      <c r="L137" s="82"/>
      <c r="M137" s="82"/>
      <c r="N137" s="82"/>
    </row>
    <row r="138" spans="9:14">
      <c r="I138" s="83"/>
      <c r="J138" s="82"/>
      <c r="K138" s="82"/>
      <c r="L138" s="82"/>
      <c r="M138" s="82"/>
      <c r="N138" s="82"/>
    </row>
    <row r="139" spans="9:14">
      <c r="I139" s="83"/>
      <c r="J139" s="82"/>
      <c r="K139" s="82"/>
      <c r="L139" s="82"/>
      <c r="M139" s="82"/>
      <c r="N139" s="82"/>
    </row>
    <row r="140" spans="9:14">
      <c r="I140" s="83"/>
      <c r="J140" s="82"/>
      <c r="K140" s="82"/>
      <c r="L140" s="82"/>
      <c r="M140" s="82"/>
      <c r="N140" s="82"/>
    </row>
    <row r="141" spans="9:14">
      <c r="I141" s="83"/>
      <c r="J141" s="82"/>
      <c r="K141" s="82"/>
      <c r="L141" s="82"/>
      <c r="M141" s="82"/>
      <c r="N141" s="82"/>
    </row>
    <row r="142" spans="9:14">
      <c r="I142" s="83"/>
      <c r="J142" s="82"/>
      <c r="K142" s="82"/>
      <c r="L142" s="82"/>
      <c r="M142" s="82"/>
      <c r="N142" s="82"/>
    </row>
    <row r="143" spans="9:14">
      <c r="I143" s="83"/>
      <c r="J143" s="82"/>
      <c r="K143" s="82"/>
      <c r="L143" s="82"/>
      <c r="M143" s="82"/>
      <c r="N143" s="82"/>
    </row>
    <row r="144" spans="9:14">
      <c r="I144" s="83"/>
      <c r="J144" s="82"/>
      <c r="K144" s="82"/>
      <c r="L144" s="82"/>
      <c r="M144" s="82"/>
      <c r="N144" s="82"/>
    </row>
    <row r="145" spans="9:14">
      <c r="I145" s="83"/>
      <c r="J145" s="82"/>
      <c r="K145" s="82"/>
      <c r="L145" s="82"/>
      <c r="M145" s="82"/>
      <c r="N145" s="82"/>
    </row>
    <row r="146" spans="9:14">
      <c r="I146" s="83"/>
      <c r="J146" s="82"/>
      <c r="K146" s="82"/>
      <c r="L146" s="82"/>
      <c r="M146" s="82"/>
      <c r="N146" s="82"/>
    </row>
    <row r="147" spans="9:14">
      <c r="I147" s="83"/>
      <c r="J147" s="82"/>
      <c r="K147" s="82"/>
      <c r="L147" s="82"/>
      <c r="M147" s="82"/>
      <c r="N147" s="82"/>
    </row>
    <row r="148" spans="9:14">
      <c r="I148" s="83"/>
      <c r="J148" s="82"/>
      <c r="K148" s="82"/>
      <c r="L148" s="82"/>
      <c r="M148" s="82"/>
      <c r="N148" s="82"/>
    </row>
    <row r="149" spans="9:14">
      <c r="I149" s="83"/>
      <c r="J149" s="82"/>
      <c r="K149" s="82"/>
      <c r="L149" s="82"/>
      <c r="M149" s="82"/>
      <c r="N149" s="82"/>
    </row>
    <row r="150" spans="9:14">
      <c r="I150" s="83"/>
      <c r="J150" s="82"/>
      <c r="K150" s="82"/>
      <c r="L150" s="82"/>
      <c r="M150" s="82"/>
      <c r="N150" s="82"/>
    </row>
    <row r="151" spans="9:14">
      <c r="I151" s="83"/>
      <c r="J151" s="82"/>
      <c r="K151" s="82"/>
      <c r="L151" s="82"/>
      <c r="M151" s="82"/>
      <c r="N151" s="82"/>
    </row>
    <row r="152" spans="9:14">
      <c r="I152" s="83"/>
      <c r="J152" s="82"/>
      <c r="K152" s="82"/>
      <c r="L152" s="82"/>
      <c r="M152" s="82"/>
      <c r="N152" s="82"/>
    </row>
    <row r="153" spans="9:14">
      <c r="I153" s="83"/>
      <c r="J153" s="82"/>
      <c r="K153" s="82"/>
      <c r="L153" s="82"/>
      <c r="M153" s="82"/>
      <c r="N153" s="82"/>
    </row>
    <row r="154" spans="9:14">
      <c r="I154" s="83"/>
      <c r="J154" s="82"/>
      <c r="K154" s="82"/>
      <c r="L154" s="82"/>
      <c r="M154" s="82"/>
      <c r="N154" s="82"/>
    </row>
    <row r="155" spans="9:14">
      <c r="I155" s="83"/>
      <c r="J155" s="82"/>
      <c r="K155" s="82"/>
      <c r="L155" s="82"/>
      <c r="M155" s="82"/>
      <c r="N155" s="82"/>
    </row>
    <row r="156" spans="9:14">
      <c r="I156" s="83"/>
      <c r="J156" s="82"/>
      <c r="K156" s="82"/>
      <c r="L156" s="82"/>
      <c r="M156" s="82"/>
      <c r="N156" s="82"/>
    </row>
    <row r="157" spans="9:14">
      <c r="I157" s="83"/>
      <c r="J157" s="82"/>
      <c r="K157" s="82"/>
      <c r="L157" s="82"/>
      <c r="M157" s="82"/>
      <c r="N157" s="82"/>
    </row>
    <row r="158" spans="9:14">
      <c r="I158" s="83"/>
      <c r="J158" s="82"/>
      <c r="K158" s="82"/>
      <c r="L158" s="82"/>
      <c r="M158" s="82"/>
      <c r="N158" s="82"/>
    </row>
    <row r="159" spans="9:14">
      <c r="I159" s="83"/>
      <c r="J159" s="82"/>
      <c r="K159" s="82"/>
      <c r="L159" s="82"/>
      <c r="M159" s="82"/>
      <c r="N159" s="82"/>
    </row>
    <row r="160" spans="9:14">
      <c r="I160" s="83"/>
      <c r="J160" s="82"/>
      <c r="K160" s="82"/>
      <c r="L160" s="82"/>
      <c r="M160" s="82"/>
      <c r="N160" s="82"/>
    </row>
    <row r="161" spans="9:14">
      <c r="I161" s="83"/>
      <c r="J161" s="82"/>
      <c r="K161" s="82"/>
      <c r="L161" s="82"/>
      <c r="M161" s="82"/>
      <c r="N161" s="82"/>
    </row>
    <row r="162" spans="9:14">
      <c r="I162" s="83"/>
      <c r="J162" s="82"/>
      <c r="K162" s="82"/>
      <c r="L162" s="82"/>
      <c r="M162" s="82"/>
    </row>
    <row r="163" spans="9:14">
      <c r="I163" s="83"/>
      <c r="J163" s="82"/>
      <c r="K163" s="82"/>
      <c r="L163" s="82"/>
      <c r="M163" s="82"/>
    </row>
    <row r="164" spans="9:14">
      <c r="I164" s="83"/>
      <c r="J164" s="82"/>
      <c r="K164" s="82"/>
      <c r="L164" s="82"/>
      <c r="M164" s="82"/>
    </row>
    <row r="165" spans="9:14">
      <c r="I165" s="83"/>
      <c r="J165" s="82"/>
      <c r="K165" s="82"/>
      <c r="L165" s="82"/>
      <c r="M165" s="82"/>
    </row>
    <row r="166" spans="9:14">
      <c r="I166" s="83"/>
      <c r="J166" s="82"/>
      <c r="K166" s="82"/>
      <c r="L166" s="82"/>
      <c r="M166" s="82"/>
    </row>
    <row r="167" spans="9:14">
      <c r="I167" s="83"/>
      <c r="J167" s="82"/>
      <c r="K167" s="82"/>
      <c r="L167" s="82"/>
      <c r="M167" s="82"/>
    </row>
    <row r="168" spans="9:14">
      <c r="I168" s="83"/>
      <c r="J168" s="82"/>
      <c r="K168" s="82"/>
      <c r="L168" s="82"/>
      <c r="M168" s="82"/>
    </row>
    <row r="169" spans="9:14">
      <c r="I169" s="83"/>
      <c r="J169" s="82"/>
      <c r="K169" s="82"/>
      <c r="L169" s="82"/>
      <c r="M169" s="82"/>
    </row>
    <row r="170" spans="9:14">
      <c r="I170" s="83"/>
      <c r="J170" s="82"/>
      <c r="K170" s="82"/>
      <c r="L170" s="82"/>
      <c r="M170" s="82"/>
    </row>
    <row r="171" spans="9:14">
      <c r="I171" s="83"/>
      <c r="J171" s="82"/>
      <c r="K171" s="82"/>
      <c r="L171" s="82"/>
      <c r="M171" s="82"/>
    </row>
  </sheetData>
  <sortState xmlns:xlrd2="http://schemas.microsoft.com/office/spreadsheetml/2017/richdata2" ref="F2:G63">
    <sortCondition ref="F2:F63"/>
  </sortState>
  <mergeCells count="9">
    <mergeCell ref="I87:I88"/>
    <mergeCell ref="I91:I92"/>
    <mergeCell ref="O2:O3"/>
    <mergeCell ref="AS7:AS8"/>
    <mergeCell ref="O85:O86"/>
    <mergeCell ref="O89:O90"/>
    <mergeCell ref="AM8:AM9"/>
    <mergeCell ref="O77:O78"/>
    <mergeCell ref="O81:O82"/>
  </mergeCells>
  <conditionalFormatting sqref="P2">
    <cfRule type="expression" dxfId="106" priority="109">
      <formula>Q2&lt;Q3</formula>
    </cfRule>
  </conditionalFormatting>
  <conditionalFormatting sqref="P3">
    <cfRule type="expression" dxfId="105" priority="108">
      <formula>Q3&lt;Q2</formula>
    </cfRule>
  </conditionalFormatting>
  <conditionalFormatting sqref="P5">
    <cfRule type="expression" dxfId="104" priority="107">
      <formula>Q5&lt;Q4</formula>
    </cfRule>
  </conditionalFormatting>
  <conditionalFormatting sqref="P7">
    <cfRule type="expression" dxfId="103" priority="106">
      <formula>Q7&lt;Q6</formula>
    </cfRule>
  </conditionalFormatting>
  <conditionalFormatting sqref="P4">
    <cfRule type="expression" dxfId="102" priority="105">
      <formula>Q4&lt;Q5</formula>
    </cfRule>
  </conditionalFormatting>
  <conditionalFormatting sqref="P6">
    <cfRule type="expression" dxfId="101" priority="104">
      <formula>Q6&lt;Q7</formula>
    </cfRule>
  </conditionalFormatting>
  <conditionalFormatting sqref="P8">
    <cfRule type="expression" dxfId="100" priority="103">
      <formula>Q8&lt;Q9</formula>
    </cfRule>
  </conditionalFormatting>
  <conditionalFormatting sqref="P10">
    <cfRule type="expression" dxfId="99" priority="102">
      <formula>Q10&lt;Q11</formula>
    </cfRule>
  </conditionalFormatting>
  <conditionalFormatting sqref="P12">
    <cfRule type="expression" dxfId="98" priority="101">
      <formula>Q12&lt;Q13</formula>
    </cfRule>
  </conditionalFormatting>
  <conditionalFormatting sqref="P14">
    <cfRule type="expression" dxfId="97" priority="100">
      <formula>Q14&lt;Q15</formula>
    </cfRule>
  </conditionalFormatting>
  <conditionalFormatting sqref="P16">
    <cfRule type="expression" dxfId="96" priority="99">
      <formula>Q16&lt;Q17</formula>
    </cfRule>
  </conditionalFormatting>
  <conditionalFormatting sqref="P18">
    <cfRule type="expression" dxfId="95" priority="98">
      <formula>Q18&lt;Q19</formula>
    </cfRule>
  </conditionalFormatting>
  <conditionalFormatting sqref="P20">
    <cfRule type="expression" dxfId="94" priority="97">
      <formula>Q20&lt;Q21</formula>
    </cfRule>
  </conditionalFormatting>
  <conditionalFormatting sqref="P22">
    <cfRule type="expression" dxfId="93" priority="96">
      <formula>Q22&lt;Q23</formula>
    </cfRule>
  </conditionalFormatting>
  <conditionalFormatting sqref="P24">
    <cfRule type="expression" dxfId="92" priority="95">
      <formula>Q24&lt;Q25</formula>
    </cfRule>
  </conditionalFormatting>
  <conditionalFormatting sqref="P26">
    <cfRule type="expression" dxfId="91" priority="94">
      <formula>Q26&lt;Q27</formula>
    </cfRule>
  </conditionalFormatting>
  <conditionalFormatting sqref="P28">
    <cfRule type="expression" dxfId="90" priority="93">
      <formula>Q28&lt;Q29</formula>
    </cfRule>
  </conditionalFormatting>
  <conditionalFormatting sqref="P30">
    <cfRule type="expression" dxfId="89" priority="92">
      <formula>Q30&lt;Q31</formula>
    </cfRule>
  </conditionalFormatting>
  <conditionalFormatting sqref="P32">
    <cfRule type="expression" dxfId="88" priority="91">
      <formula>Q32&lt;Q33</formula>
    </cfRule>
  </conditionalFormatting>
  <conditionalFormatting sqref="P34">
    <cfRule type="expression" dxfId="87" priority="90">
      <formula>Q34&lt;Q35</formula>
    </cfRule>
  </conditionalFormatting>
  <conditionalFormatting sqref="P36">
    <cfRule type="expression" dxfId="86" priority="89">
      <formula>Q36&lt;Q37</formula>
    </cfRule>
  </conditionalFormatting>
  <conditionalFormatting sqref="P38">
    <cfRule type="expression" dxfId="85" priority="88">
      <formula>Q38&lt;Q39</formula>
    </cfRule>
  </conditionalFormatting>
  <conditionalFormatting sqref="P40">
    <cfRule type="expression" dxfId="84" priority="87">
      <formula>Q40&lt;Q41</formula>
    </cfRule>
  </conditionalFormatting>
  <conditionalFormatting sqref="P42">
    <cfRule type="expression" dxfId="83" priority="86">
      <formula>Q42&lt;Q43</formula>
    </cfRule>
  </conditionalFormatting>
  <conditionalFormatting sqref="P44">
    <cfRule type="expression" dxfId="82" priority="85">
      <formula>Q44&lt;Q45</formula>
    </cfRule>
  </conditionalFormatting>
  <conditionalFormatting sqref="P46">
    <cfRule type="expression" dxfId="81" priority="84">
      <formula>Q46&lt;Q47</formula>
    </cfRule>
  </conditionalFormatting>
  <conditionalFormatting sqref="P48">
    <cfRule type="expression" dxfId="80" priority="83">
      <formula>Q48&lt;Q49</formula>
    </cfRule>
  </conditionalFormatting>
  <conditionalFormatting sqref="P50">
    <cfRule type="expression" dxfId="79" priority="82">
      <formula>Q50&lt;Q51</formula>
    </cfRule>
  </conditionalFormatting>
  <conditionalFormatting sqref="P52">
    <cfRule type="expression" dxfId="78" priority="81">
      <formula>Q52&lt;Q53</formula>
    </cfRule>
  </conditionalFormatting>
  <conditionalFormatting sqref="P54">
    <cfRule type="expression" dxfId="77" priority="80">
      <formula>Q54&lt;Q55</formula>
    </cfRule>
  </conditionalFormatting>
  <conditionalFormatting sqref="P56">
    <cfRule type="expression" dxfId="76" priority="79">
      <formula>Q56&lt;Q57</formula>
    </cfRule>
  </conditionalFormatting>
  <conditionalFormatting sqref="P58">
    <cfRule type="expression" dxfId="75" priority="78">
      <formula>Q58&lt;Q59</formula>
    </cfRule>
  </conditionalFormatting>
  <conditionalFormatting sqref="P60">
    <cfRule type="expression" dxfId="74" priority="77">
      <formula>Q60&lt;Q61</formula>
    </cfRule>
  </conditionalFormatting>
  <conditionalFormatting sqref="P62">
    <cfRule type="expression" dxfId="73" priority="76">
      <formula>Q62&lt;Q63</formula>
    </cfRule>
  </conditionalFormatting>
  <conditionalFormatting sqref="P64">
    <cfRule type="expression" dxfId="72" priority="75">
      <formula>Q64&lt;Q65</formula>
    </cfRule>
  </conditionalFormatting>
  <conditionalFormatting sqref="P9">
    <cfRule type="expression" dxfId="71" priority="74">
      <formula>Q9&lt;Q8</formula>
    </cfRule>
  </conditionalFormatting>
  <conditionalFormatting sqref="P11">
    <cfRule type="expression" dxfId="70" priority="73">
      <formula>Q11&lt;Q10</formula>
    </cfRule>
  </conditionalFormatting>
  <conditionalFormatting sqref="P15">
    <cfRule type="expression" dxfId="69" priority="71">
      <formula>Q15&lt;Q14</formula>
    </cfRule>
  </conditionalFormatting>
  <conditionalFormatting sqref="P17">
    <cfRule type="expression" dxfId="68" priority="70">
      <formula>Q17&lt;Q16</formula>
    </cfRule>
  </conditionalFormatting>
  <conditionalFormatting sqref="P19">
    <cfRule type="expression" dxfId="67" priority="69">
      <formula>Q19&lt;Q18</formula>
    </cfRule>
  </conditionalFormatting>
  <conditionalFormatting sqref="P23">
    <cfRule type="expression" dxfId="66" priority="68">
      <formula>Q23&lt;Q22</formula>
    </cfRule>
  </conditionalFormatting>
  <conditionalFormatting sqref="P25">
    <cfRule type="expression" dxfId="65" priority="67">
      <formula>Q25&lt;Q24</formula>
    </cfRule>
  </conditionalFormatting>
  <conditionalFormatting sqref="P27">
    <cfRule type="expression" dxfId="64" priority="66">
      <formula>Q27&lt;Q26</formula>
    </cfRule>
  </conditionalFormatting>
  <conditionalFormatting sqref="P29">
    <cfRule type="expression" dxfId="63" priority="65">
      <formula>Q29&lt;Q28</formula>
    </cfRule>
  </conditionalFormatting>
  <conditionalFormatting sqref="P31">
    <cfRule type="expression" dxfId="62" priority="64">
      <formula>Q31&lt;Q30</formula>
    </cfRule>
  </conditionalFormatting>
  <conditionalFormatting sqref="P33">
    <cfRule type="expression" dxfId="61" priority="63">
      <formula>Q33&lt;Q32</formula>
    </cfRule>
  </conditionalFormatting>
  <conditionalFormatting sqref="P35">
    <cfRule type="expression" dxfId="60" priority="62">
      <formula>Q35&lt;Q34</formula>
    </cfRule>
  </conditionalFormatting>
  <conditionalFormatting sqref="P37">
    <cfRule type="expression" dxfId="59" priority="61">
      <formula>Q37&lt;Q36</formula>
    </cfRule>
  </conditionalFormatting>
  <conditionalFormatting sqref="P39">
    <cfRule type="expression" dxfId="58" priority="60">
      <formula>Q39&lt;Q38</formula>
    </cfRule>
  </conditionalFormatting>
  <conditionalFormatting sqref="P41">
    <cfRule type="expression" dxfId="57" priority="59">
      <formula>Q41&lt;Q40</formula>
    </cfRule>
  </conditionalFormatting>
  <conditionalFormatting sqref="P43">
    <cfRule type="expression" dxfId="56" priority="58">
      <formula>Q43&lt;Q42</formula>
    </cfRule>
  </conditionalFormatting>
  <conditionalFormatting sqref="P45">
    <cfRule type="expression" dxfId="55" priority="56">
      <formula>Q45&lt;Q44</formula>
    </cfRule>
  </conditionalFormatting>
  <conditionalFormatting sqref="P47">
    <cfRule type="expression" dxfId="54" priority="55">
      <formula>Q47&lt;Q46</formula>
    </cfRule>
  </conditionalFormatting>
  <conditionalFormatting sqref="P49">
    <cfRule type="expression" dxfId="53" priority="54">
      <formula>Q49&lt;Q48</formula>
    </cfRule>
  </conditionalFormatting>
  <conditionalFormatting sqref="P51">
    <cfRule type="expression" dxfId="52" priority="53">
      <formula>Q51&lt;Q50</formula>
    </cfRule>
  </conditionalFormatting>
  <conditionalFormatting sqref="P53">
    <cfRule type="expression" dxfId="51" priority="52">
      <formula>Q53&lt;Q52</formula>
    </cfRule>
  </conditionalFormatting>
  <conditionalFormatting sqref="P55">
    <cfRule type="expression" dxfId="50" priority="51">
      <formula>Q55&lt;Q54</formula>
    </cfRule>
  </conditionalFormatting>
  <conditionalFormatting sqref="P57">
    <cfRule type="expression" dxfId="49" priority="50">
      <formula>Q57&lt;Q56</formula>
    </cfRule>
  </conditionalFormatting>
  <conditionalFormatting sqref="P59">
    <cfRule type="expression" dxfId="48" priority="49">
      <formula>Q59&lt;Q58</formula>
    </cfRule>
  </conditionalFormatting>
  <conditionalFormatting sqref="P61">
    <cfRule type="expression" dxfId="47" priority="48">
      <formula>Q61&lt;Q60</formula>
    </cfRule>
  </conditionalFormatting>
  <conditionalFormatting sqref="P63">
    <cfRule type="expression" dxfId="46" priority="47">
      <formula>Q63&lt;Q62</formula>
    </cfRule>
  </conditionalFormatting>
  <conditionalFormatting sqref="P65">
    <cfRule type="expression" dxfId="45" priority="46">
      <formula>Q65&lt;Q64</formula>
    </cfRule>
  </conditionalFormatting>
  <conditionalFormatting sqref="V2">
    <cfRule type="expression" dxfId="44" priority="45">
      <formula>W2&lt;W3</formula>
    </cfRule>
  </conditionalFormatting>
  <conditionalFormatting sqref="V3">
    <cfRule type="expression" dxfId="43" priority="44">
      <formula>W3&lt;W2</formula>
    </cfRule>
  </conditionalFormatting>
  <conditionalFormatting sqref="V4">
    <cfRule type="expression" dxfId="42" priority="43">
      <formula>W4&lt;W5</formula>
    </cfRule>
  </conditionalFormatting>
  <conditionalFormatting sqref="V5">
    <cfRule type="expression" dxfId="41" priority="42">
      <formula>W5&lt;W4</formula>
    </cfRule>
  </conditionalFormatting>
  <conditionalFormatting sqref="V6">
    <cfRule type="expression" dxfId="40" priority="41">
      <formula>W6&lt;W7</formula>
    </cfRule>
  </conditionalFormatting>
  <conditionalFormatting sqref="V7">
    <cfRule type="expression" dxfId="39" priority="40">
      <formula>W7&lt;W6</formula>
    </cfRule>
  </conditionalFormatting>
  <conditionalFormatting sqref="V8">
    <cfRule type="expression" dxfId="38" priority="39">
      <formula>W8&lt;W9</formula>
    </cfRule>
  </conditionalFormatting>
  <conditionalFormatting sqref="V9">
    <cfRule type="expression" dxfId="37" priority="38">
      <formula>W9&lt;W8</formula>
    </cfRule>
  </conditionalFormatting>
  <conditionalFormatting sqref="V10">
    <cfRule type="expression" dxfId="36" priority="37">
      <formula>W10&lt;W11</formula>
    </cfRule>
  </conditionalFormatting>
  <conditionalFormatting sqref="V11">
    <cfRule type="expression" dxfId="35" priority="36">
      <formula>W11&lt;W10</formula>
    </cfRule>
  </conditionalFormatting>
  <conditionalFormatting sqref="V12">
    <cfRule type="expression" dxfId="34" priority="35">
      <formula>W12&lt;W13</formula>
    </cfRule>
  </conditionalFormatting>
  <conditionalFormatting sqref="V13">
    <cfRule type="expression" dxfId="33" priority="34">
      <formula>W13&lt;W12</formula>
    </cfRule>
  </conditionalFormatting>
  <conditionalFormatting sqref="V14">
    <cfRule type="expression" dxfId="32" priority="33">
      <formula>W14&lt;W15</formula>
    </cfRule>
  </conditionalFormatting>
  <conditionalFormatting sqref="V15">
    <cfRule type="expression" dxfId="31" priority="32">
      <formula>W15&lt;W14</formula>
    </cfRule>
  </conditionalFormatting>
  <conditionalFormatting sqref="V16">
    <cfRule type="expression" dxfId="30" priority="31">
      <formula>W16&lt;W17</formula>
    </cfRule>
  </conditionalFormatting>
  <conditionalFormatting sqref="V17">
    <cfRule type="expression" dxfId="29" priority="30">
      <formula>W17&lt;W16</formula>
    </cfRule>
  </conditionalFormatting>
  <conditionalFormatting sqref="V18">
    <cfRule type="expression" dxfId="28" priority="29">
      <formula>W18&lt;W19</formula>
    </cfRule>
  </conditionalFormatting>
  <conditionalFormatting sqref="V19">
    <cfRule type="expression" dxfId="27" priority="28">
      <formula>W19&lt;W18</formula>
    </cfRule>
  </conditionalFormatting>
  <conditionalFormatting sqref="V20">
    <cfRule type="expression" dxfId="26" priority="27">
      <formula>W20&lt;W21</formula>
    </cfRule>
  </conditionalFormatting>
  <conditionalFormatting sqref="V21">
    <cfRule type="expression" dxfId="25" priority="26">
      <formula>W21&lt;W20</formula>
    </cfRule>
  </conditionalFormatting>
  <conditionalFormatting sqref="V22">
    <cfRule type="expression" dxfId="24" priority="25">
      <formula>W22&lt;W23</formula>
    </cfRule>
  </conditionalFormatting>
  <conditionalFormatting sqref="V23">
    <cfRule type="expression" dxfId="23" priority="24">
      <formula>W23&lt;W22</formula>
    </cfRule>
  </conditionalFormatting>
  <conditionalFormatting sqref="V24">
    <cfRule type="expression" dxfId="22" priority="23">
      <formula>W24&lt;W25</formula>
    </cfRule>
  </conditionalFormatting>
  <conditionalFormatting sqref="V25">
    <cfRule type="expression" dxfId="21" priority="22">
      <formula>W25&lt;W24</formula>
    </cfRule>
  </conditionalFormatting>
  <conditionalFormatting sqref="V26">
    <cfRule type="expression" dxfId="20" priority="21">
      <formula>W26&lt;W27</formula>
    </cfRule>
  </conditionalFormatting>
  <conditionalFormatting sqref="V27">
    <cfRule type="expression" dxfId="19" priority="20">
      <formula>W27&lt;W26</formula>
    </cfRule>
  </conditionalFormatting>
  <conditionalFormatting sqref="V28">
    <cfRule type="expression" dxfId="18" priority="19">
      <formula>W28&lt;W29</formula>
    </cfRule>
  </conditionalFormatting>
  <conditionalFormatting sqref="V29">
    <cfRule type="expression" dxfId="17" priority="18">
      <formula>W29&lt;W28</formula>
    </cfRule>
  </conditionalFormatting>
  <conditionalFormatting sqref="V30">
    <cfRule type="expression" dxfId="16" priority="17">
      <formula>W30&lt;W31</formula>
    </cfRule>
  </conditionalFormatting>
  <conditionalFormatting sqref="V31">
    <cfRule type="expression" dxfId="15" priority="16">
      <formula>W31&lt;W30</formula>
    </cfRule>
  </conditionalFormatting>
  <conditionalFormatting sqref="V32">
    <cfRule type="expression" dxfId="14" priority="15">
      <formula>W32&lt;W33</formula>
    </cfRule>
  </conditionalFormatting>
  <conditionalFormatting sqref="V33">
    <cfRule type="expression" dxfId="13" priority="14">
      <formula>W33&lt;W32</formula>
    </cfRule>
  </conditionalFormatting>
  <conditionalFormatting sqref="AB2">
    <cfRule type="expression" dxfId="12" priority="13">
      <formula>AC2&lt;AC3</formula>
    </cfRule>
  </conditionalFormatting>
  <conditionalFormatting sqref="AB3">
    <cfRule type="expression" dxfId="11" priority="12">
      <formula>AC3&lt;AC2</formula>
    </cfRule>
  </conditionalFormatting>
  <conditionalFormatting sqref="AB4 AB6 AB8 AB10 AB12 AB14 AB16">
    <cfRule type="expression" dxfId="10" priority="11">
      <formula>AC4&lt;AC5</formula>
    </cfRule>
  </conditionalFormatting>
  <conditionalFormatting sqref="AB5 AB7 AB9 AB11 AB13 AB15 AB17">
    <cfRule type="expression" dxfId="9" priority="10">
      <formula>AC5&lt;AC4</formula>
    </cfRule>
  </conditionalFormatting>
  <conditionalFormatting sqref="AH2">
    <cfRule type="expression" dxfId="8" priority="9">
      <formula>AI2&lt;AI3</formula>
    </cfRule>
  </conditionalFormatting>
  <conditionalFormatting sqref="AH3">
    <cfRule type="expression" dxfId="7" priority="8">
      <formula>AI3&lt;AI2</formula>
    </cfRule>
  </conditionalFormatting>
  <conditionalFormatting sqref="AH4 AH6 AH8">
    <cfRule type="expression" dxfId="6" priority="7">
      <formula>AI4&lt;AI5</formula>
    </cfRule>
  </conditionalFormatting>
  <conditionalFormatting sqref="AH5 AH7 AH9">
    <cfRule type="expression" dxfId="5" priority="6">
      <formula>AI5&lt;AI4</formula>
    </cfRule>
  </conditionalFormatting>
  <conditionalFormatting sqref="AN2">
    <cfRule type="expression" dxfId="4" priority="5">
      <formula>AO2&lt;AO3</formula>
    </cfRule>
  </conditionalFormatting>
  <conditionalFormatting sqref="AN3">
    <cfRule type="expression" dxfId="3" priority="4">
      <formula>AO3&lt;AO2</formula>
    </cfRule>
  </conditionalFormatting>
  <conditionalFormatting sqref="AN4">
    <cfRule type="expression" dxfId="2" priority="3">
      <formula>AO4&lt;AO5</formula>
    </cfRule>
  </conditionalFormatting>
  <conditionalFormatting sqref="AN5">
    <cfRule type="expression" dxfId="1" priority="2">
      <formula>AO5&lt;AO4</formula>
    </cfRule>
  </conditionalFormatting>
  <conditionalFormatting sqref="P13">
    <cfRule type="expression" dxfId="0" priority="1">
      <formula>Q13&lt;Q12</formula>
    </cfRule>
  </conditionalFormatting>
  <hyperlinks>
    <hyperlink ref="A11" r:id="rId1" xr:uid="{00000000-0004-0000-0900-000000000000}"/>
    <hyperlink ref="A1" location="Menu!A1" display="Number of competitors" xr:uid="{00000000-0004-0000-0900-000001000000}"/>
  </hyperlinks>
  <pageMargins left="0.70866141732283472" right="0.70866141732283472" top="0.74803149606299213" bottom="0.74803149606299213" header="0.31496062992125984" footer="0.31496062992125984"/>
  <pageSetup paperSize="9" scale="42" orientation="portrait"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B26"/>
  <sheetViews>
    <sheetView workbookViewId="0">
      <selection activeCell="D18" sqref="D18"/>
    </sheetView>
  </sheetViews>
  <sheetFormatPr defaultRowHeight="12.75"/>
  <cols>
    <col min="1" max="1" width="44.9296875" customWidth="1"/>
    <col min="2" max="2" width="9.86328125" bestFit="1" customWidth="1"/>
  </cols>
  <sheetData>
    <row r="1" spans="1:2" ht="17.649999999999999">
      <c r="A1" s="187" t="s">
        <v>194</v>
      </c>
      <c r="B1" s="184">
        <v>62</v>
      </c>
    </row>
    <row r="2" spans="1:2" ht="17.25">
      <c r="A2" s="103" t="s">
        <v>154</v>
      </c>
      <c r="B2" s="186">
        <v>20</v>
      </c>
    </row>
    <row r="3" spans="1:2" ht="17.649999999999999">
      <c r="A3" s="187" t="s">
        <v>195</v>
      </c>
      <c r="B3" s="185">
        <f>B1*B2</f>
        <v>1240</v>
      </c>
    </row>
    <row r="4" spans="1:2">
      <c r="A4" s="103"/>
      <c r="B4" s="104"/>
    </row>
    <row r="5" spans="1:2">
      <c r="A5" s="103" t="s">
        <v>155</v>
      </c>
      <c r="B5" s="104">
        <v>20</v>
      </c>
    </row>
    <row r="6" spans="1:2">
      <c r="A6" s="103" t="s">
        <v>156</v>
      </c>
      <c r="B6" s="104">
        <v>1</v>
      </c>
    </row>
    <row r="7" spans="1:2">
      <c r="A7" s="103" t="s">
        <v>157</v>
      </c>
      <c r="B7" s="104">
        <v>3</v>
      </c>
    </row>
    <row r="8" spans="1:2" ht="13.15">
      <c r="A8" s="111" t="s">
        <v>158</v>
      </c>
      <c r="B8" s="112">
        <f>(B7*5*B5)+(B6*10*B5)</f>
        <v>500</v>
      </c>
    </row>
    <row r="9" spans="1:2">
      <c r="A9" s="103"/>
      <c r="B9" s="104"/>
    </row>
    <row r="10" spans="1:2">
      <c r="A10" s="103" t="s">
        <v>159</v>
      </c>
      <c r="B10" s="106">
        <v>25</v>
      </c>
    </row>
    <row r="11" spans="1:2">
      <c r="A11" s="103" t="s">
        <v>160</v>
      </c>
      <c r="B11" s="106">
        <v>15</v>
      </c>
    </row>
    <row r="12" spans="1:2">
      <c r="A12" s="110" t="s">
        <v>533</v>
      </c>
      <c r="B12" s="106">
        <v>10</v>
      </c>
    </row>
    <row r="13" spans="1:2" ht="13.15">
      <c r="A13" s="111" t="s">
        <v>161</v>
      </c>
      <c r="B13" s="113">
        <f>SUM(B10:B12)</f>
        <v>50</v>
      </c>
    </row>
    <row r="14" spans="1:2">
      <c r="A14" s="103"/>
      <c r="B14" s="104"/>
    </row>
    <row r="15" spans="1:2">
      <c r="A15" s="110" t="s">
        <v>534</v>
      </c>
      <c r="B15" s="395">
        <f>Prizes!I2</f>
        <v>310.5</v>
      </c>
    </row>
    <row r="16" spans="1:2">
      <c r="A16" s="110" t="s">
        <v>536</v>
      </c>
      <c r="B16" s="395">
        <f>Prizes!I3</f>
        <v>207</v>
      </c>
    </row>
    <row r="17" spans="1:2">
      <c r="A17" s="110" t="s">
        <v>537</v>
      </c>
      <c r="B17" s="395">
        <f>Prizes!I4</f>
        <v>103.5</v>
      </c>
    </row>
    <row r="18" spans="1:2">
      <c r="A18" s="110" t="s">
        <v>538</v>
      </c>
      <c r="B18" s="395">
        <f>Prizes!I5</f>
        <v>69</v>
      </c>
    </row>
    <row r="19" spans="1:2">
      <c r="A19" s="110"/>
      <c r="B19" s="105"/>
    </row>
    <row r="20" spans="1:2" ht="13.15">
      <c r="A20" s="111" t="s">
        <v>535</v>
      </c>
      <c r="B20" s="112">
        <f>SUM(B15:B19)</f>
        <v>690</v>
      </c>
    </row>
    <row r="21" spans="1:2" ht="13.15">
      <c r="A21" s="111"/>
      <c r="B21" s="112"/>
    </row>
    <row r="22" spans="1:2">
      <c r="A22" s="201" t="s">
        <v>237</v>
      </c>
      <c r="B22" s="202">
        <v>20</v>
      </c>
    </row>
    <row r="23" spans="1:2" ht="13.15">
      <c r="A23" s="111"/>
      <c r="B23" s="112"/>
    </row>
    <row r="24" spans="1:2" ht="13.15">
      <c r="A24" s="111" t="s">
        <v>539</v>
      </c>
      <c r="B24" s="112">
        <f>B20-B22</f>
        <v>670</v>
      </c>
    </row>
    <row r="25" spans="1:2">
      <c r="A25" s="103"/>
      <c r="B25" s="104"/>
    </row>
    <row r="26" spans="1:2">
      <c r="A26" s="107" t="s">
        <v>162</v>
      </c>
      <c r="B26" s="108">
        <f>B3-B8-B13-B20-B22</f>
        <v>-20</v>
      </c>
    </row>
  </sheetData>
  <hyperlinks>
    <hyperlink ref="A1" location="Menu!A1" display="No of Entrants:" xr:uid="{00000000-0004-0000-1000-000000000000}"/>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7030A0"/>
  </sheetPr>
  <dimension ref="A1:I111"/>
  <sheetViews>
    <sheetView zoomScale="90" zoomScaleNormal="90" workbookViewId="0">
      <pane ySplit="1" topLeftCell="A31" activePane="bottomLeft" state="frozen"/>
      <selection pane="bottomLeft" activeCell="C2" sqref="C2:C63"/>
    </sheetView>
  </sheetViews>
  <sheetFormatPr defaultRowHeight="12.75"/>
  <cols>
    <col min="1" max="1" width="10.265625" style="394" customWidth="1"/>
    <col min="2" max="2" width="9.1328125" style="4" customWidth="1"/>
    <col min="3" max="3" width="27.1328125" style="4" customWidth="1"/>
    <col min="4" max="4" width="9.73046875" style="143" customWidth="1"/>
    <col min="5" max="6" width="10.1328125" style="143" customWidth="1"/>
    <col min="7" max="7" width="32.73046875" customWidth="1"/>
    <col min="8" max="8" width="13.19921875" bestFit="1" customWidth="1"/>
    <col min="9" max="9" width="15.3984375" bestFit="1" customWidth="1"/>
  </cols>
  <sheetData>
    <row r="1" spans="1:9" ht="45.6" customHeight="1">
      <c r="A1" s="589" t="s">
        <v>464</v>
      </c>
      <c r="B1" s="445" t="s">
        <v>458</v>
      </c>
      <c r="C1" s="445" t="s">
        <v>466</v>
      </c>
      <c r="D1" s="445" t="s">
        <v>391</v>
      </c>
      <c r="E1" s="445" t="s">
        <v>439</v>
      </c>
      <c r="F1" s="445" t="s">
        <v>468</v>
      </c>
    </row>
    <row r="2" spans="1:9">
      <c r="A2" s="444">
        <v>1</v>
      </c>
      <c r="B2" s="443" t="s">
        <v>240</v>
      </c>
      <c r="C2" s="444" t="s">
        <v>384</v>
      </c>
      <c r="D2" s="442" t="s">
        <v>480</v>
      </c>
      <c r="E2" s="442" t="s">
        <v>240</v>
      </c>
      <c r="F2" s="442"/>
      <c r="H2" s="546" t="s">
        <v>462</v>
      </c>
      <c r="I2" t="s">
        <v>467</v>
      </c>
    </row>
    <row r="3" spans="1:9">
      <c r="A3" s="444">
        <v>2</v>
      </c>
      <c r="B3" s="443" t="s">
        <v>240</v>
      </c>
      <c r="C3" s="444" t="s">
        <v>310</v>
      </c>
      <c r="D3" s="442" t="s">
        <v>480</v>
      </c>
      <c r="E3" s="442" t="s">
        <v>240</v>
      </c>
      <c r="F3" s="442"/>
      <c r="H3" s="4" t="s">
        <v>240</v>
      </c>
      <c r="I3" s="526">
        <v>16</v>
      </c>
    </row>
    <row r="4" spans="1:9">
      <c r="A4" s="444">
        <v>3</v>
      </c>
      <c r="B4" s="443" t="s">
        <v>240</v>
      </c>
      <c r="C4" s="444" t="s">
        <v>318</v>
      </c>
      <c r="D4" s="442" t="s">
        <v>480</v>
      </c>
      <c r="E4" s="442" t="s">
        <v>240</v>
      </c>
      <c r="F4" s="442"/>
      <c r="H4" s="4" t="s">
        <v>241</v>
      </c>
      <c r="I4" s="526">
        <v>16</v>
      </c>
    </row>
    <row r="5" spans="1:9">
      <c r="A5" s="444">
        <v>4</v>
      </c>
      <c r="B5" s="443" t="s">
        <v>240</v>
      </c>
      <c r="C5" s="444" t="s">
        <v>289</v>
      </c>
      <c r="D5" s="442" t="s">
        <v>480</v>
      </c>
      <c r="E5" s="442" t="s">
        <v>240</v>
      </c>
      <c r="F5" s="442"/>
      <c r="H5" s="4" t="s">
        <v>242</v>
      </c>
      <c r="I5" s="526">
        <v>16</v>
      </c>
    </row>
    <row r="6" spans="1:9">
      <c r="A6" s="444">
        <v>5</v>
      </c>
      <c r="B6" s="443" t="s">
        <v>240</v>
      </c>
      <c r="C6" s="444" t="s">
        <v>303</v>
      </c>
      <c r="D6" s="442" t="s">
        <v>480</v>
      </c>
      <c r="E6" s="442" t="s">
        <v>240</v>
      </c>
      <c r="F6" s="442"/>
      <c r="H6" s="4" t="s">
        <v>243</v>
      </c>
      <c r="I6" s="526">
        <v>14</v>
      </c>
    </row>
    <row r="7" spans="1:9">
      <c r="A7" s="444">
        <v>6</v>
      </c>
      <c r="B7" s="443" t="s">
        <v>240</v>
      </c>
      <c r="C7" s="444" t="s">
        <v>299</v>
      </c>
      <c r="D7" s="442" t="s">
        <v>480</v>
      </c>
      <c r="E7" s="442" t="s">
        <v>240</v>
      </c>
      <c r="F7" s="442"/>
      <c r="H7" s="4" t="s">
        <v>546</v>
      </c>
      <c r="I7" s="526">
        <v>2</v>
      </c>
    </row>
    <row r="8" spans="1:9">
      <c r="A8" s="444">
        <v>7</v>
      </c>
      <c r="B8" s="443" t="s">
        <v>240</v>
      </c>
      <c r="C8" s="444" t="s">
        <v>294</v>
      </c>
      <c r="D8" s="442" t="s">
        <v>480</v>
      </c>
      <c r="E8" s="442" t="s">
        <v>240</v>
      </c>
      <c r="F8" s="442"/>
      <c r="H8" s="4" t="s">
        <v>447</v>
      </c>
      <c r="I8" s="526"/>
    </row>
    <row r="9" spans="1:9">
      <c r="A9" s="444">
        <v>8</v>
      </c>
      <c r="B9" s="443" t="s">
        <v>240</v>
      </c>
      <c r="C9" s="444" t="s">
        <v>388</v>
      </c>
      <c r="D9" s="442" t="s">
        <v>480</v>
      </c>
      <c r="E9" s="442" t="s">
        <v>240</v>
      </c>
      <c r="F9" s="442"/>
      <c r="H9" s="4" t="s">
        <v>150</v>
      </c>
      <c r="I9" s="526">
        <v>64</v>
      </c>
    </row>
    <row r="10" spans="1:9">
      <c r="A10" s="444">
        <v>1</v>
      </c>
      <c r="B10" s="443" t="s">
        <v>241</v>
      </c>
      <c r="C10" s="444" t="s">
        <v>307</v>
      </c>
      <c r="D10" s="442" t="s">
        <v>480</v>
      </c>
      <c r="E10" s="442" t="s">
        <v>240</v>
      </c>
      <c r="F10" s="442"/>
    </row>
    <row r="11" spans="1:9">
      <c r="A11" s="444">
        <v>2</v>
      </c>
      <c r="B11" s="443" t="s">
        <v>241</v>
      </c>
      <c r="C11" s="444" t="s">
        <v>312</v>
      </c>
      <c r="D11" s="442" t="s">
        <v>480</v>
      </c>
      <c r="E11" s="442" t="s">
        <v>240</v>
      </c>
      <c r="F11" s="442"/>
    </row>
    <row r="12" spans="1:9">
      <c r="A12" s="444">
        <v>3</v>
      </c>
      <c r="B12" s="443" t="s">
        <v>241</v>
      </c>
      <c r="C12" s="444" t="s">
        <v>314</v>
      </c>
      <c r="D12" s="442" t="s">
        <v>480</v>
      </c>
      <c r="E12" s="442" t="s">
        <v>240</v>
      </c>
      <c r="F12" s="442"/>
    </row>
    <row r="13" spans="1:9">
      <c r="A13" s="444">
        <v>4</v>
      </c>
      <c r="B13" s="443" t="s">
        <v>241</v>
      </c>
      <c r="C13" s="444" t="s">
        <v>296</v>
      </c>
      <c r="D13" s="442" t="s">
        <v>480</v>
      </c>
      <c r="E13" s="442" t="s">
        <v>240</v>
      </c>
      <c r="F13" s="442"/>
    </row>
    <row r="14" spans="1:9">
      <c r="A14" s="444">
        <v>5</v>
      </c>
      <c r="B14" s="443" t="s">
        <v>241</v>
      </c>
      <c r="C14" s="444" t="s">
        <v>323</v>
      </c>
      <c r="D14" s="442" t="s">
        <v>480</v>
      </c>
      <c r="E14" s="442" t="s">
        <v>240</v>
      </c>
      <c r="F14" s="442"/>
    </row>
    <row r="15" spans="1:9">
      <c r="A15" s="444">
        <v>6</v>
      </c>
      <c r="B15" s="443" t="s">
        <v>241</v>
      </c>
      <c r="C15" s="444" t="s">
        <v>325</v>
      </c>
      <c r="D15" s="442" t="s">
        <v>480</v>
      </c>
      <c r="E15" s="442" t="s">
        <v>240</v>
      </c>
      <c r="F15" s="442"/>
    </row>
    <row r="16" spans="1:9">
      <c r="A16" s="444">
        <v>7</v>
      </c>
      <c r="B16" s="443" t="s">
        <v>241</v>
      </c>
      <c r="C16" s="444" t="s">
        <v>290</v>
      </c>
      <c r="D16" s="442" t="s">
        <v>480</v>
      </c>
      <c r="E16" s="442" t="s">
        <v>240</v>
      </c>
      <c r="F16" s="442"/>
    </row>
    <row r="17" spans="1:6">
      <c r="A17" s="444">
        <v>8</v>
      </c>
      <c r="B17" s="443" t="s">
        <v>241</v>
      </c>
      <c r="C17" s="444" t="s">
        <v>298</v>
      </c>
      <c r="D17" s="442" t="s">
        <v>480</v>
      </c>
      <c r="E17" s="442" t="s">
        <v>240</v>
      </c>
      <c r="F17" s="442"/>
    </row>
    <row r="18" spans="1:6">
      <c r="A18" s="444">
        <v>9</v>
      </c>
      <c r="B18" s="443" t="s">
        <v>240</v>
      </c>
      <c r="C18" s="444" t="s">
        <v>322</v>
      </c>
      <c r="D18" s="442" t="s">
        <v>480</v>
      </c>
      <c r="E18" s="442" t="s">
        <v>241</v>
      </c>
      <c r="F18" s="442"/>
    </row>
    <row r="19" spans="1:6">
      <c r="A19" s="444">
        <v>10</v>
      </c>
      <c r="B19" s="443" t="s">
        <v>240</v>
      </c>
      <c r="C19" s="444" t="s">
        <v>324</v>
      </c>
      <c r="D19" s="442" t="s">
        <v>480</v>
      </c>
      <c r="E19" s="442" t="s">
        <v>241</v>
      </c>
      <c r="F19" s="442"/>
    </row>
    <row r="20" spans="1:6">
      <c r="A20" s="444">
        <v>11</v>
      </c>
      <c r="B20" s="443" t="s">
        <v>240</v>
      </c>
      <c r="C20" s="444" t="s">
        <v>328</v>
      </c>
      <c r="D20" s="442" t="s">
        <v>480</v>
      </c>
      <c r="E20" s="442" t="s">
        <v>241</v>
      </c>
      <c r="F20" s="442"/>
    </row>
    <row r="21" spans="1:6">
      <c r="A21" s="444">
        <v>12</v>
      </c>
      <c r="B21" s="443" t="s">
        <v>240</v>
      </c>
      <c r="C21" s="444" t="s">
        <v>304</v>
      </c>
      <c r="D21" s="442" t="s">
        <v>480</v>
      </c>
      <c r="E21" s="442" t="s">
        <v>241</v>
      </c>
      <c r="F21" s="442"/>
    </row>
    <row r="22" spans="1:6">
      <c r="A22" s="444">
        <v>13</v>
      </c>
      <c r="B22" s="443" t="s">
        <v>240</v>
      </c>
      <c r="C22" s="444" t="s">
        <v>327</v>
      </c>
      <c r="D22" s="442" t="s">
        <v>480</v>
      </c>
      <c r="E22" s="442" t="s">
        <v>241</v>
      </c>
      <c r="F22" s="442"/>
    </row>
    <row r="23" spans="1:6">
      <c r="A23" s="444">
        <v>14</v>
      </c>
      <c r="B23" s="443" t="s">
        <v>240</v>
      </c>
      <c r="C23" s="444" t="s">
        <v>295</v>
      </c>
      <c r="D23" s="442" t="s">
        <v>480</v>
      </c>
      <c r="E23" s="442" t="s">
        <v>241</v>
      </c>
      <c r="F23" s="442"/>
    </row>
    <row r="24" spans="1:6">
      <c r="A24" s="444">
        <v>15</v>
      </c>
      <c r="B24" s="443" t="s">
        <v>240</v>
      </c>
      <c r="C24" s="444" t="s">
        <v>306</v>
      </c>
      <c r="D24" s="442" t="s">
        <v>480</v>
      </c>
      <c r="E24" s="442" t="s">
        <v>241</v>
      </c>
      <c r="F24" s="442"/>
    </row>
    <row r="25" spans="1:6">
      <c r="A25" s="444">
        <v>16</v>
      </c>
      <c r="B25" s="443" t="s">
        <v>240</v>
      </c>
      <c r="C25" s="444" t="s">
        <v>288</v>
      </c>
      <c r="D25" s="442" t="s">
        <v>480</v>
      </c>
      <c r="E25" s="442" t="s">
        <v>241</v>
      </c>
      <c r="F25" s="442"/>
    </row>
    <row r="26" spans="1:6">
      <c r="A26" s="444">
        <v>9</v>
      </c>
      <c r="B26" s="443" t="s">
        <v>241</v>
      </c>
      <c r="C26" s="444" t="s">
        <v>317</v>
      </c>
      <c r="D26" s="442" t="s">
        <v>480</v>
      </c>
      <c r="E26" s="442" t="s">
        <v>241</v>
      </c>
      <c r="F26" s="442"/>
    </row>
    <row r="27" spans="1:6">
      <c r="A27" s="444">
        <v>10</v>
      </c>
      <c r="B27" s="443" t="s">
        <v>241</v>
      </c>
      <c r="C27" s="444" t="s">
        <v>319</v>
      </c>
      <c r="D27" s="442" t="s">
        <v>480</v>
      </c>
      <c r="E27" s="442" t="s">
        <v>241</v>
      </c>
      <c r="F27" s="442"/>
    </row>
    <row r="28" spans="1:6">
      <c r="A28" s="444">
        <v>1</v>
      </c>
      <c r="B28" s="443" t="s">
        <v>242</v>
      </c>
      <c r="C28" s="444" t="s">
        <v>311</v>
      </c>
      <c r="D28" s="442" t="s">
        <v>480</v>
      </c>
      <c r="E28" s="442" t="s">
        <v>241</v>
      </c>
      <c r="F28" s="442"/>
    </row>
    <row r="29" spans="1:6">
      <c r="A29" s="444">
        <v>2</v>
      </c>
      <c r="B29" s="443" t="s">
        <v>242</v>
      </c>
      <c r="C29" s="444" t="s">
        <v>385</v>
      </c>
      <c r="D29" s="442" t="s">
        <v>480</v>
      </c>
      <c r="E29" s="442" t="s">
        <v>241</v>
      </c>
      <c r="F29" s="442"/>
    </row>
    <row r="30" spans="1:6">
      <c r="A30" s="444">
        <v>3</v>
      </c>
      <c r="B30" s="443" t="s">
        <v>242</v>
      </c>
      <c r="C30" s="444" t="s">
        <v>308</v>
      </c>
      <c r="D30" s="442" t="s">
        <v>480</v>
      </c>
      <c r="E30" s="442" t="s">
        <v>241</v>
      </c>
      <c r="F30" s="442"/>
    </row>
    <row r="31" spans="1:6">
      <c r="A31" s="444">
        <v>4</v>
      </c>
      <c r="B31" s="443" t="s">
        <v>242</v>
      </c>
      <c r="C31" s="444" t="s">
        <v>315</v>
      </c>
      <c r="D31" s="442" t="s">
        <v>480</v>
      </c>
      <c r="E31" s="442" t="s">
        <v>241</v>
      </c>
      <c r="F31" s="442"/>
    </row>
    <row r="32" spans="1:6">
      <c r="A32" s="444">
        <v>5</v>
      </c>
      <c r="B32" s="443" t="s">
        <v>242</v>
      </c>
      <c r="C32" s="444" t="s">
        <v>336</v>
      </c>
      <c r="D32" s="442" t="s">
        <v>480</v>
      </c>
      <c r="E32" s="442" t="s">
        <v>241</v>
      </c>
      <c r="F32" s="442"/>
    </row>
    <row r="33" spans="1:6">
      <c r="A33" s="444">
        <v>6</v>
      </c>
      <c r="B33" s="443" t="s">
        <v>242</v>
      </c>
      <c r="C33" s="444" t="s">
        <v>381</v>
      </c>
      <c r="D33" s="442" t="s">
        <v>480</v>
      </c>
      <c r="E33" s="442" t="s">
        <v>241</v>
      </c>
      <c r="F33" s="442"/>
    </row>
    <row r="34" spans="1:6">
      <c r="A34" s="444">
        <v>11</v>
      </c>
      <c r="B34" s="443" t="s">
        <v>241</v>
      </c>
      <c r="C34" s="444" t="s">
        <v>313</v>
      </c>
      <c r="D34" s="442" t="s">
        <v>480</v>
      </c>
      <c r="E34" s="442" t="s">
        <v>242</v>
      </c>
      <c r="F34" s="442"/>
    </row>
    <row r="35" spans="1:6">
      <c r="A35" s="444">
        <v>12</v>
      </c>
      <c r="B35" s="443" t="s">
        <v>241</v>
      </c>
      <c r="C35" s="444" t="s">
        <v>316</v>
      </c>
      <c r="D35" s="442" t="s">
        <v>480</v>
      </c>
      <c r="E35" s="442" t="s">
        <v>242</v>
      </c>
      <c r="F35" s="442"/>
    </row>
    <row r="36" spans="1:6">
      <c r="A36" s="444">
        <v>13</v>
      </c>
      <c r="B36" s="443" t="s">
        <v>241</v>
      </c>
      <c r="C36" s="444" t="s">
        <v>320</v>
      </c>
      <c r="D36" s="442" t="s">
        <v>480</v>
      </c>
      <c r="E36" s="442" t="s">
        <v>242</v>
      </c>
      <c r="F36" s="442"/>
    </row>
    <row r="37" spans="1:6">
      <c r="A37" s="444">
        <v>14</v>
      </c>
      <c r="B37" s="443" t="s">
        <v>241</v>
      </c>
      <c r="C37" s="444" t="s">
        <v>291</v>
      </c>
      <c r="D37" s="442" t="s">
        <v>480</v>
      </c>
      <c r="E37" s="442" t="s">
        <v>242</v>
      </c>
      <c r="F37" s="442"/>
    </row>
    <row r="38" spans="1:6">
      <c r="A38" s="444">
        <v>15</v>
      </c>
      <c r="B38" s="443" t="s">
        <v>241</v>
      </c>
      <c r="C38" s="444" t="s">
        <v>300</v>
      </c>
      <c r="D38" s="442" t="s">
        <v>480</v>
      </c>
      <c r="E38" s="442" t="s">
        <v>242</v>
      </c>
      <c r="F38" s="442"/>
    </row>
    <row r="39" spans="1:6">
      <c r="A39" s="444">
        <v>16</v>
      </c>
      <c r="B39" s="443" t="s">
        <v>241</v>
      </c>
      <c r="C39" s="444" t="s">
        <v>302</v>
      </c>
      <c r="D39" s="442" t="s">
        <v>480</v>
      </c>
      <c r="E39" s="442" t="s">
        <v>242</v>
      </c>
      <c r="F39" s="442"/>
    </row>
    <row r="40" spans="1:6">
      <c r="A40" s="444">
        <v>7</v>
      </c>
      <c r="B40" s="443" t="s">
        <v>242</v>
      </c>
      <c r="C40" s="444" t="s">
        <v>335</v>
      </c>
      <c r="D40" s="442" t="s">
        <v>480</v>
      </c>
      <c r="E40" s="442" t="s">
        <v>242</v>
      </c>
      <c r="F40" s="442"/>
    </row>
    <row r="41" spans="1:6">
      <c r="A41" s="444">
        <v>8</v>
      </c>
      <c r="B41" s="443" t="s">
        <v>242</v>
      </c>
      <c r="C41" s="444" t="s">
        <v>292</v>
      </c>
      <c r="D41" s="442" t="s">
        <v>480</v>
      </c>
      <c r="E41" s="442" t="s">
        <v>242</v>
      </c>
      <c r="F41" s="442"/>
    </row>
    <row r="42" spans="1:6">
      <c r="A42" s="444">
        <v>9</v>
      </c>
      <c r="B42" s="443" t="s">
        <v>242</v>
      </c>
      <c r="C42" s="444" t="s">
        <v>287</v>
      </c>
      <c r="D42" s="442" t="s">
        <v>480</v>
      </c>
      <c r="E42" s="442" t="s">
        <v>242</v>
      </c>
      <c r="F42" s="442"/>
    </row>
    <row r="43" spans="1:6">
      <c r="A43" s="444">
        <v>1</v>
      </c>
      <c r="B43" s="443" t="s">
        <v>243</v>
      </c>
      <c r="C43" s="444" t="s">
        <v>461</v>
      </c>
      <c r="D43" s="442" t="s">
        <v>480</v>
      </c>
      <c r="E43" s="442" t="s">
        <v>242</v>
      </c>
      <c r="F43" s="442"/>
    </row>
    <row r="44" spans="1:6">
      <c r="A44" s="444">
        <v>2</v>
      </c>
      <c r="B44" s="443" t="s">
        <v>243</v>
      </c>
      <c r="C44" s="444" t="s">
        <v>380</v>
      </c>
      <c r="D44" s="442" t="s">
        <v>480</v>
      </c>
      <c r="E44" s="442" t="s">
        <v>242</v>
      </c>
      <c r="F44" s="442"/>
    </row>
    <row r="45" spans="1:6">
      <c r="A45" s="444">
        <v>3</v>
      </c>
      <c r="B45" s="443" t="s">
        <v>243</v>
      </c>
      <c r="C45" s="444" t="s">
        <v>321</v>
      </c>
      <c r="D45" s="442" t="s">
        <v>480</v>
      </c>
      <c r="E45" s="442" t="s">
        <v>242</v>
      </c>
      <c r="F45" s="442"/>
    </row>
    <row r="46" spans="1:6">
      <c r="A46" s="444">
        <v>5</v>
      </c>
      <c r="B46" s="443" t="s">
        <v>243</v>
      </c>
      <c r="C46" s="444" t="s">
        <v>386</v>
      </c>
      <c r="D46" s="442" t="s">
        <v>480</v>
      </c>
      <c r="E46" s="442" t="s">
        <v>242</v>
      </c>
      <c r="F46" s="442"/>
    </row>
    <row r="47" spans="1:6">
      <c r="A47" s="444">
        <v>6</v>
      </c>
      <c r="B47" s="443" t="s">
        <v>243</v>
      </c>
      <c r="C47" s="444" t="s">
        <v>460</v>
      </c>
      <c r="D47" s="442" t="s">
        <v>480</v>
      </c>
      <c r="E47" s="442" t="s">
        <v>242</v>
      </c>
      <c r="F47" s="442"/>
    </row>
    <row r="48" spans="1:6">
      <c r="A48" s="444">
        <v>7</v>
      </c>
      <c r="B48" s="443" t="s">
        <v>243</v>
      </c>
      <c r="C48" s="444" t="s">
        <v>382</v>
      </c>
      <c r="D48" s="442" t="s">
        <v>480</v>
      </c>
      <c r="E48" s="442" t="s">
        <v>242</v>
      </c>
      <c r="F48" s="442"/>
    </row>
    <row r="49" spans="1:6">
      <c r="A49" s="444">
        <v>8</v>
      </c>
      <c r="B49" s="443" t="s">
        <v>243</v>
      </c>
      <c r="C49" s="444" t="s">
        <v>297</v>
      </c>
      <c r="D49" s="442" t="s">
        <v>480</v>
      </c>
      <c r="E49" s="442" t="s">
        <v>242</v>
      </c>
      <c r="F49" s="442"/>
    </row>
    <row r="50" spans="1:6">
      <c r="A50" s="444">
        <v>11</v>
      </c>
      <c r="B50" s="443" t="s">
        <v>242</v>
      </c>
      <c r="C50" s="444" t="s">
        <v>293</v>
      </c>
      <c r="D50" s="442" t="s">
        <v>480</v>
      </c>
      <c r="E50" s="442" t="s">
        <v>243</v>
      </c>
      <c r="F50" s="442"/>
    </row>
    <row r="51" spans="1:6">
      <c r="A51" s="444">
        <v>12</v>
      </c>
      <c r="B51" s="443" t="s">
        <v>242</v>
      </c>
      <c r="C51" s="444" t="s">
        <v>390</v>
      </c>
      <c r="D51" s="442" t="s">
        <v>480</v>
      </c>
      <c r="E51" s="442" t="s">
        <v>243</v>
      </c>
      <c r="F51" s="442"/>
    </row>
    <row r="52" spans="1:6">
      <c r="A52" s="444">
        <v>13</v>
      </c>
      <c r="B52" s="443" t="s">
        <v>242</v>
      </c>
      <c r="C52" s="444" t="s">
        <v>305</v>
      </c>
      <c r="D52" s="442" t="s">
        <v>480</v>
      </c>
      <c r="E52" s="442" t="s">
        <v>243</v>
      </c>
      <c r="F52" s="442"/>
    </row>
    <row r="53" spans="1:6">
      <c r="A53" s="444">
        <v>14</v>
      </c>
      <c r="B53" s="443" t="s">
        <v>242</v>
      </c>
      <c r="C53" s="444" t="s">
        <v>387</v>
      </c>
      <c r="D53" s="442" t="s">
        <v>480</v>
      </c>
      <c r="E53" s="442" t="s">
        <v>243</v>
      </c>
      <c r="F53" s="442"/>
    </row>
    <row r="54" spans="1:6">
      <c r="A54" s="444">
        <v>15</v>
      </c>
      <c r="B54" s="443" t="s">
        <v>242</v>
      </c>
      <c r="C54" s="444" t="s">
        <v>383</v>
      </c>
      <c r="D54" s="442" t="s">
        <v>480</v>
      </c>
      <c r="E54" s="442" t="s">
        <v>243</v>
      </c>
      <c r="F54" s="442"/>
    </row>
    <row r="55" spans="1:6">
      <c r="A55" s="444">
        <v>9</v>
      </c>
      <c r="B55" s="443" t="s">
        <v>243</v>
      </c>
      <c r="C55" s="444" t="s">
        <v>379</v>
      </c>
      <c r="D55" s="442" t="s">
        <v>480</v>
      </c>
      <c r="E55" s="442" t="s">
        <v>243</v>
      </c>
      <c r="F55" s="442"/>
    </row>
    <row r="56" spans="1:6">
      <c r="A56" s="444">
        <v>10</v>
      </c>
      <c r="B56" s="443" t="s">
        <v>243</v>
      </c>
      <c r="C56" s="444" t="s">
        <v>389</v>
      </c>
      <c r="D56" s="442" t="s">
        <v>480</v>
      </c>
      <c r="E56" s="442" t="s">
        <v>243</v>
      </c>
      <c r="F56" s="442"/>
    </row>
    <row r="57" spans="1:6">
      <c r="A57" s="444"/>
      <c r="B57" s="443"/>
      <c r="C57" s="444" t="s">
        <v>547</v>
      </c>
      <c r="D57" s="442" t="s">
        <v>548</v>
      </c>
      <c r="E57" s="442" t="s">
        <v>243</v>
      </c>
      <c r="F57" s="442"/>
    </row>
    <row r="58" spans="1:6">
      <c r="A58" s="444"/>
      <c r="B58" s="443"/>
      <c r="C58" s="444" t="s">
        <v>549</v>
      </c>
      <c r="D58" s="442" t="s">
        <v>548</v>
      </c>
      <c r="E58" s="442" t="s">
        <v>243</v>
      </c>
      <c r="F58" s="442"/>
    </row>
    <row r="59" spans="1:6">
      <c r="A59" s="444"/>
      <c r="B59" s="443"/>
      <c r="C59" s="444" t="s">
        <v>550</v>
      </c>
      <c r="D59" s="442" t="s">
        <v>548</v>
      </c>
      <c r="E59" s="442" t="s">
        <v>243</v>
      </c>
      <c r="F59" s="442"/>
    </row>
    <row r="60" spans="1:6">
      <c r="A60" s="444"/>
      <c r="B60" s="443"/>
      <c r="C60" s="444" t="s">
        <v>551</v>
      </c>
      <c r="D60" s="442" t="s">
        <v>548</v>
      </c>
      <c r="E60" s="442" t="s">
        <v>243</v>
      </c>
      <c r="F60" s="442"/>
    </row>
    <row r="61" spans="1:6">
      <c r="A61" s="444"/>
      <c r="B61" s="443"/>
      <c r="C61" s="444" t="s">
        <v>552</v>
      </c>
      <c r="D61" s="442" t="s">
        <v>548</v>
      </c>
      <c r="E61" s="442" t="s">
        <v>243</v>
      </c>
      <c r="F61" s="442"/>
    </row>
    <row r="62" spans="1:6">
      <c r="A62" s="444"/>
      <c r="B62" s="443"/>
      <c r="C62" s="444" t="s">
        <v>553</v>
      </c>
      <c r="D62" s="442" t="s">
        <v>548</v>
      </c>
      <c r="E62" s="442" t="s">
        <v>243</v>
      </c>
      <c r="F62" s="442"/>
    </row>
    <row r="63" spans="1:6">
      <c r="A63" s="444">
        <v>10</v>
      </c>
      <c r="B63" s="443" t="s">
        <v>242</v>
      </c>
      <c r="C63" s="444" t="s">
        <v>309</v>
      </c>
      <c r="D63" s="442" t="s">
        <v>544</v>
      </c>
      <c r="E63" s="442" t="s">
        <v>243</v>
      </c>
      <c r="F63" s="442"/>
    </row>
    <row r="64" spans="1:6">
      <c r="A64" s="444">
        <v>16</v>
      </c>
      <c r="B64" s="443" t="s">
        <v>242</v>
      </c>
      <c r="C64" s="444" t="s">
        <v>459</v>
      </c>
      <c r="D64" s="442" t="s">
        <v>544</v>
      </c>
      <c r="E64" s="442" t="s">
        <v>546</v>
      </c>
      <c r="F64" s="442"/>
    </row>
    <row r="65" spans="1:6">
      <c r="A65" s="444">
        <v>4</v>
      </c>
      <c r="B65" s="443" t="s">
        <v>243</v>
      </c>
      <c r="C65" s="444" t="s">
        <v>326</v>
      </c>
      <c r="D65" s="442" t="s">
        <v>544</v>
      </c>
      <c r="E65" s="442" t="s">
        <v>546</v>
      </c>
      <c r="F65" s="442"/>
    </row>
    <row r="66" spans="1:6">
      <c r="A66" s="444"/>
      <c r="B66" s="443"/>
      <c r="C66" s="444"/>
      <c r="D66" s="442"/>
      <c r="E66" s="442"/>
      <c r="F66" s="442"/>
    </row>
    <row r="67" spans="1:6">
      <c r="A67" s="444"/>
      <c r="B67" s="443"/>
      <c r="C67" s="444"/>
      <c r="D67" s="442"/>
      <c r="E67" s="442"/>
      <c r="F67" s="442"/>
    </row>
    <row r="68" spans="1:6">
      <c r="A68" s="444"/>
      <c r="B68" s="443"/>
      <c r="C68" s="444"/>
      <c r="D68" s="442"/>
      <c r="E68" s="442"/>
      <c r="F68" s="442"/>
    </row>
    <row r="69" spans="1:6">
      <c r="A69" s="444"/>
      <c r="B69" s="443"/>
      <c r="C69" s="444"/>
      <c r="D69" s="442"/>
      <c r="E69" s="442"/>
      <c r="F69" s="442"/>
    </row>
    <row r="70" spans="1:6">
      <c r="A70" s="444"/>
      <c r="B70" s="443"/>
      <c r="C70" s="444"/>
      <c r="D70" s="442"/>
      <c r="E70" s="442"/>
      <c r="F70" s="442"/>
    </row>
    <row r="71" spans="1:6">
      <c r="A71" s="444"/>
      <c r="B71" s="443"/>
      <c r="C71" s="444"/>
      <c r="D71" s="442"/>
      <c r="E71" s="442"/>
      <c r="F71" s="442"/>
    </row>
    <row r="72" spans="1:6">
      <c r="A72" s="444"/>
      <c r="B72" s="443"/>
      <c r="C72" s="444"/>
      <c r="D72" s="442"/>
      <c r="E72" s="442"/>
      <c r="F72" s="442"/>
    </row>
    <row r="73" spans="1:6">
      <c r="A73" s="444"/>
      <c r="B73" s="443"/>
      <c r="C73" s="444"/>
      <c r="D73" s="442"/>
      <c r="E73" s="442"/>
      <c r="F73" s="442"/>
    </row>
    <row r="74" spans="1:6">
      <c r="A74" s="444"/>
      <c r="B74" s="443"/>
      <c r="C74" s="443"/>
      <c r="D74" s="442"/>
      <c r="E74" s="442"/>
      <c r="F74" s="442"/>
    </row>
    <row r="75" spans="1:6">
      <c r="A75" s="444"/>
      <c r="B75" s="443"/>
      <c r="C75" s="443"/>
      <c r="D75" s="442"/>
      <c r="E75" s="442"/>
      <c r="F75" s="442"/>
    </row>
    <row r="76" spans="1:6">
      <c r="A76" s="444"/>
      <c r="B76" s="443"/>
      <c r="C76" s="443"/>
      <c r="D76" s="442"/>
      <c r="E76" s="442"/>
      <c r="F76" s="442"/>
    </row>
    <row r="77" spans="1:6">
      <c r="A77" s="444"/>
      <c r="B77" s="443"/>
      <c r="C77" s="443"/>
      <c r="D77" s="442"/>
      <c r="E77" s="442"/>
      <c r="F77" s="442"/>
    </row>
    <row r="78" spans="1:6">
      <c r="A78" s="444"/>
      <c r="B78" s="443"/>
      <c r="C78" s="443"/>
      <c r="D78" s="442"/>
      <c r="E78" s="442"/>
      <c r="F78" s="442"/>
    </row>
    <row r="79" spans="1:6">
      <c r="A79" s="444"/>
      <c r="B79" s="443"/>
      <c r="C79" s="443"/>
      <c r="D79" s="442"/>
      <c r="E79" s="442"/>
      <c r="F79" s="442"/>
    </row>
    <row r="80" spans="1:6">
      <c r="A80" s="444"/>
      <c r="B80" s="443"/>
      <c r="C80" s="443"/>
      <c r="D80" s="442"/>
      <c r="E80" s="442"/>
      <c r="F80" s="442"/>
    </row>
    <row r="81" spans="1:6">
      <c r="A81" s="444"/>
      <c r="B81" s="443"/>
      <c r="C81" s="443"/>
      <c r="D81" s="442"/>
      <c r="E81" s="442"/>
      <c r="F81" s="442"/>
    </row>
    <row r="82" spans="1:6">
      <c r="A82" s="444"/>
      <c r="B82" s="443"/>
      <c r="C82" s="443"/>
      <c r="D82" s="442"/>
      <c r="E82" s="442"/>
      <c r="F82" s="442"/>
    </row>
    <row r="83" spans="1:6">
      <c r="A83" s="444"/>
      <c r="B83" s="443"/>
      <c r="C83" s="443"/>
      <c r="D83" s="442"/>
      <c r="E83" s="442"/>
      <c r="F83" s="442"/>
    </row>
    <row r="84" spans="1:6">
      <c r="A84" s="444"/>
      <c r="B84" s="443"/>
      <c r="C84" s="443"/>
      <c r="D84" s="442"/>
      <c r="E84" s="442"/>
      <c r="F84" s="442"/>
    </row>
    <row r="85" spans="1:6">
      <c r="A85" s="444"/>
      <c r="B85" s="443"/>
      <c r="C85" s="443"/>
      <c r="D85" s="442"/>
      <c r="E85" s="442"/>
      <c r="F85" s="442"/>
    </row>
    <row r="86" spans="1:6">
      <c r="A86" s="444"/>
      <c r="B86" s="443"/>
      <c r="C86" s="443"/>
      <c r="D86" s="442"/>
      <c r="E86" s="442"/>
      <c r="F86" s="442"/>
    </row>
    <row r="87" spans="1:6">
      <c r="A87" s="444"/>
      <c r="B87" s="443"/>
      <c r="C87" s="443"/>
      <c r="D87" s="442"/>
      <c r="E87" s="442"/>
      <c r="F87" s="442"/>
    </row>
    <row r="88" spans="1:6">
      <c r="A88" s="444"/>
      <c r="B88" s="443"/>
      <c r="C88" s="443"/>
      <c r="D88" s="442"/>
      <c r="E88" s="442"/>
      <c r="F88" s="442"/>
    </row>
    <row r="89" spans="1:6">
      <c r="A89" s="444"/>
      <c r="B89" s="443"/>
      <c r="C89" s="443"/>
      <c r="D89" s="442"/>
      <c r="E89" s="442"/>
      <c r="F89" s="442"/>
    </row>
    <row r="90" spans="1:6">
      <c r="A90" s="444"/>
      <c r="B90" s="443"/>
      <c r="C90" s="443"/>
      <c r="D90" s="442"/>
      <c r="E90" s="442"/>
      <c r="F90" s="442"/>
    </row>
    <row r="91" spans="1:6">
      <c r="A91" s="444"/>
      <c r="B91" s="443"/>
      <c r="C91" s="443"/>
      <c r="D91" s="442"/>
      <c r="E91" s="442"/>
      <c r="F91" s="442"/>
    </row>
    <row r="92" spans="1:6">
      <c r="A92" s="444"/>
      <c r="B92" s="443"/>
      <c r="C92" s="443"/>
      <c r="D92" s="442"/>
      <c r="E92" s="442"/>
      <c r="F92" s="442"/>
    </row>
    <row r="93" spans="1:6">
      <c r="A93" s="444"/>
      <c r="B93" s="443"/>
      <c r="C93" s="443"/>
      <c r="D93" s="442"/>
      <c r="E93" s="442"/>
      <c r="F93" s="442"/>
    </row>
    <row r="94" spans="1:6">
      <c r="A94" s="444"/>
      <c r="B94" s="443"/>
      <c r="C94" s="443"/>
      <c r="D94" s="442"/>
      <c r="E94" s="442"/>
      <c r="F94" s="442"/>
    </row>
    <row r="95" spans="1:6">
      <c r="A95" s="444"/>
      <c r="B95" s="443"/>
      <c r="C95" s="443"/>
      <c r="D95" s="442"/>
      <c r="E95" s="442"/>
      <c r="F95" s="442"/>
    </row>
    <row r="96" spans="1:6">
      <c r="A96" s="444"/>
      <c r="B96" s="443"/>
      <c r="C96" s="443"/>
      <c r="D96" s="442"/>
      <c r="E96" s="442"/>
      <c r="F96" s="442"/>
    </row>
    <row r="97" spans="1:6">
      <c r="A97" s="444"/>
      <c r="B97" s="443"/>
      <c r="C97" s="443"/>
      <c r="D97" s="442"/>
      <c r="E97" s="442"/>
      <c r="F97" s="442"/>
    </row>
    <row r="98" spans="1:6">
      <c r="A98" s="444"/>
      <c r="B98" s="443"/>
      <c r="C98" s="443"/>
      <c r="D98" s="442"/>
      <c r="E98" s="442"/>
      <c r="F98" s="442"/>
    </row>
    <row r="99" spans="1:6">
      <c r="A99" s="444"/>
      <c r="B99" s="443"/>
      <c r="C99" s="443"/>
      <c r="D99" s="442"/>
      <c r="E99" s="442"/>
      <c r="F99" s="442"/>
    </row>
    <row r="100" spans="1:6">
      <c r="A100" s="444"/>
      <c r="B100" s="443"/>
      <c r="C100" s="443"/>
      <c r="D100" s="442"/>
      <c r="E100" s="442"/>
      <c r="F100" s="442"/>
    </row>
    <row r="101" spans="1:6">
      <c r="A101" s="393"/>
      <c r="B101" s="83"/>
      <c r="C101" s="83"/>
      <c r="D101" s="265"/>
      <c r="E101" s="265"/>
      <c r="F101" s="265"/>
    </row>
    <row r="102" spans="1:6">
      <c r="A102" s="393"/>
      <c r="B102" s="83"/>
      <c r="C102" s="83"/>
      <c r="D102" s="265"/>
      <c r="E102" s="265"/>
      <c r="F102" s="265"/>
    </row>
    <row r="103" spans="1:6">
      <c r="A103" s="393"/>
      <c r="B103" s="83"/>
      <c r="C103" s="83"/>
      <c r="D103" s="265"/>
      <c r="E103" s="265"/>
      <c r="F103" s="265"/>
    </row>
    <row r="104" spans="1:6">
      <c r="A104" s="393"/>
      <c r="B104" s="83"/>
      <c r="C104" s="83"/>
      <c r="D104" s="265"/>
      <c r="E104" s="265"/>
      <c r="F104" s="265"/>
    </row>
    <row r="105" spans="1:6">
      <c r="A105" s="393"/>
      <c r="B105" s="83"/>
      <c r="C105" s="83"/>
      <c r="D105" s="265"/>
      <c r="E105" s="265"/>
      <c r="F105" s="265"/>
    </row>
    <row r="106" spans="1:6">
      <c r="A106" s="393"/>
      <c r="B106" s="83"/>
      <c r="C106" s="83"/>
      <c r="D106" s="265"/>
      <c r="E106" s="265"/>
      <c r="F106" s="265"/>
    </row>
    <row r="107" spans="1:6">
      <c r="A107" s="393"/>
      <c r="B107" s="83"/>
      <c r="C107" s="83"/>
      <c r="D107" s="265"/>
      <c r="E107" s="265"/>
      <c r="F107" s="265"/>
    </row>
    <row r="108" spans="1:6">
      <c r="A108" s="393"/>
      <c r="B108" s="83"/>
      <c r="C108" s="83"/>
      <c r="D108" s="265"/>
      <c r="E108" s="265"/>
      <c r="F108" s="265"/>
    </row>
    <row r="109" spans="1:6">
      <c r="A109" s="393"/>
      <c r="B109" s="83"/>
      <c r="C109" s="83"/>
      <c r="D109" s="265"/>
      <c r="E109" s="265"/>
      <c r="F109" s="265"/>
    </row>
    <row r="110" spans="1:6">
      <c r="A110" s="393"/>
      <c r="B110" s="83"/>
      <c r="C110" s="83"/>
      <c r="D110" s="265"/>
      <c r="E110" s="265"/>
      <c r="F110" s="265"/>
    </row>
    <row r="111" spans="1:6">
      <c r="A111" s="393"/>
      <c r="B111" s="83"/>
      <c r="C111" s="83"/>
      <c r="D111" s="265"/>
      <c r="E111" s="265"/>
      <c r="F111" s="265"/>
    </row>
  </sheetData>
  <autoFilter ref="A1:F100" xr:uid="{00000000-0009-0000-0000-000007000000}">
    <sortState xmlns:xlrd2="http://schemas.microsoft.com/office/spreadsheetml/2017/richdata2" ref="A2:F100">
      <sortCondition ref="D2:D102"/>
      <sortCondition ref="E2:E102"/>
      <sortCondition ref="B2:B102"/>
      <sortCondition ref="A2:A102"/>
    </sortState>
  </autoFilter>
  <sortState xmlns:xlrd2="http://schemas.microsoft.com/office/spreadsheetml/2017/richdata2" ref="A2:F63">
    <sortCondition ref="B2:B63"/>
    <sortCondition ref="A2:A63"/>
  </sortState>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
  <dimension ref="A1:M101"/>
  <sheetViews>
    <sheetView workbookViewId="0">
      <selection activeCell="I2" sqref="I2"/>
    </sheetView>
  </sheetViews>
  <sheetFormatPr defaultRowHeight="12.75"/>
  <cols>
    <col min="3" max="3" width="9.1328125" style="4" customWidth="1"/>
    <col min="4" max="4" width="16.59765625" customWidth="1"/>
    <col min="5" max="5" width="10.59765625" customWidth="1"/>
    <col min="7" max="7" width="4.265625" customWidth="1"/>
    <col min="8" max="8" width="10.73046875" customWidth="1"/>
    <col min="9" max="9" width="11.1328125" customWidth="1"/>
    <col min="13" max="13" width="13.265625" customWidth="1"/>
  </cols>
  <sheetData>
    <row r="1" spans="1:13">
      <c r="A1" s="401" t="s">
        <v>363</v>
      </c>
      <c r="B1" s="4" t="s">
        <v>238</v>
      </c>
      <c r="C1" s="4" t="s">
        <v>262</v>
      </c>
      <c r="D1" s="49" t="s">
        <v>263</v>
      </c>
      <c r="E1" s="49" t="s">
        <v>264</v>
      </c>
      <c r="F1" s="49" t="s">
        <v>265</v>
      </c>
      <c r="G1" s="49"/>
      <c r="H1" s="390" t="s">
        <v>149</v>
      </c>
      <c r="I1" s="391">
        <f>M2-550</f>
        <v>690</v>
      </c>
      <c r="K1" t="s">
        <v>238</v>
      </c>
      <c r="L1" t="s">
        <v>266</v>
      </c>
      <c r="M1" s="389" t="s">
        <v>286</v>
      </c>
    </row>
    <row r="2" spans="1:13">
      <c r="A2" t="str">
        <f>CONCATENATE(B2,C2)</f>
        <v>A1</v>
      </c>
      <c r="B2" s="9" t="s">
        <v>240</v>
      </c>
      <c r="C2" s="4">
        <v>1</v>
      </c>
      <c r="D2">
        <v>45</v>
      </c>
      <c r="E2">
        <v>35</v>
      </c>
      <c r="F2" s="266">
        <f t="shared" ref="F2:F7" si="0">PotA*E2/100</f>
        <v>108.675</v>
      </c>
      <c r="H2" s="114" t="s">
        <v>267</v>
      </c>
      <c r="I2" s="392">
        <f>pot*0.45</f>
        <v>310.5</v>
      </c>
      <c r="K2" s="4">
        <v>1</v>
      </c>
      <c r="L2">
        <v>45</v>
      </c>
      <c r="M2" s="392">
        <f>entrants*20</f>
        <v>1240</v>
      </c>
    </row>
    <row r="3" spans="1:13">
      <c r="A3" t="str">
        <f t="shared" ref="A3:A63" si="1">CONCATENATE(B3,C3)</f>
        <v>A2</v>
      </c>
      <c r="B3" s="9" t="s">
        <v>240</v>
      </c>
      <c r="C3" s="4">
        <v>2</v>
      </c>
      <c r="E3">
        <v>25</v>
      </c>
      <c r="F3" s="266">
        <f t="shared" si="0"/>
        <v>77.625</v>
      </c>
      <c r="H3" s="114" t="s">
        <v>268</v>
      </c>
      <c r="I3" s="392">
        <f>pot*0.3</f>
        <v>207</v>
      </c>
      <c r="K3" s="4">
        <v>2</v>
      </c>
      <c r="L3">
        <v>30</v>
      </c>
    </row>
    <row r="4" spans="1:13">
      <c r="A4" t="str">
        <f t="shared" si="1"/>
        <v>A3</v>
      </c>
      <c r="B4" s="9" t="s">
        <v>240</v>
      </c>
      <c r="C4" s="4">
        <v>3</v>
      </c>
      <c r="E4">
        <v>18</v>
      </c>
      <c r="F4" s="266">
        <f t="shared" si="0"/>
        <v>55.89</v>
      </c>
      <c r="H4" s="114" t="s">
        <v>269</v>
      </c>
      <c r="I4" s="392">
        <f>pot*0.15</f>
        <v>103.5</v>
      </c>
      <c r="K4" s="4">
        <v>3</v>
      </c>
      <c r="L4">
        <v>15</v>
      </c>
    </row>
    <row r="5" spans="1:13">
      <c r="A5" t="str">
        <f t="shared" si="1"/>
        <v>A4</v>
      </c>
      <c r="B5" s="9" t="s">
        <v>240</v>
      </c>
      <c r="C5" s="4">
        <v>4</v>
      </c>
      <c r="E5">
        <v>12</v>
      </c>
      <c r="F5" s="266">
        <f t="shared" si="0"/>
        <v>37.26</v>
      </c>
      <c r="H5" s="114" t="s">
        <v>270</v>
      </c>
      <c r="I5" s="392">
        <f>pot*0.1</f>
        <v>69</v>
      </c>
      <c r="K5" s="4">
        <v>4</v>
      </c>
      <c r="L5">
        <v>10</v>
      </c>
    </row>
    <row r="6" spans="1:13">
      <c r="A6" t="str">
        <f t="shared" si="1"/>
        <v>A5</v>
      </c>
      <c r="B6" s="9" t="s">
        <v>240</v>
      </c>
      <c r="C6" s="4">
        <v>5</v>
      </c>
      <c r="E6">
        <v>7</v>
      </c>
      <c r="F6" s="266">
        <f t="shared" si="0"/>
        <v>21.734999999999999</v>
      </c>
      <c r="L6">
        <f>SUM(L2:L5)</f>
        <v>100</v>
      </c>
    </row>
    <row r="7" spans="1:13">
      <c r="A7" t="str">
        <f t="shared" si="1"/>
        <v>A6</v>
      </c>
      <c r="B7" s="9" t="s">
        <v>240</v>
      </c>
      <c r="C7" s="4">
        <v>6</v>
      </c>
      <c r="E7">
        <v>3</v>
      </c>
      <c r="F7" s="266">
        <f t="shared" si="0"/>
        <v>9.3149999999999995</v>
      </c>
    </row>
    <row r="8" spans="1:13">
      <c r="A8" t="str">
        <f t="shared" si="1"/>
        <v>A7</v>
      </c>
      <c r="B8" s="9" t="s">
        <v>240</v>
      </c>
      <c r="C8" s="4">
        <v>7</v>
      </c>
      <c r="F8">
        <v>0</v>
      </c>
    </row>
    <row r="9" spans="1:13">
      <c r="A9" t="str">
        <f t="shared" si="1"/>
        <v>A8</v>
      </c>
      <c r="B9" s="9" t="s">
        <v>240</v>
      </c>
      <c r="C9" s="4">
        <v>8</v>
      </c>
      <c r="F9">
        <v>0</v>
      </c>
    </row>
    <row r="10" spans="1:13">
      <c r="A10" t="str">
        <f t="shared" si="1"/>
        <v>A9</v>
      </c>
      <c r="B10" s="9" t="s">
        <v>240</v>
      </c>
      <c r="C10" s="4">
        <v>9</v>
      </c>
      <c r="F10">
        <v>0</v>
      </c>
    </row>
    <row r="11" spans="1:13">
      <c r="A11" t="str">
        <f t="shared" si="1"/>
        <v>A10</v>
      </c>
      <c r="B11" s="9" t="s">
        <v>240</v>
      </c>
      <c r="C11" s="4">
        <v>10</v>
      </c>
      <c r="F11">
        <v>0</v>
      </c>
    </row>
    <row r="12" spans="1:13">
      <c r="A12" t="str">
        <f t="shared" si="1"/>
        <v>A11</v>
      </c>
      <c r="B12" s="9" t="s">
        <v>240</v>
      </c>
      <c r="C12" s="4">
        <v>11</v>
      </c>
      <c r="F12">
        <v>0</v>
      </c>
    </row>
    <row r="13" spans="1:13">
      <c r="A13" t="str">
        <f t="shared" si="1"/>
        <v>A12</v>
      </c>
      <c r="B13" s="9" t="s">
        <v>240</v>
      </c>
      <c r="C13" s="4">
        <v>12</v>
      </c>
      <c r="F13">
        <v>0</v>
      </c>
    </row>
    <row r="14" spans="1:13">
      <c r="A14" t="str">
        <f t="shared" si="1"/>
        <v>A13</v>
      </c>
      <c r="B14" s="9" t="s">
        <v>240</v>
      </c>
      <c r="C14" s="4">
        <v>13</v>
      </c>
      <c r="F14">
        <v>0</v>
      </c>
    </row>
    <row r="15" spans="1:13">
      <c r="A15" t="str">
        <f t="shared" si="1"/>
        <v>A14</v>
      </c>
      <c r="B15" s="9" t="s">
        <v>240</v>
      </c>
      <c r="C15" s="4">
        <v>14</v>
      </c>
      <c r="F15">
        <v>0</v>
      </c>
    </row>
    <row r="16" spans="1:13">
      <c r="A16" t="str">
        <f t="shared" si="1"/>
        <v>A15</v>
      </c>
      <c r="B16" s="9" t="s">
        <v>240</v>
      </c>
      <c r="C16" s="4">
        <v>15</v>
      </c>
      <c r="F16">
        <v>0</v>
      </c>
    </row>
    <row r="17" spans="1:6">
      <c r="A17" t="str">
        <f t="shared" si="1"/>
        <v>A16</v>
      </c>
      <c r="B17" s="9" t="s">
        <v>240</v>
      </c>
      <c r="C17" s="4">
        <v>16</v>
      </c>
      <c r="F17">
        <v>0</v>
      </c>
    </row>
    <row r="18" spans="1:6">
      <c r="A18" t="str">
        <f t="shared" si="1"/>
        <v>B1</v>
      </c>
      <c r="B18" s="9" t="s">
        <v>241</v>
      </c>
      <c r="C18" s="4">
        <v>1</v>
      </c>
      <c r="D18">
        <v>30</v>
      </c>
      <c r="E18">
        <v>35</v>
      </c>
      <c r="F18" s="266">
        <f t="shared" ref="F18:F23" si="2">PotB*E18/100</f>
        <v>72.45</v>
      </c>
    </row>
    <row r="19" spans="1:6">
      <c r="A19" t="str">
        <f t="shared" si="1"/>
        <v>B2</v>
      </c>
      <c r="B19" s="9" t="s">
        <v>241</v>
      </c>
      <c r="C19" s="4">
        <v>2</v>
      </c>
      <c r="E19">
        <v>25</v>
      </c>
      <c r="F19" s="266">
        <f t="shared" si="2"/>
        <v>51.75</v>
      </c>
    </row>
    <row r="20" spans="1:6">
      <c r="A20" t="str">
        <f t="shared" si="1"/>
        <v>B3</v>
      </c>
      <c r="B20" s="9" t="s">
        <v>241</v>
      </c>
      <c r="C20" s="4">
        <v>3</v>
      </c>
      <c r="E20">
        <v>18</v>
      </c>
      <c r="F20" s="266">
        <f t="shared" si="2"/>
        <v>37.26</v>
      </c>
    </row>
    <row r="21" spans="1:6">
      <c r="A21" t="str">
        <f t="shared" si="1"/>
        <v>B4</v>
      </c>
      <c r="B21" s="9" t="s">
        <v>241</v>
      </c>
      <c r="C21" s="4">
        <v>4</v>
      </c>
      <c r="E21">
        <v>12</v>
      </c>
      <c r="F21" s="266">
        <f t="shared" si="2"/>
        <v>24.84</v>
      </c>
    </row>
    <row r="22" spans="1:6">
      <c r="A22" t="str">
        <f t="shared" si="1"/>
        <v>B5</v>
      </c>
      <c r="B22" s="9" t="s">
        <v>241</v>
      </c>
      <c r="C22" s="4">
        <v>5</v>
      </c>
      <c r="E22">
        <v>7</v>
      </c>
      <c r="F22" s="266">
        <f t="shared" si="2"/>
        <v>14.49</v>
      </c>
    </row>
    <row r="23" spans="1:6">
      <c r="A23" t="str">
        <f t="shared" si="1"/>
        <v>B6</v>
      </c>
      <c r="B23" s="9" t="s">
        <v>241</v>
      </c>
      <c r="C23" s="4">
        <v>6</v>
      </c>
      <c r="E23">
        <v>3</v>
      </c>
      <c r="F23" s="266">
        <f t="shared" si="2"/>
        <v>6.21</v>
      </c>
    </row>
    <row r="24" spans="1:6">
      <c r="A24" t="str">
        <f t="shared" si="1"/>
        <v>B7</v>
      </c>
      <c r="B24" s="9" t="s">
        <v>241</v>
      </c>
      <c r="C24" s="4">
        <v>7</v>
      </c>
      <c r="F24">
        <v>0</v>
      </c>
    </row>
    <row r="25" spans="1:6">
      <c r="A25" t="str">
        <f t="shared" si="1"/>
        <v>B8</v>
      </c>
      <c r="B25" s="9" t="s">
        <v>241</v>
      </c>
      <c r="C25" s="4">
        <v>8</v>
      </c>
      <c r="F25">
        <v>0</v>
      </c>
    </row>
    <row r="26" spans="1:6">
      <c r="A26" t="str">
        <f t="shared" si="1"/>
        <v>B9</v>
      </c>
      <c r="B26" s="9" t="s">
        <v>241</v>
      </c>
      <c r="C26" s="4">
        <v>9</v>
      </c>
      <c r="F26">
        <v>0</v>
      </c>
    </row>
    <row r="27" spans="1:6">
      <c r="A27" t="str">
        <f t="shared" si="1"/>
        <v>B10</v>
      </c>
      <c r="B27" s="9" t="s">
        <v>241</v>
      </c>
      <c r="C27" s="4">
        <v>10</v>
      </c>
      <c r="F27">
        <v>0</v>
      </c>
    </row>
    <row r="28" spans="1:6">
      <c r="A28" t="str">
        <f t="shared" si="1"/>
        <v>B11</v>
      </c>
      <c r="B28" s="9" t="s">
        <v>241</v>
      </c>
      <c r="C28" s="4">
        <v>11</v>
      </c>
      <c r="F28">
        <v>0</v>
      </c>
    </row>
    <row r="29" spans="1:6">
      <c r="A29" t="str">
        <f t="shared" si="1"/>
        <v>B12</v>
      </c>
      <c r="B29" s="9" t="s">
        <v>241</v>
      </c>
      <c r="C29" s="4">
        <v>12</v>
      </c>
      <c r="F29">
        <v>0</v>
      </c>
    </row>
    <row r="30" spans="1:6">
      <c r="A30" t="str">
        <f t="shared" si="1"/>
        <v>B13</v>
      </c>
      <c r="B30" s="9" t="s">
        <v>241</v>
      </c>
      <c r="C30" s="4">
        <v>13</v>
      </c>
      <c r="F30">
        <v>0</v>
      </c>
    </row>
    <row r="31" spans="1:6">
      <c r="A31" t="str">
        <f t="shared" si="1"/>
        <v>B14</v>
      </c>
      <c r="B31" s="9" t="s">
        <v>241</v>
      </c>
      <c r="C31" s="4">
        <v>14</v>
      </c>
      <c r="F31">
        <v>0</v>
      </c>
    </row>
    <row r="32" spans="1:6">
      <c r="A32" t="str">
        <f t="shared" si="1"/>
        <v>B15</v>
      </c>
      <c r="B32" s="9" t="s">
        <v>241</v>
      </c>
      <c r="C32" s="4">
        <v>15</v>
      </c>
      <c r="F32">
        <v>0</v>
      </c>
    </row>
    <row r="33" spans="1:6">
      <c r="A33" t="str">
        <f t="shared" si="1"/>
        <v>B16</v>
      </c>
      <c r="B33" s="9" t="s">
        <v>241</v>
      </c>
      <c r="C33" s="4">
        <v>16</v>
      </c>
      <c r="F33">
        <v>0</v>
      </c>
    </row>
    <row r="34" spans="1:6">
      <c r="A34" t="str">
        <f t="shared" si="1"/>
        <v>C1</v>
      </c>
      <c r="B34" s="9" t="s">
        <v>242</v>
      </c>
      <c r="C34" s="4">
        <v>1</v>
      </c>
      <c r="D34">
        <v>15</v>
      </c>
      <c r="E34">
        <v>35</v>
      </c>
      <c r="F34" s="266">
        <f t="shared" ref="F34:F39" si="3">PotC*E34/100</f>
        <v>36.225000000000001</v>
      </c>
    </row>
    <row r="35" spans="1:6">
      <c r="A35" t="str">
        <f t="shared" si="1"/>
        <v>C2</v>
      </c>
      <c r="B35" s="9" t="s">
        <v>242</v>
      </c>
      <c r="C35" s="4">
        <v>2</v>
      </c>
      <c r="E35">
        <v>25</v>
      </c>
      <c r="F35" s="266">
        <f t="shared" si="3"/>
        <v>25.875</v>
      </c>
    </row>
    <row r="36" spans="1:6">
      <c r="A36" t="str">
        <f t="shared" si="1"/>
        <v>C3</v>
      </c>
      <c r="B36" s="9" t="s">
        <v>242</v>
      </c>
      <c r="C36" s="4">
        <v>3</v>
      </c>
      <c r="E36">
        <v>18</v>
      </c>
      <c r="F36" s="266">
        <f t="shared" si="3"/>
        <v>18.63</v>
      </c>
    </row>
    <row r="37" spans="1:6">
      <c r="A37" t="str">
        <f t="shared" si="1"/>
        <v>C4</v>
      </c>
      <c r="B37" s="9" t="s">
        <v>242</v>
      </c>
      <c r="C37" s="4">
        <v>4</v>
      </c>
      <c r="E37">
        <v>12</v>
      </c>
      <c r="F37" s="266">
        <f t="shared" si="3"/>
        <v>12.42</v>
      </c>
    </row>
    <row r="38" spans="1:6">
      <c r="A38" t="str">
        <f t="shared" si="1"/>
        <v>C5</v>
      </c>
      <c r="B38" s="9" t="s">
        <v>242</v>
      </c>
      <c r="C38" s="4">
        <v>5</v>
      </c>
      <c r="E38">
        <v>7</v>
      </c>
      <c r="F38" s="266">
        <f t="shared" si="3"/>
        <v>7.2450000000000001</v>
      </c>
    </row>
    <row r="39" spans="1:6">
      <c r="A39" t="str">
        <f t="shared" si="1"/>
        <v>C6</v>
      </c>
      <c r="B39" s="9" t="s">
        <v>242</v>
      </c>
      <c r="C39" s="4">
        <v>6</v>
      </c>
      <c r="E39">
        <v>3</v>
      </c>
      <c r="F39" s="266">
        <f t="shared" si="3"/>
        <v>3.105</v>
      </c>
    </row>
    <row r="40" spans="1:6">
      <c r="A40" t="str">
        <f t="shared" si="1"/>
        <v>C7</v>
      </c>
      <c r="B40" s="9" t="s">
        <v>242</v>
      </c>
      <c r="C40" s="4">
        <v>7</v>
      </c>
      <c r="F40">
        <v>0</v>
      </c>
    </row>
    <row r="41" spans="1:6">
      <c r="A41" t="str">
        <f t="shared" si="1"/>
        <v>C8</v>
      </c>
      <c r="B41" s="9" t="s">
        <v>242</v>
      </c>
      <c r="C41" s="4">
        <v>8</v>
      </c>
      <c r="F41">
        <v>0</v>
      </c>
    </row>
    <row r="42" spans="1:6">
      <c r="A42" t="str">
        <f t="shared" si="1"/>
        <v>C9</v>
      </c>
      <c r="B42" s="9" t="s">
        <v>242</v>
      </c>
      <c r="C42" s="4">
        <v>9</v>
      </c>
      <c r="F42">
        <v>0</v>
      </c>
    </row>
    <row r="43" spans="1:6">
      <c r="A43" t="str">
        <f t="shared" si="1"/>
        <v>C10</v>
      </c>
      <c r="B43" s="9" t="s">
        <v>242</v>
      </c>
      <c r="C43" s="4">
        <v>10</v>
      </c>
      <c r="F43">
        <v>0</v>
      </c>
    </row>
    <row r="44" spans="1:6">
      <c r="A44" t="str">
        <f t="shared" si="1"/>
        <v>C11</v>
      </c>
      <c r="B44" s="9" t="s">
        <v>242</v>
      </c>
      <c r="C44" s="4">
        <v>11</v>
      </c>
      <c r="F44">
        <v>0</v>
      </c>
    </row>
    <row r="45" spans="1:6">
      <c r="A45" t="str">
        <f t="shared" si="1"/>
        <v>C12</v>
      </c>
      <c r="B45" s="9" t="s">
        <v>242</v>
      </c>
      <c r="C45" s="4">
        <v>12</v>
      </c>
      <c r="F45">
        <v>0</v>
      </c>
    </row>
    <row r="46" spans="1:6">
      <c r="A46" t="str">
        <f t="shared" si="1"/>
        <v>C13</v>
      </c>
      <c r="B46" s="9" t="s">
        <v>242</v>
      </c>
      <c r="C46" s="4">
        <v>13</v>
      </c>
      <c r="F46">
        <v>0</v>
      </c>
    </row>
    <row r="47" spans="1:6">
      <c r="A47" t="str">
        <f t="shared" si="1"/>
        <v>C14</v>
      </c>
      <c r="B47" s="9" t="s">
        <v>242</v>
      </c>
      <c r="C47" s="4">
        <v>14</v>
      </c>
      <c r="F47">
        <v>0</v>
      </c>
    </row>
    <row r="48" spans="1:6">
      <c r="A48" t="str">
        <f t="shared" si="1"/>
        <v>C15</v>
      </c>
      <c r="B48" s="9" t="s">
        <v>242</v>
      </c>
      <c r="C48" s="4">
        <v>15</v>
      </c>
      <c r="F48">
        <v>0</v>
      </c>
    </row>
    <row r="49" spans="1:6">
      <c r="A49" t="str">
        <f t="shared" si="1"/>
        <v>C16</v>
      </c>
      <c r="B49" s="9" t="s">
        <v>242</v>
      </c>
      <c r="C49" s="4">
        <v>16</v>
      </c>
      <c r="F49">
        <v>0</v>
      </c>
    </row>
    <row r="50" spans="1:6">
      <c r="A50" t="str">
        <f t="shared" si="1"/>
        <v>D1</v>
      </c>
      <c r="B50" s="9" t="s">
        <v>243</v>
      </c>
      <c r="C50" s="4">
        <v>1</v>
      </c>
      <c r="D50">
        <v>10</v>
      </c>
      <c r="E50">
        <v>35</v>
      </c>
      <c r="F50" s="266">
        <f t="shared" ref="F50:F55" si="4">PotD*E50/100</f>
        <v>24.15</v>
      </c>
    </row>
    <row r="51" spans="1:6">
      <c r="A51" t="str">
        <f t="shared" si="1"/>
        <v>D2</v>
      </c>
      <c r="B51" s="9" t="s">
        <v>243</v>
      </c>
      <c r="C51" s="4">
        <v>2</v>
      </c>
      <c r="E51">
        <v>25</v>
      </c>
      <c r="F51" s="266">
        <f t="shared" si="4"/>
        <v>17.25</v>
      </c>
    </row>
    <row r="52" spans="1:6">
      <c r="A52" t="str">
        <f t="shared" si="1"/>
        <v>D3</v>
      </c>
      <c r="B52" s="9" t="s">
        <v>243</v>
      </c>
      <c r="C52" s="4">
        <v>3</v>
      </c>
      <c r="E52">
        <v>18</v>
      </c>
      <c r="F52" s="266">
        <f t="shared" si="4"/>
        <v>12.42</v>
      </c>
    </row>
    <row r="53" spans="1:6">
      <c r="A53" t="str">
        <f t="shared" si="1"/>
        <v>D4</v>
      </c>
      <c r="B53" s="9" t="s">
        <v>243</v>
      </c>
      <c r="C53" s="4">
        <v>4</v>
      </c>
      <c r="E53">
        <v>12</v>
      </c>
      <c r="F53" s="266">
        <f t="shared" si="4"/>
        <v>8.2799999999999994</v>
      </c>
    </row>
    <row r="54" spans="1:6">
      <c r="A54" t="str">
        <f t="shared" si="1"/>
        <v>D5</v>
      </c>
      <c r="B54" s="9" t="s">
        <v>243</v>
      </c>
      <c r="C54" s="4">
        <v>5</v>
      </c>
      <c r="E54">
        <v>7</v>
      </c>
      <c r="F54" s="266">
        <f t="shared" si="4"/>
        <v>4.83</v>
      </c>
    </row>
    <row r="55" spans="1:6">
      <c r="A55" t="str">
        <f t="shared" si="1"/>
        <v>D6</v>
      </c>
      <c r="B55" s="9" t="s">
        <v>243</v>
      </c>
      <c r="C55" s="4">
        <v>6</v>
      </c>
      <c r="E55">
        <v>3</v>
      </c>
      <c r="F55" s="266">
        <f t="shared" si="4"/>
        <v>2.0699999999999998</v>
      </c>
    </row>
    <row r="56" spans="1:6">
      <c r="A56" t="str">
        <f t="shared" si="1"/>
        <v>D7</v>
      </c>
      <c r="B56" s="9" t="s">
        <v>243</v>
      </c>
      <c r="C56" s="4">
        <v>7</v>
      </c>
      <c r="F56">
        <v>0</v>
      </c>
    </row>
    <row r="57" spans="1:6">
      <c r="A57" t="str">
        <f t="shared" si="1"/>
        <v>D8</v>
      </c>
      <c r="B57" s="9" t="s">
        <v>243</v>
      </c>
      <c r="C57" s="4">
        <v>8</v>
      </c>
      <c r="F57">
        <v>0</v>
      </c>
    </row>
    <row r="58" spans="1:6">
      <c r="A58" t="str">
        <f t="shared" si="1"/>
        <v>D9</v>
      </c>
      <c r="B58" s="9" t="s">
        <v>243</v>
      </c>
      <c r="C58" s="4">
        <v>9</v>
      </c>
      <c r="F58">
        <v>0</v>
      </c>
    </row>
    <row r="59" spans="1:6">
      <c r="A59" t="str">
        <f t="shared" si="1"/>
        <v>D10</v>
      </c>
      <c r="B59" s="9" t="s">
        <v>243</v>
      </c>
      <c r="C59" s="4">
        <v>10</v>
      </c>
      <c r="F59">
        <v>0</v>
      </c>
    </row>
    <row r="60" spans="1:6">
      <c r="A60" t="str">
        <f t="shared" si="1"/>
        <v>D11</v>
      </c>
      <c r="B60" s="9" t="s">
        <v>243</v>
      </c>
      <c r="C60" s="4">
        <v>11</v>
      </c>
      <c r="F60">
        <v>0</v>
      </c>
    </row>
    <row r="61" spans="1:6">
      <c r="A61" t="str">
        <f t="shared" si="1"/>
        <v>D12</v>
      </c>
      <c r="B61" s="9" t="s">
        <v>243</v>
      </c>
      <c r="C61" s="4">
        <v>12</v>
      </c>
      <c r="F61">
        <v>0</v>
      </c>
    </row>
    <row r="62" spans="1:6">
      <c r="A62" t="str">
        <f t="shared" si="1"/>
        <v>D13</v>
      </c>
      <c r="B62" s="9" t="s">
        <v>243</v>
      </c>
      <c r="C62" s="4">
        <v>13</v>
      </c>
      <c r="F62">
        <v>0</v>
      </c>
    </row>
    <row r="63" spans="1:6">
      <c r="A63" t="str">
        <f t="shared" si="1"/>
        <v>D14</v>
      </c>
      <c r="B63" s="9" t="s">
        <v>243</v>
      </c>
      <c r="C63" s="4">
        <v>14</v>
      </c>
      <c r="F63">
        <v>0</v>
      </c>
    </row>
    <row r="64" spans="1:6">
      <c r="A64" t="str">
        <f t="shared" ref="A64:A101" si="5">CONCATENATE(B64,C64)</f>
        <v>D15</v>
      </c>
      <c r="B64" s="9" t="s">
        <v>243</v>
      </c>
      <c r="C64" s="4">
        <v>15</v>
      </c>
      <c r="F64">
        <v>0</v>
      </c>
    </row>
    <row r="65" spans="1:6">
      <c r="A65" t="str">
        <f t="shared" si="5"/>
        <v>D16</v>
      </c>
      <c r="B65" s="9" t="s">
        <v>243</v>
      </c>
      <c r="C65" s="4">
        <v>16</v>
      </c>
      <c r="F65">
        <v>0</v>
      </c>
    </row>
    <row r="66" spans="1:6">
      <c r="A66" t="str">
        <f t="shared" si="5"/>
        <v>D17</v>
      </c>
      <c r="B66" s="9" t="s">
        <v>243</v>
      </c>
      <c r="C66" s="4">
        <v>17</v>
      </c>
      <c r="F66">
        <v>0</v>
      </c>
    </row>
    <row r="67" spans="1:6">
      <c r="A67" t="str">
        <f t="shared" si="5"/>
        <v>D18</v>
      </c>
      <c r="B67" s="9" t="s">
        <v>243</v>
      </c>
      <c r="C67" s="4">
        <v>18</v>
      </c>
      <c r="F67">
        <v>0</v>
      </c>
    </row>
    <row r="68" spans="1:6">
      <c r="A68" t="str">
        <f t="shared" si="5"/>
        <v>D19</v>
      </c>
      <c r="B68" s="9" t="s">
        <v>243</v>
      </c>
      <c r="C68" s="4">
        <v>19</v>
      </c>
      <c r="F68">
        <v>0</v>
      </c>
    </row>
    <row r="69" spans="1:6">
      <c r="A69" t="str">
        <f t="shared" si="5"/>
        <v>D20</v>
      </c>
      <c r="B69" s="9" t="s">
        <v>243</v>
      </c>
      <c r="C69" s="4">
        <v>20</v>
      </c>
      <c r="F69">
        <v>0</v>
      </c>
    </row>
    <row r="70" spans="1:6">
      <c r="A70" t="str">
        <f t="shared" si="5"/>
        <v>D21</v>
      </c>
      <c r="B70" s="9" t="s">
        <v>243</v>
      </c>
      <c r="C70" s="4">
        <v>21</v>
      </c>
      <c r="F70">
        <v>0</v>
      </c>
    </row>
    <row r="71" spans="1:6">
      <c r="A71" t="str">
        <f t="shared" si="5"/>
        <v>D22</v>
      </c>
      <c r="B71" s="9" t="s">
        <v>243</v>
      </c>
      <c r="C71" s="4">
        <v>22</v>
      </c>
      <c r="F71">
        <v>0</v>
      </c>
    </row>
    <row r="72" spans="1:6">
      <c r="A72" t="str">
        <f t="shared" si="5"/>
        <v>D23</v>
      </c>
      <c r="B72" s="9" t="s">
        <v>243</v>
      </c>
      <c r="C72" s="4">
        <v>23</v>
      </c>
      <c r="F72">
        <v>0</v>
      </c>
    </row>
    <row r="73" spans="1:6">
      <c r="A73" t="str">
        <f t="shared" si="5"/>
        <v>D24</v>
      </c>
      <c r="B73" s="9" t="s">
        <v>243</v>
      </c>
      <c r="C73" s="4">
        <v>24</v>
      </c>
      <c r="F73">
        <v>0</v>
      </c>
    </row>
    <row r="74" spans="1:6">
      <c r="A74" t="str">
        <f t="shared" si="5"/>
        <v>D25</v>
      </c>
      <c r="B74" s="9" t="s">
        <v>243</v>
      </c>
      <c r="C74" s="4">
        <v>25</v>
      </c>
      <c r="F74">
        <v>0</v>
      </c>
    </row>
    <row r="75" spans="1:6">
      <c r="A75" t="str">
        <f t="shared" si="5"/>
        <v>D26</v>
      </c>
      <c r="B75" s="9" t="s">
        <v>243</v>
      </c>
      <c r="C75" s="4">
        <v>26</v>
      </c>
      <c r="F75">
        <v>0</v>
      </c>
    </row>
    <row r="76" spans="1:6">
      <c r="A76" t="str">
        <f t="shared" si="5"/>
        <v>D27</v>
      </c>
      <c r="B76" s="9" t="s">
        <v>243</v>
      </c>
      <c r="C76" s="4">
        <v>27</v>
      </c>
      <c r="F76">
        <v>0</v>
      </c>
    </row>
    <row r="77" spans="1:6">
      <c r="A77" t="str">
        <f t="shared" si="5"/>
        <v>D28</v>
      </c>
      <c r="B77" s="9" t="s">
        <v>243</v>
      </c>
      <c r="C77" s="4">
        <v>28</v>
      </c>
      <c r="F77">
        <v>0</v>
      </c>
    </row>
    <row r="78" spans="1:6">
      <c r="A78" t="str">
        <f t="shared" si="5"/>
        <v>D29</v>
      </c>
      <c r="B78" s="9" t="s">
        <v>243</v>
      </c>
      <c r="C78" s="4">
        <v>29</v>
      </c>
      <c r="F78">
        <v>0</v>
      </c>
    </row>
    <row r="79" spans="1:6">
      <c r="A79" t="str">
        <f t="shared" si="5"/>
        <v>D30</v>
      </c>
      <c r="B79" s="9" t="s">
        <v>243</v>
      </c>
      <c r="C79" s="4">
        <v>30</v>
      </c>
      <c r="F79">
        <v>0</v>
      </c>
    </row>
    <row r="80" spans="1:6">
      <c r="A80" t="str">
        <f t="shared" si="5"/>
        <v>D31</v>
      </c>
      <c r="B80" s="9" t="s">
        <v>243</v>
      </c>
      <c r="C80" s="4">
        <v>31</v>
      </c>
      <c r="F80">
        <v>0</v>
      </c>
    </row>
    <row r="81" spans="1:6">
      <c r="A81" t="str">
        <f t="shared" si="5"/>
        <v>D32</v>
      </c>
      <c r="B81" s="9" t="s">
        <v>243</v>
      </c>
      <c r="C81" s="4">
        <v>32</v>
      </c>
      <c r="F81">
        <v>0</v>
      </c>
    </row>
    <row r="82" spans="1:6">
      <c r="A82" t="str">
        <f t="shared" si="5"/>
        <v>D33</v>
      </c>
      <c r="B82" s="9" t="s">
        <v>243</v>
      </c>
      <c r="C82" s="4">
        <v>33</v>
      </c>
      <c r="F82">
        <v>0</v>
      </c>
    </row>
    <row r="83" spans="1:6">
      <c r="A83" t="str">
        <f t="shared" si="5"/>
        <v>D34</v>
      </c>
      <c r="B83" s="9" t="s">
        <v>243</v>
      </c>
      <c r="C83" s="4">
        <v>34</v>
      </c>
      <c r="F83">
        <v>0</v>
      </c>
    </row>
    <row r="84" spans="1:6">
      <c r="A84" t="str">
        <f t="shared" si="5"/>
        <v>D35</v>
      </c>
      <c r="B84" s="9" t="s">
        <v>243</v>
      </c>
      <c r="C84" s="4">
        <v>35</v>
      </c>
      <c r="F84">
        <v>0</v>
      </c>
    </row>
    <row r="85" spans="1:6">
      <c r="A85" t="str">
        <f t="shared" si="5"/>
        <v>D36</v>
      </c>
      <c r="B85" s="9" t="s">
        <v>243</v>
      </c>
      <c r="C85" s="4">
        <v>36</v>
      </c>
      <c r="F85">
        <v>0</v>
      </c>
    </row>
    <row r="86" spans="1:6">
      <c r="A86" t="str">
        <f t="shared" si="5"/>
        <v>D37</v>
      </c>
      <c r="B86" s="9" t="s">
        <v>243</v>
      </c>
      <c r="C86" s="4">
        <v>37</v>
      </c>
      <c r="F86">
        <v>0</v>
      </c>
    </row>
    <row r="87" spans="1:6">
      <c r="A87" t="str">
        <f t="shared" si="5"/>
        <v>D38</v>
      </c>
      <c r="B87" s="9" t="s">
        <v>243</v>
      </c>
      <c r="C87" s="4">
        <v>38</v>
      </c>
      <c r="F87">
        <v>0</v>
      </c>
    </row>
    <row r="88" spans="1:6">
      <c r="A88" t="str">
        <f t="shared" si="5"/>
        <v>D39</v>
      </c>
      <c r="B88" s="9" t="s">
        <v>243</v>
      </c>
      <c r="C88" s="4">
        <v>39</v>
      </c>
      <c r="F88">
        <v>0</v>
      </c>
    </row>
    <row r="89" spans="1:6">
      <c r="A89" t="str">
        <f t="shared" si="5"/>
        <v>D40</v>
      </c>
      <c r="B89" s="9" t="s">
        <v>243</v>
      </c>
      <c r="C89" s="4">
        <v>40</v>
      </c>
      <c r="F89">
        <v>0</v>
      </c>
    </row>
    <row r="90" spans="1:6">
      <c r="A90" t="str">
        <f t="shared" si="5"/>
        <v>D41</v>
      </c>
      <c r="B90" s="9" t="s">
        <v>243</v>
      </c>
      <c r="C90" s="4">
        <v>41</v>
      </c>
      <c r="F90">
        <v>0</v>
      </c>
    </row>
    <row r="91" spans="1:6">
      <c r="A91" t="str">
        <f t="shared" si="5"/>
        <v>D42</v>
      </c>
      <c r="B91" s="9" t="s">
        <v>243</v>
      </c>
      <c r="C91" s="4">
        <v>42</v>
      </c>
      <c r="F91">
        <v>0</v>
      </c>
    </row>
    <row r="92" spans="1:6">
      <c r="A92" t="str">
        <f t="shared" si="5"/>
        <v>D43</v>
      </c>
      <c r="B92" s="9" t="s">
        <v>243</v>
      </c>
      <c r="C92" s="4">
        <v>43</v>
      </c>
      <c r="F92">
        <v>0</v>
      </c>
    </row>
    <row r="93" spans="1:6">
      <c r="A93" t="str">
        <f t="shared" si="5"/>
        <v>D44</v>
      </c>
      <c r="B93" s="9" t="s">
        <v>243</v>
      </c>
      <c r="C93" s="4">
        <v>44</v>
      </c>
      <c r="F93">
        <v>0</v>
      </c>
    </row>
    <row r="94" spans="1:6">
      <c r="A94" t="str">
        <f t="shared" si="5"/>
        <v>D45</v>
      </c>
      <c r="B94" s="9" t="s">
        <v>243</v>
      </c>
      <c r="C94" s="4">
        <v>45</v>
      </c>
      <c r="F94">
        <v>0</v>
      </c>
    </row>
    <row r="95" spans="1:6">
      <c r="A95" t="str">
        <f t="shared" si="5"/>
        <v>D46</v>
      </c>
      <c r="B95" s="9" t="s">
        <v>243</v>
      </c>
      <c r="C95" s="4">
        <v>46</v>
      </c>
      <c r="F95">
        <v>0</v>
      </c>
    </row>
    <row r="96" spans="1:6">
      <c r="A96" t="str">
        <f t="shared" si="5"/>
        <v>D47</v>
      </c>
      <c r="B96" s="9" t="s">
        <v>243</v>
      </c>
      <c r="C96" s="4">
        <v>47</v>
      </c>
      <c r="F96">
        <v>0</v>
      </c>
    </row>
    <row r="97" spans="1:6">
      <c r="A97" t="str">
        <f t="shared" si="5"/>
        <v>D48</v>
      </c>
      <c r="B97" s="9" t="s">
        <v>243</v>
      </c>
      <c r="C97" s="4">
        <v>48</v>
      </c>
      <c r="F97">
        <v>0</v>
      </c>
    </row>
    <row r="98" spans="1:6">
      <c r="A98" t="str">
        <f t="shared" si="5"/>
        <v>D49</v>
      </c>
      <c r="B98" s="9" t="s">
        <v>243</v>
      </c>
      <c r="C98" s="4">
        <v>49</v>
      </c>
      <c r="F98">
        <v>0</v>
      </c>
    </row>
    <row r="99" spans="1:6">
      <c r="A99" t="str">
        <f t="shared" si="5"/>
        <v>D50</v>
      </c>
      <c r="B99" s="9" t="s">
        <v>243</v>
      </c>
      <c r="C99" s="4">
        <v>50</v>
      </c>
      <c r="F99">
        <v>0</v>
      </c>
    </row>
    <row r="100" spans="1:6">
      <c r="A100" t="str">
        <f t="shared" si="5"/>
        <v>D51</v>
      </c>
      <c r="B100" s="9" t="s">
        <v>243</v>
      </c>
      <c r="C100" s="4">
        <v>51</v>
      </c>
      <c r="F100">
        <v>0</v>
      </c>
    </row>
    <row r="101" spans="1:6">
      <c r="A101" t="str">
        <f t="shared" si="5"/>
        <v>D52</v>
      </c>
      <c r="B101" s="9" t="s">
        <v>243</v>
      </c>
      <c r="C101" s="4">
        <v>52</v>
      </c>
      <c r="F101">
        <v>0</v>
      </c>
    </row>
  </sheetData>
  <hyperlinks>
    <hyperlink ref="A1" location="Menu!A1" display="Menu!A1" xr:uid="{00000000-0004-0000-11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W50"/>
  <sheetViews>
    <sheetView workbookViewId="0">
      <selection activeCell="M3" sqref="M3"/>
    </sheetView>
  </sheetViews>
  <sheetFormatPr defaultRowHeight="12.75"/>
  <cols>
    <col min="1" max="1" width="2.73046875" customWidth="1"/>
    <col min="2" max="2" width="22.73046875" bestFit="1" customWidth="1"/>
    <col min="3" max="3" width="9.1328125" customWidth="1"/>
    <col min="5" max="5" width="9.1328125" customWidth="1"/>
    <col min="7" max="7" width="10.86328125" customWidth="1"/>
    <col min="8" max="8" width="3.1328125" customWidth="1"/>
    <col min="9" max="11" width="0" hidden="1" customWidth="1"/>
    <col min="13" max="13" width="9.86328125" bestFit="1" customWidth="1"/>
    <col min="14" max="14" width="4" customWidth="1"/>
  </cols>
  <sheetData>
    <row r="1" spans="1:23">
      <c r="A1" s="82"/>
      <c r="B1" s="82"/>
      <c r="C1" s="82"/>
      <c r="D1" s="82"/>
      <c r="E1" s="82"/>
      <c r="F1" s="82"/>
      <c r="G1" s="82"/>
      <c r="H1" s="82"/>
      <c r="I1" s="82"/>
      <c r="J1" s="82"/>
      <c r="K1" s="82"/>
      <c r="L1" s="82"/>
      <c r="M1" s="82"/>
      <c r="N1" s="82"/>
      <c r="O1" s="82"/>
    </row>
    <row r="2" spans="1:23" ht="13.5" thickBot="1">
      <c r="A2" s="82"/>
      <c r="B2" s="82"/>
      <c r="C2" s="82"/>
      <c r="D2" s="82"/>
      <c r="E2" s="82"/>
      <c r="F2" s="82"/>
      <c r="G2" s="82"/>
      <c r="H2" s="82"/>
      <c r="I2" s="82"/>
      <c r="J2" s="82"/>
      <c r="K2" s="82"/>
      <c r="L2" s="95"/>
      <c r="M2" s="95"/>
      <c r="N2" s="95"/>
      <c r="O2" s="419" t="s">
        <v>376</v>
      </c>
    </row>
    <row r="3" spans="1:23" ht="17.649999999999999" thickBot="1">
      <c r="A3" s="82"/>
      <c r="B3" s="420" t="s">
        <v>291</v>
      </c>
      <c r="C3" s="157"/>
      <c r="D3" s="157"/>
      <c r="E3" s="157"/>
      <c r="F3" s="157"/>
      <c r="G3" s="157"/>
      <c r="H3" s="157"/>
      <c r="I3" s="157"/>
      <c r="J3" s="157"/>
      <c r="K3" s="157"/>
      <c r="L3" s="421" t="s">
        <v>377</v>
      </c>
      <c r="M3" s="439">
        <f>INDEX(Table!I:I,MATCH(B3,Table!F:F,0))</f>
        <v>-3.3833078780194183</v>
      </c>
      <c r="N3" s="422"/>
      <c r="O3" s="440">
        <f>M3-7</f>
        <v>-10.383307878019419</v>
      </c>
    </row>
    <row r="4" spans="1:23" ht="13.15">
      <c r="A4" s="82"/>
      <c r="B4" s="82"/>
      <c r="C4" s="174" t="s">
        <v>25</v>
      </c>
      <c r="D4" s="438" t="s">
        <v>378</v>
      </c>
      <c r="E4" s="174" t="s">
        <v>189</v>
      </c>
      <c r="F4" s="174" t="s">
        <v>189</v>
      </c>
      <c r="G4" s="174" t="s">
        <v>25</v>
      </c>
      <c r="H4" s="179"/>
      <c r="I4" s="87"/>
      <c r="J4" s="87"/>
      <c r="K4" s="87"/>
      <c r="L4" s="423" t="s">
        <v>182</v>
      </c>
      <c r="M4" s="423" t="s">
        <v>183</v>
      </c>
      <c r="N4" s="424"/>
      <c r="O4" s="425">
        <f>IF(K4=0,0,1)+K4</f>
        <v>0</v>
      </c>
      <c r="V4" t="s">
        <v>300</v>
      </c>
      <c r="W4" t="s">
        <v>438</v>
      </c>
    </row>
    <row r="5" spans="1:23">
      <c r="A5" s="82"/>
      <c r="B5" s="82"/>
      <c r="C5" s="175" t="s">
        <v>190</v>
      </c>
      <c r="D5" s="426" t="s">
        <v>164</v>
      </c>
      <c r="E5" s="176" t="s">
        <v>27</v>
      </c>
      <c r="F5" s="176" t="s">
        <v>27</v>
      </c>
      <c r="G5" s="176" t="s">
        <v>13</v>
      </c>
      <c r="H5" s="179"/>
      <c r="I5" s="171">
        <f>F6</f>
        <v>0.7</v>
      </c>
      <c r="J5" s="171" t="e">
        <f>F7</f>
        <v>#N/A</v>
      </c>
      <c r="K5" s="171">
        <f>F8</f>
        <v>1.375</v>
      </c>
      <c r="L5" s="425">
        <f>IF(I5=0,0,1)+I5</f>
        <v>1.7</v>
      </c>
      <c r="M5" s="425" t="e">
        <f>IF(J5=0,0,1)+J5</f>
        <v>#N/A</v>
      </c>
      <c r="N5" s="425"/>
      <c r="O5" s="425">
        <f>IF(K5=0,0,1)+K5</f>
        <v>2.375</v>
      </c>
      <c r="P5" s="425" t="e">
        <f>IF(J5=0,0,(L5*J5)+L5)</f>
        <v>#N/A</v>
      </c>
      <c r="Q5" s="425" t="e">
        <f>IF(K5=0,0,(M5*K5)+M5)</f>
        <v>#N/A</v>
      </c>
      <c r="R5" s="425">
        <f>IF(I5=0,0,(O5*I5)+O5)</f>
        <v>4.0374999999999996</v>
      </c>
      <c r="S5" s="425" t="e">
        <f>IF(K5=0,0,(P5*K5)+P5)</f>
        <v>#N/A</v>
      </c>
      <c r="V5" t="s">
        <v>300</v>
      </c>
      <c r="W5" t="s">
        <v>437</v>
      </c>
    </row>
    <row r="6" spans="1:23" ht="16.149999999999999" thickBot="1">
      <c r="A6" s="82"/>
      <c r="B6" s="97" t="s">
        <v>453</v>
      </c>
      <c r="C6" s="177" t="s">
        <v>192</v>
      </c>
      <c r="D6" s="427">
        <f>INDEX(Picks!C:C,MATCH(B6,Picks!B:B,0))</f>
        <v>1</v>
      </c>
      <c r="E6" s="427">
        <f>INDEX(Picks!D:D,MATCH(B6,Picks!B:B,0))</f>
        <v>1.7</v>
      </c>
      <c r="F6" s="427">
        <f>+((E6-1)*G6)</f>
        <v>0.7</v>
      </c>
      <c r="G6" s="170">
        <v>1</v>
      </c>
      <c r="H6" s="179"/>
      <c r="I6" s="87"/>
      <c r="J6" s="87"/>
      <c r="K6" s="87"/>
      <c r="L6" s="428"/>
      <c r="M6" s="428"/>
      <c r="N6" s="423"/>
      <c r="O6" s="428"/>
      <c r="P6" s="428"/>
      <c r="Q6" s="428"/>
      <c r="R6" s="428"/>
      <c r="S6" s="428"/>
      <c r="V6" t="s">
        <v>300</v>
      </c>
      <c r="W6" t="s">
        <v>369</v>
      </c>
    </row>
    <row r="7" spans="1:23" ht="15.75">
      <c r="A7" s="82"/>
      <c r="B7" s="97" t="s">
        <v>177</v>
      </c>
      <c r="C7" s="177" t="s">
        <v>192</v>
      </c>
      <c r="D7" s="427" t="e">
        <f>INDEX(Picks!C:C,MATCH(B7,Picks!B:B,0))</f>
        <v>#N/A</v>
      </c>
      <c r="E7" s="427" t="e">
        <f>INDEX(Picks!D:D,MATCH(B7,Picks!B:B,0))</f>
        <v>#N/A</v>
      </c>
      <c r="F7" s="427" t="e">
        <f>+((E7-1)*G7)</f>
        <v>#N/A</v>
      </c>
      <c r="G7" s="170">
        <v>1</v>
      </c>
      <c r="H7" s="179"/>
      <c r="I7" s="87"/>
      <c r="J7" s="87"/>
      <c r="K7" s="87"/>
      <c r="L7" s="5" t="s">
        <v>13</v>
      </c>
      <c r="M7" s="5" t="s">
        <v>28</v>
      </c>
      <c r="N7" s="429"/>
      <c r="O7" s="430" t="s">
        <v>18</v>
      </c>
      <c r="P7" s="433"/>
      <c r="Q7" s="428"/>
      <c r="R7" s="428"/>
      <c r="S7" s="428"/>
      <c r="V7" t="s">
        <v>316</v>
      </c>
      <c r="W7" t="s">
        <v>369</v>
      </c>
    </row>
    <row r="8" spans="1:23" ht="16.149999999999999" thickBot="1">
      <c r="A8" s="82"/>
      <c r="B8" s="97" t="s">
        <v>449</v>
      </c>
      <c r="C8" s="177" t="s">
        <v>192</v>
      </c>
      <c r="D8" s="427">
        <f>INDEX(Picks!C:C,MATCH(B8,Picks!B:B,0))</f>
        <v>1</v>
      </c>
      <c r="E8" s="427">
        <f>INDEX(Picks!D:D,MATCH(B8,Picks!B:B,0))</f>
        <v>2.375</v>
      </c>
      <c r="F8" s="427">
        <f>+((E8-1)*G8)</f>
        <v>1.375</v>
      </c>
      <c r="G8" s="170">
        <v>1</v>
      </c>
      <c r="H8" s="179"/>
      <c r="I8" s="87"/>
      <c r="J8" s="87"/>
      <c r="K8" s="87"/>
      <c r="L8" s="6">
        <f>SUM(G6:G8)</f>
        <v>3</v>
      </c>
      <c r="M8" s="7" t="e">
        <f>SUM(L5:S5)-7</f>
        <v>#N/A</v>
      </c>
      <c r="N8" s="431"/>
      <c r="O8" s="432" t="e">
        <f>$M$3+M8</f>
        <v>#N/A</v>
      </c>
      <c r="P8" s="433"/>
      <c r="Q8" s="428"/>
      <c r="R8" s="428"/>
      <c r="S8" s="428"/>
      <c r="V8" t="s">
        <v>316</v>
      </c>
      <c r="W8" t="s">
        <v>177</v>
      </c>
    </row>
    <row r="9" spans="1:23">
      <c r="A9" s="82"/>
      <c r="B9" s="82"/>
      <c r="C9" s="82"/>
      <c r="D9" s="87"/>
      <c r="E9" s="87"/>
      <c r="F9" s="87"/>
      <c r="G9" s="87"/>
      <c r="H9" s="87"/>
      <c r="I9" s="82"/>
      <c r="J9" s="82"/>
      <c r="K9" s="87"/>
      <c r="L9" s="87"/>
      <c r="M9" s="87"/>
      <c r="N9" s="179"/>
      <c r="O9" s="428"/>
      <c r="P9" s="428"/>
      <c r="Q9" s="428"/>
      <c r="R9" s="428"/>
      <c r="S9" s="428"/>
      <c r="V9" t="s">
        <v>316</v>
      </c>
      <c r="W9" t="s">
        <v>454</v>
      </c>
    </row>
    <row r="10" spans="1:23">
      <c r="A10" s="82"/>
      <c r="B10" s="82"/>
      <c r="C10" s="82"/>
      <c r="D10" s="87"/>
      <c r="E10" s="87"/>
      <c r="F10" s="87"/>
      <c r="G10" s="87"/>
      <c r="H10" s="87"/>
      <c r="I10" s="82"/>
      <c r="J10" s="82"/>
      <c r="K10" s="87"/>
      <c r="L10" s="423"/>
      <c r="M10" s="423"/>
      <c r="N10" s="423"/>
      <c r="O10" s="423"/>
      <c r="P10" s="423"/>
      <c r="Q10" s="423"/>
      <c r="R10" s="423"/>
      <c r="S10" s="423"/>
      <c r="V10" t="s">
        <v>301</v>
      </c>
      <c r="W10" t="s">
        <v>452</v>
      </c>
    </row>
    <row r="11" spans="1:23">
      <c r="A11" s="82"/>
      <c r="B11" s="82"/>
      <c r="C11" s="174" t="s">
        <v>25</v>
      </c>
      <c r="D11" s="438" t="s">
        <v>378</v>
      </c>
      <c r="E11" s="174" t="s">
        <v>189</v>
      </c>
      <c r="F11" s="174" t="s">
        <v>189</v>
      </c>
      <c r="G11" s="174" t="s">
        <v>25</v>
      </c>
      <c r="H11" s="179"/>
      <c r="I11" s="87"/>
      <c r="J11" s="87"/>
      <c r="K11" s="87"/>
      <c r="L11" s="423" t="s">
        <v>182</v>
      </c>
      <c r="M11" s="423" t="s">
        <v>183</v>
      </c>
      <c r="N11" s="423"/>
      <c r="O11" s="423" t="s">
        <v>184</v>
      </c>
      <c r="P11" s="423" t="s">
        <v>185</v>
      </c>
      <c r="Q11" s="423" t="s">
        <v>186</v>
      </c>
      <c r="R11" s="423" t="s">
        <v>187</v>
      </c>
      <c r="S11" s="423" t="s">
        <v>188</v>
      </c>
      <c r="V11" t="s">
        <v>301</v>
      </c>
      <c r="W11" t="s">
        <v>451</v>
      </c>
    </row>
    <row r="12" spans="1:23">
      <c r="A12" s="82"/>
      <c r="B12" s="82"/>
      <c r="C12" s="175" t="s">
        <v>190</v>
      </c>
      <c r="D12" s="426" t="s">
        <v>164</v>
      </c>
      <c r="E12" s="176" t="s">
        <v>27</v>
      </c>
      <c r="F12" s="176" t="s">
        <v>27</v>
      </c>
      <c r="G12" s="176" t="s">
        <v>13</v>
      </c>
      <c r="H12" s="179"/>
      <c r="I12" s="171">
        <f>F13</f>
        <v>0.7</v>
      </c>
      <c r="J12" s="171" t="e">
        <f>F14</f>
        <v>#N/A</v>
      </c>
      <c r="K12" s="171">
        <f>F15</f>
        <v>0</v>
      </c>
      <c r="L12" s="425">
        <f>IF(I12=0,0,1)+I12</f>
        <v>1.7</v>
      </c>
      <c r="M12" s="425" t="e">
        <f>IF(J12=0,0,1)+J12</f>
        <v>#N/A</v>
      </c>
      <c r="N12" s="425"/>
      <c r="O12" s="425">
        <f>IF(K12=0,0,1)+K12</f>
        <v>0</v>
      </c>
      <c r="P12" s="425" t="e">
        <f>IF(J12=0,0,(L12*J12)+L12)</f>
        <v>#N/A</v>
      </c>
      <c r="Q12" s="425">
        <f>IF(K12=0,0,(M12*K12)+M12)</f>
        <v>0</v>
      </c>
      <c r="R12" s="425">
        <f>IF(I12=0,0,(O12*I12)+O12)</f>
        <v>0</v>
      </c>
      <c r="S12" s="425">
        <f>IF(K12=0,0,(P12*K12)+P12)</f>
        <v>0</v>
      </c>
      <c r="V12" t="s">
        <v>301</v>
      </c>
      <c r="W12" t="s">
        <v>369</v>
      </c>
    </row>
    <row r="13" spans="1:23" ht="16.149999999999999" thickBot="1">
      <c r="A13" s="82"/>
      <c r="B13" s="97" t="str">
        <f>game1</f>
        <v>Spurs</v>
      </c>
      <c r="C13" s="177" t="s">
        <v>192</v>
      </c>
      <c r="D13" s="427">
        <f>INDEX(Picks!C:C,MATCH(B13,Picks!B:B,0))</f>
        <v>1</v>
      </c>
      <c r="E13" s="427">
        <f>INDEX(Picks!D:D,MATCH(B13,Picks!B:B,0))</f>
        <v>1.7</v>
      </c>
      <c r="F13" s="427">
        <f>+((E13-1)*G13)</f>
        <v>0.7</v>
      </c>
      <c r="G13" s="170">
        <v>1</v>
      </c>
      <c r="H13" s="179"/>
      <c r="I13" s="87"/>
      <c r="J13" s="87"/>
      <c r="K13" s="87"/>
      <c r="L13" s="87"/>
      <c r="M13" s="87"/>
      <c r="N13" s="179"/>
      <c r="O13" s="428"/>
      <c r="P13" s="428"/>
      <c r="Q13" s="428"/>
      <c r="R13" s="428"/>
      <c r="S13" s="428"/>
      <c r="V13" t="s">
        <v>319</v>
      </c>
      <c r="W13" t="s">
        <v>450</v>
      </c>
    </row>
    <row r="14" spans="1:23" ht="15.75">
      <c r="A14" s="82"/>
      <c r="B14" s="97" t="str">
        <f>game2</f>
        <v>Sunderland</v>
      </c>
      <c r="C14" s="177" t="s">
        <v>192</v>
      </c>
      <c r="D14" s="427" t="e">
        <f>INDEX(Picks!C:C,MATCH(B14,Picks!B:B,0))</f>
        <v>#N/A</v>
      </c>
      <c r="E14" s="427" t="e">
        <f>INDEX(Picks!D:D,MATCH(B14,Picks!B:B,0))</f>
        <v>#N/A</v>
      </c>
      <c r="F14" s="427" t="e">
        <f>+((E14-1)*G14)</f>
        <v>#N/A</v>
      </c>
      <c r="G14" s="170">
        <v>1</v>
      </c>
      <c r="H14" s="179"/>
      <c r="I14" s="87"/>
      <c r="J14" s="87"/>
      <c r="K14" s="87"/>
      <c r="L14" s="5" t="s">
        <v>13</v>
      </c>
      <c r="M14" s="5" t="s">
        <v>28</v>
      </c>
      <c r="N14" s="429"/>
      <c r="O14" s="430" t="s">
        <v>18</v>
      </c>
      <c r="P14" s="433"/>
      <c r="Q14" s="428"/>
      <c r="R14" s="428"/>
      <c r="S14" s="428"/>
      <c r="V14" t="s">
        <v>319</v>
      </c>
      <c r="W14" t="s">
        <v>369</v>
      </c>
    </row>
    <row r="15" spans="1:23" ht="16.149999999999999" thickBot="1">
      <c r="A15" s="82"/>
      <c r="B15" s="97" t="str">
        <f>game3</f>
        <v>Sheff U</v>
      </c>
      <c r="C15" s="182" t="s">
        <v>191</v>
      </c>
      <c r="D15" s="427">
        <f>INDEX(Picks!C:C,MATCH(B15,Picks!B:B,0))</f>
        <v>1</v>
      </c>
      <c r="E15" s="427">
        <f>INDEX(Picks!D:D,MATCH(B15,Picks!B:B,0))</f>
        <v>2.375</v>
      </c>
      <c r="F15" s="427">
        <f>+((E15-1)*G15)</f>
        <v>0</v>
      </c>
      <c r="G15" s="170">
        <v>0</v>
      </c>
      <c r="H15" s="179"/>
      <c r="I15" s="87"/>
      <c r="J15" s="87"/>
      <c r="K15" s="87"/>
      <c r="L15" s="6">
        <f>SUM(G13:G15)</f>
        <v>2</v>
      </c>
      <c r="M15" s="7" t="e">
        <f>SUM(L12:S12)-7</f>
        <v>#N/A</v>
      </c>
      <c r="N15" s="431"/>
      <c r="O15" s="432" t="e">
        <f>$M$3+M15</f>
        <v>#N/A</v>
      </c>
      <c r="P15" s="433"/>
      <c r="Q15" s="428"/>
      <c r="R15" s="428"/>
      <c r="S15" s="428"/>
      <c r="V15" t="s">
        <v>319</v>
      </c>
      <c r="W15" t="s">
        <v>449</v>
      </c>
    </row>
    <row r="16" spans="1:23">
      <c r="A16" s="82"/>
      <c r="B16" s="82"/>
      <c r="C16" s="82"/>
      <c r="D16" s="87"/>
      <c r="E16" s="87"/>
      <c r="F16" s="87"/>
      <c r="G16" s="87"/>
      <c r="H16" s="87"/>
      <c r="I16" s="82"/>
      <c r="J16" s="82"/>
      <c r="K16" s="87"/>
      <c r="L16" s="87"/>
      <c r="M16" s="87"/>
      <c r="N16" s="179"/>
      <c r="O16" s="428"/>
      <c r="P16" s="428"/>
      <c r="Q16" s="428"/>
      <c r="R16" s="428"/>
      <c r="S16" s="428"/>
      <c r="V16" t="s">
        <v>291</v>
      </c>
      <c r="W16" t="s">
        <v>453</v>
      </c>
    </row>
    <row r="17" spans="1:23">
      <c r="A17" s="82"/>
      <c r="B17" s="82"/>
      <c r="C17" s="82"/>
      <c r="D17" s="87" t="s">
        <v>193</v>
      </c>
      <c r="E17" s="87"/>
      <c r="F17" s="87"/>
      <c r="G17" s="87"/>
      <c r="H17" s="87"/>
      <c r="I17" s="82"/>
      <c r="J17" s="82"/>
      <c r="K17" s="87"/>
      <c r="L17" s="423"/>
      <c r="M17" s="423"/>
      <c r="N17" s="423"/>
      <c r="O17" s="423"/>
      <c r="P17" s="423"/>
      <c r="Q17" s="423"/>
      <c r="R17" s="423"/>
      <c r="S17" s="423"/>
      <c r="V17" t="s">
        <v>291</v>
      </c>
      <c r="W17" t="s">
        <v>177</v>
      </c>
    </row>
    <row r="18" spans="1:23">
      <c r="A18" s="82"/>
      <c r="B18" s="82"/>
      <c r="C18" s="174" t="s">
        <v>25</v>
      </c>
      <c r="D18" s="438" t="s">
        <v>378</v>
      </c>
      <c r="E18" s="174" t="s">
        <v>189</v>
      </c>
      <c r="F18" s="174" t="s">
        <v>189</v>
      </c>
      <c r="G18" s="174" t="s">
        <v>25</v>
      </c>
      <c r="H18" s="179"/>
      <c r="I18" s="87"/>
      <c r="J18" s="87"/>
      <c r="K18" s="87"/>
      <c r="L18" s="423" t="s">
        <v>182</v>
      </c>
      <c r="M18" s="423" t="s">
        <v>183</v>
      </c>
      <c r="N18" s="423"/>
      <c r="O18" s="423" t="s">
        <v>184</v>
      </c>
      <c r="P18" s="423" t="s">
        <v>185</v>
      </c>
      <c r="Q18" s="423" t="s">
        <v>186</v>
      </c>
      <c r="R18" s="423" t="s">
        <v>187</v>
      </c>
      <c r="S18" s="423" t="s">
        <v>188</v>
      </c>
      <c r="V18" t="s">
        <v>291</v>
      </c>
      <c r="W18" t="s">
        <v>449</v>
      </c>
    </row>
    <row r="19" spans="1:23">
      <c r="A19" s="82"/>
      <c r="B19" s="82"/>
      <c r="C19" s="175" t="s">
        <v>190</v>
      </c>
      <c r="D19" s="426" t="s">
        <v>164</v>
      </c>
      <c r="E19" s="176" t="s">
        <v>27</v>
      </c>
      <c r="F19" s="176" t="s">
        <v>27</v>
      </c>
      <c r="G19" s="176" t="s">
        <v>13</v>
      </c>
      <c r="H19" s="179"/>
      <c r="I19" s="171">
        <f>F20</f>
        <v>0</v>
      </c>
      <c r="J19" s="171" t="e">
        <f>F21</f>
        <v>#N/A</v>
      </c>
      <c r="K19" s="171">
        <f>F22</f>
        <v>1.375</v>
      </c>
      <c r="L19" s="425">
        <f>IF(I19=0,0,1)+I19</f>
        <v>0</v>
      </c>
      <c r="M19" s="425" t="e">
        <f>IF(J19=0,0,1)+J19</f>
        <v>#N/A</v>
      </c>
      <c r="N19" s="425"/>
      <c r="O19" s="425">
        <f>IF(K19=0,0,1)+K19</f>
        <v>2.375</v>
      </c>
      <c r="P19" s="425" t="e">
        <f>IF(J19=0,0,(L19*J19)+L19)</f>
        <v>#N/A</v>
      </c>
      <c r="Q19" s="425" t="e">
        <f>IF(K19=0,0,(M19*K19)+M19)</f>
        <v>#N/A</v>
      </c>
      <c r="R19" s="425">
        <f>IF(I19=0,0,(O19*I19)+O19)</f>
        <v>0</v>
      </c>
      <c r="S19" s="425" t="e">
        <f>IF(K19=0,0,(P19*K19)+P19)</f>
        <v>#N/A</v>
      </c>
    </row>
    <row r="20" spans="1:23" ht="16.149999999999999" thickBot="1">
      <c r="A20" s="82"/>
      <c r="B20" s="97" t="str">
        <f>game1</f>
        <v>Spurs</v>
      </c>
      <c r="C20" s="182" t="s">
        <v>191</v>
      </c>
      <c r="D20" s="427">
        <f>INDEX(Picks!C:C,MATCH(B20,Picks!B:B,0))</f>
        <v>1</v>
      </c>
      <c r="E20" s="427">
        <f>INDEX(Picks!D:D,MATCH(B20,Picks!B:B,0))</f>
        <v>1.7</v>
      </c>
      <c r="F20" s="427">
        <f>+((E20-1)*G20)</f>
        <v>0</v>
      </c>
      <c r="G20" s="170">
        <v>0</v>
      </c>
      <c r="H20" s="179"/>
      <c r="I20" s="87"/>
      <c r="J20" s="87"/>
      <c r="K20" s="87"/>
      <c r="L20" s="87"/>
      <c r="M20" s="87"/>
      <c r="N20" s="179"/>
      <c r="O20" s="428"/>
      <c r="P20" s="428"/>
      <c r="Q20" s="428"/>
      <c r="R20" s="428"/>
      <c r="S20" s="428"/>
    </row>
    <row r="21" spans="1:23" ht="15.75">
      <c r="A21" s="82"/>
      <c r="B21" s="97" t="str">
        <f>game2</f>
        <v>Sunderland</v>
      </c>
      <c r="C21" s="177" t="s">
        <v>192</v>
      </c>
      <c r="D21" s="427" t="e">
        <f>INDEX(Picks!C:C,MATCH(B21,Picks!B:B,0))</f>
        <v>#N/A</v>
      </c>
      <c r="E21" s="427" t="e">
        <f>INDEX(Picks!D:D,MATCH(B21,Picks!B:B,0))</f>
        <v>#N/A</v>
      </c>
      <c r="F21" s="427" t="e">
        <f>+((E21-1)*G21)</f>
        <v>#N/A</v>
      </c>
      <c r="G21" s="170">
        <v>1</v>
      </c>
      <c r="H21" s="179"/>
      <c r="I21" s="87"/>
      <c r="J21" s="87"/>
      <c r="K21" s="87"/>
      <c r="L21" s="5" t="s">
        <v>13</v>
      </c>
      <c r="M21" s="5" t="s">
        <v>28</v>
      </c>
      <c r="N21" s="429"/>
      <c r="O21" s="430" t="s">
        <v>18</v>
      </c>
      <c r="P21" s="433"/>
      <c r="Q21" s="428"/>
      <c r="R21" s="428"/>
      <c r="S21" s="428"/>
    </row>
    <row r="22" spans="1:23" ht="16.149999999999999" thickBot="1">
      <c r="A22" s="82"/>
      <c r="B22" s="97" t="str">
        <f>game3</f>
        <v>Sheff U</v>
      </c>
      <c r="C22" s="177" t="s">
        <v>192</v>
      </c>
      <c r="D22" s="427">
        <f>INDEX(Picks!C:C,MATCH(B22,Picks!B:B,0))</f>
        <v>1</v>
      </c>
      <c r="E22" s="427">
        <f>INDEX(Picks!D:D,MATCH(B22,Picks!B:B,0))</f>
        <v>2.375</v>
      </c>
      <c r="F22" s="427">
        <f>+((E22-1)*G22)</f>
        <v>1.375</v>
      </c>
      <c r="G22" s="170">
        <v>1</v>
      </c>
      <c r="H22" s="179"/>
      <c r="I22" s="87"/>
      <c r="J22" s="87"/>
      <c r="K22" s="87"/>
      <c r="L22" s="6">
        <f>SUM(G20:G22)</f>
        <v>2</v>
      </c>
      <c r="M22" s="7" t="e">
        <f>SUM(L19:S19)-7</f>
        <v>#N/A</v>
      </c>
      <c r="N22" s="431"/>
      <c r="O22" s="432" t="e">
        <f>$M$3+M22</f>
        <v>#N/A</v>
      </c>
      <c r="P22" s="433"/>
      <c r="Q22" s="428"/>
      <c r="R22" s="428"/>
      <c r="S22" s="428"/>
    </row>
    <row r="23" spans="1:23" ht="13.15">
      <c r="A23" s="82"/>
      <c r="B23" s="82"/>
      <c r="C23" s="82"/>
      <c r="D23" s="87"/>
      <c r="E23" s="87"/>
      <c r="F23" s="87"/>
      <c r="G23" s="87"/>
      <c r="H23" s="87"/>
      <c r="I23" s="82"/>
      <c r="J23" s="82"/>
      <c r="K23" s="87"/>
      <c r="L23" s="180"/>
      <c r="M23" s="181"/>
      <c r="N23" s="181"/>
      <c r="O23" s="433"/>
      <c r="P23" s="433"/>
      <c r="Q23" s="428"/>
      <c r="R23" s="428"/>
      <c r="S23" s="428"/>
    </row>
    <row r="24" spans="1:23" ht="13.15">
      <c r="A24" s="82"/>
      <c r="B24" s="82"/>
      <c r="C24" s="82"/>
      <c r="D24" s="87"/>
      <c r="E24" s="87"/>
      <c r="F24" s="87"/>
      <c r="G24" s="87"/>
      <c r="H24" s="87"/>
      <c r="I24" s="82"/>
      <c r="J24" s="82"/>
      <c r="K24" s="87"/>
      <c r="L24" s="434"/>
      <c r="M24" s="435"/>
      <c r="N24" s="435"/>
      <c r="O24" s="436"/>
      <c r="P24" s="436"/>
      <c r="Q24" s="423"/>
      <c r="R24" s="423"/>
      <c r="S24" s="423"/>
    </row>
    <row r="25" spans="1:23">
      <c r="A25" s="82"/>
      <c r="B25" s="82"/>
      <c r="C25" s="174" t="s">
        <v>25</v>
      </c>
      <c r="D25" s="438" t="s">
        <v>378</v>
      </c>
      <c r="E25" s="174" t="s">
        <v>189</v>
      </c>
      <c r="F25" s="174" t="s">
        <v>189</v>
      </c>
      <c r="G25" s="174" t="s">
        <v>25</v>
      </c>
      <c r="H25" s="179"/>
      <c r="I25" s="87"/>
      <c r="J25" s="87"/>
      <c r="K25" s="87"/>
      <c r="L25" s="423" t="s">
        <v>182</v>
      </c>
      <c r="M25" s="423" t="s">
        <v>183</v>
      </c>
      <c r="N25" s="423"/>
      <c r="O25" s="423" t="s">
        <v>184</v>
      </c>
      <c r="P25" s="423" t="s">
        <v>185</v>
      </c>
      <c r="Q25" s="423" t="s">
        <v>186</v>
      </c>
      <c r="R25" s="423" t="s">
        <v>187</v>
      </c>
      <c r="S25" s="423" t="s">
        <v>188</v>
      </c>
    </row>
    <row r="26" spans="1:23">
      <c r="A26" s="82"/>
      <c r="B26" s="82"/>
      <c r="C26" s="175" t="s">
        <v>190</v>
      </c>
      <c r="D26" s="426" t="s">
        <v>164</v>
      </c>
      <c r="E26" s="176" t="s">
        <v>27</v>
      </c>
      <c r="F26" s="176" t="s">
        <v>27</v>
      </c>
      <c r="G26" s="176" t="s">
        <v>13</v>
      </c>
      <c r="H26" s="179"/>
      <c r="I26" s="171">
        <f>F27</f>
        <v>0.7</v>
      </c>
      <c r="J26" s="171" t="e">
        <f>F28</f>
        <v>#N/A</v>
      </c>
      <c r="K26" s="171">
        <f>F29</f>
        <v>1.375</v>
      </c>
      <c r="L26" s="425">
        <f>IF(I26=0,0,1)+I26</f>
        <v>1.7</v>
      </c>
      <c r="M26" s="425" t="e">
        <f>IF(J26=0,0,1)+J26</f>
        <v>#N/A</v>
      </c>
      <c r="N26" s="425"/>
      <c r="O26" s="425">
        <f>IF(K26=0,0,1)+K26</f>
        <v>2.375</v>
      </c>
      <c r="P26" s="425" t="e">
        <f>IF(J26=0,0,(L26*J26)+L26)</f>
        <v>#N/A</v>
      </c>
      <c r="Q26" s="425" t="e">
        <f>IF(K26=0,0,(M26*K26)+M26)</f>
        <v>#N/A</v>
      </c>
      <c r="R26" s="425">
        <f>IF(I26=0,0,(O26*I26)+O26)</f>
        <v>4.0374999999999996</v>
      </c>
      <c r="S26" s="425" t="e">
        <f>IF(K26=0,0,(P26*K26)+P26)</f>
        <v>#N/A</v>
      </c>
    </row>
    <row r="27" spans="1:23" ht="16.149999999999999" thickBot="1">
      <c r="A27" s="82"/>
      <c r="B27" s="97" t="str">
        <f>game1</f>
        <v>Spurs</v>
      </c>
      <c r="C27" s="177" t="s">
        <v>192</v>
      </c>
      <c r="D27" s="427">
        <f>INDEX(Picks!C:C,MATCH(B27,Picks!B:B,0))</f>
        <v>1</v>
      </c>
      <c r="E27" s="427">
        <f>INDEX(Picks!D:D,MATCH(B27,Picks!B:B,0))</f>
        <v>1.7</v>
      </c>
      <c r="F27" s="427">
        <f>+((E27-1)*G27)</f>
        <v>0.7</v>
      </c>
      <c r="G27" s="170">
        <v>1</v>
      </c>
      <c r="H27" s="179"/>
      <c r="I27" s="87"/>
      <c r="J27" s="87"/>
      <c r="K27" s="87"/>
      <c r="L27" s="428"/>
      <c r="M27" s="428"/>
      <c r="N27" s="423"/>
      <c r="O27" s="428"/>
      <c r="P27" s="428"/>
      <c r="Q27" s="428"/>
      <c r="R27" s="428"/>
      <c r="S27" s="428"/>
    </row>
    <row r="28" spans="1:23" ht="15.75">
      <c r="A28" s="82"/>
      <c r="B28" s="97" t="str">
        <f>game2</f>
        <v>Sunderland</v>
      </c>
      <c r="C28" s="182" t="s">
        <v>191</v>
      </c>
      <c r="D28" s="427" t="e">
        <f>INDEX(Picks!C:C,MATCH(B28,Picks!B:B,0))</f>
        <v>#N/A</v>
      </c>
      <c r="E28" s="427" t="e">
        <f>INDEX(Picks!D:D,MATCH(B28,Picks!B:B,0))</f>
        <v>#N/A</v>
      </c>
      <c r="F28" s="427" t="e">
        <f>+((E28-1)*G28)</f>
        <v>#N/A</v>
      </c>
      <c r="G28" s="170">
        <v>0</v>
      </c>
      <c r="H28" s="179"/>
      <c r="I28" s="87"/>
      <c r="J28" s="87"/>
      <c r="K28" s="87"/>
      <c r="L28" s="5" t="s">
        <v>13</v>
      </c>
      <c r="M28" s="5" t="s">
        <v>28</v>
      </c>
      <c r="N28" s="429"/>
      <c r="O28" s="430" t="s">
        <v>18</v>
      </c>
      <c r="P28" s="433"/>
      <c r="Q28" s="428"/>
      <c r="R28" s="428"/>
      <c r="S28" s="428"/>
    </row>
    <row r="29" spans="1:23" ht="16.149999999999999" thickBot="1">
      <c r="A29" s="82"/>
      <c r="B29" s="97" t="str">
        <f>game3</f>
        <v>Sheff U</v>
      </c>
      <c r="C29" s="177" t="s">
        <v>192</v>
      </c>
      <c r="D29" s="427">
        <f>INDEX(Picks!C:C,MATCH(B29,Picks!B:B,0))</f>
        <v>1</v>
      </c>
      <c r="E29" s="427">
        <f>INDEX(Picks!D:D,MATCH(B29,Picks!B:B,0))</f>
        <v>2.375</v>
      </c>
      <c r="F29" s="427">
        <f>+((E29-1)*G29)</f>
        <v>1.375</v>
      </c>
      <c r="G29" s="170">
        <v>1</v>
      </c>
      <c r="H29" s="179"/>
      <c r="I29" s="87"/>
      <c r="J29" s="87"/>
      <c r="K29" s="87"/>
      <c r="L29" s="6">
        <f>SUM(G27:G29)</f>
        <v>2</v>
      </c>
      <c r="M29" s="7" t="e">
        <f>SUM(L26:S26)-7</f>
        <v>#N/A</v>
      </c>
      <c r="N29" s="431"/>
      <c r="O29" s="432" t="e">
        <f>$M$3+M29</f>
        <v>#N/A</v>
      </c>
      <c r="P29" s="433"/>
      <c r="Q29" s="428"/>
      <c r="R29" s="428"/>
      <c r="S29" s="428"/>
    </row>
    <row r="30" spans="1:23" ht="13.15">
      <c r="A30" s="82"/>
      <c r="B30" s="82"/>
      <c r="C30" s="82"/>
      <c r="D30" s="87"/>
      <c r="E30" s="87"/>
      <c r="F30" s="87"/>
      <c r="G30" s="87"/>
      <c r="H30" s="87"/>
      <c r="I30" s="82"/>
      <c r="J30" s="82"/>
      <c r="K30" s="87"/>
      <c r="L30" s="180"/>
      <c r="M30" s="181"/>
      <c r="N30" s="181"/>
      <c r="O30" s="433"/>
      <c r="P30" s="433"/>
      <c r="Q30" s="428"/>
      <c r="R30" s="428"/>
      <c r="S30" s="428"/>
    </row>
    <row r="31" spans="1:23">
      <c r="A31" s="82"/>
      <c r="B31" s="82"/>
      <c r="C31" s="82"/>
      <c r="D31" s="87"/>
      <c r="E31" s="87"/>
      <c r="F31" s="87"/>
      <c r="G31" s="87"/>
      <c r="H31" s="87"/>
      <c r="I31" s="82"/>
      <c r="J31" s="82"/>
      <c r="K31" s="82"/>
      <c r="L31" s="436"/>
      <c r="M31" s="436"/>
      <c r="N31" s="436"/>
      <c r="O31" s="436"/>
      <c r="P31" s="436"/>
      <c r="Q31" s="436"/>
      <c r="R31" s="436"/>
      <c r="S31" s="436"/>
    </row>
    <row r="32" spans="1:23">
      <c r="A32" s="82"/>
      <c r="B32" s="82"/>
      <c r="C32" s="174" t="s">
        <v>25</v>
      </c>
      <c r="D32" s="438" t="s">
        <v>378</v>
      </c>
      <c r="E32" s="174" t="s">
        <v>189</v>
      </c>
      <c r="F32" s="174" t="s">
        <v>189</v>
      </c>
      <c r="G32" s="174" t="s">
        <v>25</v>
      </c>
      <c r="H32" s="179"/>
      <c r="I32" s="87"/>
      <c r="J32" s="87"/>
      <c r="K32" s="87"/>
      <c r="L32" s="423" t="s">
        <v>182</v>
      </c>
      <c r="M32" s="423" t="s">
        <v>183</v>
      </c>
      <c r="N32" s="423"/>
      <c r="O32" s="423" t="s">
        <v>184</v>
      </c>
      <c r="P32" s="423" t="s">
        <v>185</v>
      </c>
      <c r="Q32" s="423" t="s">
        <v>186</v>
      </c>
      <c r="R32" s="423" t="s">
        <v>187</v>
      </c>
      <c r="S32" s="423" t="s">
        <v>188</v>
      </c>
    </row>
    <row r="33" spans="1:19">
      <c r="A33" s="82"/>
      <c r="B33" s="82"/>
      <c r="C33" s="175" t="s">
        <v>190</v>
      </c>
      <c r="D33" s="426" t="s">
        <v>164</v>
      </c>
      <c r="E33" s="176" t="s">
        <v>27</v>
      </c>
      <c r="F33" s="176" t="s">
        <v>27</v>
      </c>
      <c r="G33" s="176" t="s">
        <v>13</v>
      </c>
      <c r="H33" s="179"/>
      <c r="I33" s="171">
        <f>F34</f>
        <v>0.7</v>
      </c>
      <c r="J33" s="171" t="e">
        <f>F35</f>
        <v>#N/A</v>
      </c>
      <c r="K33" s="171">
        <f>F36</f>
        <v>0</v>
      </c>
      <c r="L33" s="425">
        <f>IF(I33=0,0,1)+I33</f>
        <v>1.7</v>
      </c>
      <c r="M33" s="425" t="e">
        <f>IF(J33=0,0,1)+J33</f>
        <v>#N/A</v>
      </c>
      <c r="N33" s="425"/>
      <c r="O33" s="425">
        <f>IF(K33=0,0,1)+K33</f>
        <v>0</v>
      </c>
      <c r="P33" s="425" t="e">
        <f>IF(J33=0,0,(L33*J33)+L33)</f>
        <v>#N/A</v>
      </c>
      <c r="Q33" s="425">
        <f>IF(K33=0,0,(M33*K33)+M33)</f>
        <v>0</v>
      </c>
      <c r="R33" s="425">
        <f>IF(I33=0,0,(O33*I33)+O33)</f>
        <v>0</v>
      </c>
      <c r="S33" s="425">
        <f>IF(K33=0,0,(P33*K33)+P33)</f>
        <v>0</v>
      </c>
    </row>
    <row r="34" spans="1:19" ht="16.149999999999999" thickBot="1">
      <c r="A34" s="82"/>
      <c r="B34" s="97" t="str">
        <f>game1</f>
        <v>Spurs</v>
      </c>
      <c r="C34" s="177" t="s">
        <v>192</v>
      </c>
      <c r="D34" s="427">
        <f>INDEX(Picks!C:C,MATCH(B34,Picks!B:B,0))</f>
        <v>1</v>
      </c>
      <c r="E34" s="427">
        <f>INDEX(Picks!D:D,MATCH(B34,Picks!B:B,0))</f>
        <v>1.7</v>
      </c>
      <c r="F34" s="427">
        <f>+((E34-1)*G34)</f>
        <v>0.7</v>
      </c>
      <c r="G34" s="170">
        <v>1</v>
      </c>
      <c r="H34" s="179"/>
      <c r="I34" s="87"/>
      <c r="J34" s="87"/>
      <c r="K34" s="87"/>
      <c r="L34" s="87"/>
      <c r="M34" s="87"/>
      <c r="N34" s="179"/>
      <c r="O34" s="428"/>
      <c r="P34" s="428"/>
      <c r="Q34" s="428"/>
      <c r="R34" s="428"/>
      <c r="S34" s="428"/>
    </row>
    <row r="35" spans="1:19" ht="15.75">
      <c r="A35" s="82"/>
      <c r="B35" s="97" t="str">
        <f>game2</f>
        <v>Sunderland</v>
      </c>
      <c r="C35" s="182" t="s">
        <v>191</v>
      </c>
      <c r="D35" s="427" t="e">
        <f>INDEX(Picks!C:C,MATCH(B35,Picks!B:B,0))</f>
        <v>#N/A</v>
      </c>
      <c r="E35" s="427" t="e">
        <f>INDEX(Picks!D:D,MATCH(B35,Picks!B:B,0))</f>
        <v>#N/A</v>
      </c>
      <c r="F35" s="427" t="e">
        <f>+((E35-1)*G35)</f>
        <v>#N/A</v>
      </c>
      <c r="G35" s="170">
        <v>0</v>
      </c>
      <c r="H35" s="179"/>
      <c r="I35" s="87"/>
      <c r="J35" s="87"/>
      <c r="K35" s="87"/>
      <c r="L35" s="5" t="s">
        <v>13</v>
      </c>
      <c r="M35" s="5" t="s">
        <v>28</v>
      </c>
      <c r="N35" s="429"/>
      <c r="O35" s="430" t="s">
        <v>18</v>
      </c>
      <c r="P35" s="433"/>
      <c r="Q35" s="428"/>
      <c r="R35" s="428"/>
      <c r="S35" s="428"/>
    </row>
    <row r="36" spans="1:19" ht="16.149999999999999" thickBot="1">
      <c r="A36" s="82"/>
      <c r="B36" s="97" t="str">
        <f>game3</f>
        <v>Sheff U</v>
      </c>
      <c r="C36" s="182" t="s">
        <v>191</v>
      </c>
      <c r="D36" s="427">
        <f>INDEX(Picks!C:C,MATCH(B36,Picks!B:B,0))</f>
        <v>1</v>
      </c>
      <c r="E36" s="427">
        <f>INDEX(Picks!D:D,MATCH(B36,Picks!B:B,0))</f>
        <v>2.375</v>
      </c>
      <c r="F36" s="427">
        <f>+((E36-1)*G36)</f>
        <v>0</v>
      </c>
      <c r="G36" s="170">
        <v>0</v>
      </c>
      <c r="H36" s="179"/>
      <c r="I36" s="87"/>
      <c r="J36" s="87"/>
      <c r="K36" s="87"/>
      <c r="L36" s="6">
        <f>SUM(G34:G36)</f>
        <v>1</v>
      </c>
      <c r="M36" s="7" t="e">
        <f>SUM(L33:S33)-7</f>
        <v>#N/A</v>
      </c>
      <c r="N36" s="431"/>
      <c r="O36" s="432" t="e">
        <f>$M$3+M36</f>
        <v>#N/A</v>
      </c>
      <c r="P36" s="433"/>
      <c r="Q36" s="428"/>
      <c r="R36" s="428"/>
      <c r="S36" s="428"/>
    </row>
    <row r="37" spans="1:19">
      <c r="A37" s="82"/>
      <c r="D37" s="1"/>
      <c r="E37" s="1"/>
      <c r="F37" s="1"/>
      <c r="G37" s="1"/>
      <c r="H37" s="87"/>
      <c r="I37" s="82"/>
      <c r="J37" s="82"/>
      <c r="K37" s="82"/>
      <c r="N37" s="160"/>
      <c r="O37" s="437"/>
      <c r="P37" s="437"/>
      <c r="Q37" s="437"/>
      <c r="R37" s="437"/>
      <c r="S37" s="437"/>
    </row>
    <row r="38" spans="1:19">
      <c r="A38" s="82"/>
      <c r="D38" s="1"/>
      <c r="E38" s="1"/>
      <c r="F38" s="1"/>
      <c r="G38" s="1"/>
      <c r="H38" s="1"/>
      <c r="I38" s="82"/>
      <c r="J38" s="82"/>
      <c r="K38" s="82"/>
      <c r="L38" s="436"/>
      <c r="M38" s="436"/>
      <c r="N38" s="436"/>
      <c r="O38" s="436"/>
      <c r="P38" s="436"/>
      <c r="Q38" s="436"/>
      <c r="R38" s="436"/>
      <c r="S38" s="436"/>
    </row>
    <row r="39" spans="1:19">
      <c r="A39" s="82"/>
      <c r="B39" s="82"/>
      <c r="C39" s="174" t="s">
        <v>25</v>
      </c>
      <c r="D39" s="438" t="s">
        <v>378</v>
      </c>
      <c r="E39" s="174" t="s">
        <v>189</v>
      </c>
      <c r="F39" s="174" t="s">
        <v>189</v>
      </c>
      <c r="G39" s="174" t="s">
        <v>25</v>
      </c>
      <c r="H39" s="179"/>
      <c r="I39" s="87"/>
      <c r="J39" s="87"/>
      <c r="K39" s="87"/>
      <c r="L39" s="423" t="s">
        <v>182</v>
      </c>
      <c r="M39" s="423" t="s">
        <v>183</v>
      </c>
      <c r="N39" s="423"/>
      <c r="O39" s="423" t="s">
        <v>184</v>
      </c>
      <c r="P39" s="423" t="s">
        <v>185</v>
      </c>
      <c r="Q39" s="423" t="s">
        <v>186</v>
      </c>
      <c r="R39" s="423" t="s">
        <v>187</v>
      </c>
      <c r="S39" s="423" t="s">
        <v>188</v>
      </c>
    </row>
    <row r="40" spans="1:19">
      <c r="A40" s="82"/>
      <c r="B40" s="82"/>
      <c r="C40" s="175" t="s">
        <v>190</v>
      </c>
      <c r="D40" s="426" t="s">
        <v>164</v>
      </c>
      <c r="E40" s="176" t="s">
        <v>27</v>
      </c>
      <c r="F40" s="176" t="s">
        <v>27</v>
      </c>
      <c r="G40" s="176" t="s">
        <v>13</v>
      </c>
      <c r="H40" s="179"/>
      <c r="I40" s="171">
        <f>F41</f>
        <v>0</v>
      </c>
      <c r="J40" s="171" t="e">
        <f>F42</f>
        <v>#N/A</v>
      </c>
      <c r="K40" s="171">
        <f>F43</f>
        <v>0</v>
      </c>
      <c r="L40" s="425">
        <f>IF(I40=0,0,1)+I40</f>
        <v>0</v>
      </c>
      <c r="M40" s="425" t="e">
        <f>IF(J40=0,0,1)+J40</f>
        <v>#N/A</v>
      </c>
      <c r="N40" s="425"/>
      <c r="O40" s="425">
        <f>IF(K40=0,0,1)+K40</f>
        <v>0</v>
      </c>
      <c r="P40" s="425" t="e">
        <f>IF(J40=0,0,(L40*J40)+L40)</f>
        <v>#N/A</v>
      </c>
      <c r="Q40" s="425">
        <f>IF(K40=0,0,(M40*K40)+M40)</f>
        <v>0</v>
      </c>
      <c r="R40" s="425">
        <f>IF(I40=0,0,(O40*I40)+O40)</f>
        <v>0</v>
      </c>
      <c r="S40" s="425">
        <f>IF(K40=0,0,(P40*K40)+P40)</f>
        <v>0</v>
      </c>
    </row>
    <row r="41" spans="1:19" ht="16.149999999999999" thickBot="1">
      <c r="A41" s="82"/>
      <c r="B41" s="97" t="str">
        <f>game1</f>
        <v>Spurs</v>
      </c>
      <c r="C41" s="182" t="s">
        <v>191</v>
      </c>
      <c r="D41" s="427">
        <f>INDEX(Picks!C:C,MATCH(B41,Picks!B:B,0))</f>
        <v>1</v>
      </c>
      <c r="E41" s="427">
        <f>INDEX(Picks!D:D,MATCH(B41,Picks!B:B,0))</f>
        <v>1.7</v>
      </c>
      <c r="F41" s="427">
        <f>+((E41-1)*G41)</f>
        <v>0</v>
      </c>
      <c r="G41" s="170">
        <v>0</v>
      </c>
      <c r="H41" s="179"/>
      <c r="I41" s="87"/>
      <c r="J41" s="87"/>
      <c r="K41" s="87"/>
      <c r="L41" s="87"/>
      <c r="M41" s="87"/>
      <c r="N41" s="179"/>
      <c r="O41" s="428"/>
      <c r="P41" s="428"/>
      <c r="Q41" s="428"/>
      <c r="R41" s="428"/>
      <c r="S41" s="428"/>
    </row>
    <row r="42" spans="1:19" ht="15.75">
      <c r="A42" s="82"/>
      <c r="B42" s="97" t="str">
        <f>game2</f>
        <v>Sunderland</v>
      </c>
      <c r="C42" s="177" t="s">
        <v>192</v>
      </c>
      <c r="D42" s="427" t="e">
        <f>INDEX(Picks!C:C,MATCH(B42,Picks!B:B,0))</f>
        <v>#N/A</v>
      </c>
      <c r="E42" s="427" t="e">
        <f>INDEX(Picks!D:D,MATCH(B42,Picks!B:B,0))</f>
        <v>#N/A</v>
      </c>
      <c r="F42" s="427" t="e">
        <f>+((E42-1)*G42)</f>
        <v>#N/A</v>
      </c>
      <c r="G42" s="170">
        <v>1</v>
      </c>
      <c r="H42" s="179"/>
      <c r="I42" s="87"/>
      <c r="J42" s="87"/>
      <c r="K42" s="87"/>
      <c r="L42" s="5" t="s">
        <v>13</v>
      </c>
      <c r="M42" s="5" t="s">
        <v>28</v>
      </c>
      <c r="N42" s="429"/>
      <c r="O42" s="430" t="s">
        <v>18</v>
      </c>
      <c r="P42" s="433"/>
      <c r="Q42" s="428"/>
      <c r="R42" s="428"/>
      <c r="S42" s="428"/>
    </row>
    <row r="43" spans="1:19" ht="16.149999999999999" thickBot="1">
      <c r="A43" s="82"/>
      <c r="B43" s="97" t="str">
        <f>game3</f>
        <v>Sheff U</v>
      </c>
      <c r="C43" s="182" t="s">
        <v>191</v>
      </c>
      <c r="D43" s="427">
        <f>INDEX(Picks!C:C,MATCH(B43,Picks!B:B,0))</f>
        <v>1</v>
      </c>
      <c r="E43" s="427">
        <f>INDEX(Picks!D:D,MATCH(B43,Picks!B:B,0))</f>
        <v>2.375</v>
      </c>
      <c r="F43" s="427">
        <f>+((E43-1)*G43)</f>
        <v>0</v>
      </c>
      <c r="G43" s="170">
        <v>0</v>
      </c>
      <c r="H43" s="179"/>
      <c r="I43" s="87"/>
      <c r="J43" s="87"/>
      <c r="K43" s="87"/>
      <c r="L43" s="6">
        <f>SUM(G41:G43)</f>
        <v>1</v>
      </c>
      <c r="M43" s="7" t="e">
        <f>SUM(L40:S40)-7</f>
        <v>#N/A</v>
      </c>
      <c r="N43" s="431"/>
      <c r="O43" s="432" t="e">
        <f>$M$3+M43</f>
        <v>#N/A</v>
      </c>
      <c r="P43" s="433"/>
      <c r="Q43" s="428"/>
      <c r="R43" s="428"/>
      <c r="S43" s="428"/>
    </row>
    <row r="44" spans="1:19">
      <c r="A44" s="82"/>
      <c r="B44" s="82"/>
      <c r="C44" s="82"/>
      <c r="D44" s="87"/>
      <c r="E44" s="87"/>
      <c r="F44" s="87"/>
      <c r="G44" s="87"/>
      <c r="H44" s="87"/>
      <c r="I44" s="82"/>
      <c r="J44" s="82"/>
      <c r="K44" s="82"/>
      <c r="L44" s="82"/>
      <c r="M44" s="82"/>
      <c r="N44" s="160"/>
      <c r="O44" s="433"/>
      <c r="P44" s="433"/>
      <c r="Q44" s="433"/>
      <c r="R44" s="433"/>
      <c r="S44" s="433"/>
    </row>
    <row r="45" spans="1:19">
      <c r="A45" s="82"/>
      <c r="B45" s="82"/>
      <c r="C45" s="82"/>
      <c r="D45" s="87"/>
      <c r="E45" s="87"/>
      <c r="F45" s="87"/>
      <c r="G45" s="87"/>
      <c r="H45" s="87"/>
      <c r="I45" s="82"/>
      <c r="J45" s="82"/>
      <c r="K45" s="82"/>
      <c r="L45" s="82"/>
      <c r="M45" s="82"/>
      <c r="N45" s="160"/>
      <c r="O45" s="433"/>
      <c r="P45" s="433"/>
      <c r="Q45" s="433"/>
      <c r="R45" s="433"/>
      <c r="S45" s="433"/>
    </row>
    <row r="46" spans="1:19">
      <c r="A46" s="82"/>
      <c r="B46" s="82"/>
      <c r="C46" s="174" t="s">
        <v>25</v>
      </c>
      <c r="D46" s="438" t="s">
        <v>378</v>
      </c>
      <c r="E46" s="174" t="s">
        <v>189</v>
      </c>
      <c r="F46" s="174" t="s">
        <v>189</v>
      </c>
      <c r="G46" s="174" t="s">
        <v>25</v>
      </c>
      <c r="H46" s="179"/>
      <c r="I46" s="87"/>
      <c r="J46" s="87"/>
      <c r="K46" s="87"/>
      <c r="L46" s="423" t="s">
        <v>182</v>
      </c>
      <c r="M46" s="423" t="s">
        <v>183</v>
      </c>
      <c r="N46" s="423"/>
      <c r="O46" s="423" t="s">
        <v>184</v>
      </c>
      <c r="P46" s="423" t="s">
        <v>185</v>
      </c>
      <c r="Q46" s="423" t="s">
        <v>186</v>
      </c>
      <c r="R46" s="423" t="s">
        <v>187</v>
      </c>
      <c r="S46" s="423" t="s">
        <v>188</v>
      </c>
    </row>
    <row r="47" spans="1:19">
      <c r="A47" s="82"/>
      <c r="B47" s="82"/>
      <c r="C47" s="175" t="s">
        <v>190</v>
      </c>
      <c r="D47" s="426" t="s">
        <v>164</v>
      </c>
      <c r="E47" s="176" t="s">
        <v>27</v>
      </c>
      <c r="F47" s="176" t="s">
        <v>27</v>
      </c>
      <c r="G47" s="176" t="s">
        <v>13</v>
      </c>
      <c r="H47" s="179"/>
      <c r="I47" s="171">
        <f>F48</f>
        <v>0</v>
      </c>
      <c r="J47" s="171" t="e">
        <f>F49</f>
        <v>#N/A</v>
      </c>
      <c r="K47" s="171">
        <f>F50</f>
        <v>1.375</v>
      </c>
      <c r="L47" s="425">
        <f>IF(I47=0,0,1)+I47</f>
        <v>0</v>
      </c>
      <c r="M47" s="425" t="e">
        <f>IF(J47=0,0,1)+J47</f>
        <v>#N/A</v>
      </c>
      <c r="N47" s="425"/>
      <c r="O47" s="425">
        <f>IF(K47=0,0,1)+K47</f>
        <v>2.375</v>
      </c>
      <c r="P47" s="425" t="e">
        <f>IF(J47=0,0,(L47*J47)+L47)</f>
        <v>#N/A</v>
      </c>
      <c r="Q47" s="425" t="e">
        <f>IF(K47=0,0,(M47*K47)+M47)</f>
        <v>#N/A</v>
      </c>
      <c r="R47" s="425">
        <f>IF(I47=0,0,(O47*I47)+O47)</f>
        <v>0</v>
      </c>
      <c r="S47" s="425" t="e">
        <f>IF(K47=0,0,(P47*K47)+P47)</f>
        <v>#N/A</v>
      </c>
    </row>
    <row r="48" spans="1:19" ht="16.149999999999999" thickBot="1">
      <c r="A48" s="82"/>
      <c r="B48" s="97" t="str">
        <f>game1</f>
        <v>Spurs</v>
      </c>
      <c r="C48" s="182" t="s">
        <v>191</v>
      </c>
      <c r="D48" s="427">
        <f>INDEX(Picks!C:C,MATCH(B48,Picks!B:B,0))</f>
        <v>1</v>
      </c>
      <c r="E48" s="427">
        <f>INDEX(Picks!D:D,MATCH(B48,Picks!B:B,0))</f>
        <v>1.7</v>
      </c>
      <c r="F48" s="427">
        <f>+((E48-1)*G48)</f>
        <v>0</v>
      </c>
      <c r="G48" s="170">
        <v>0</v>
      </c>
      <c r="H48" s="179"/>
      <c r="I48" s="87"/>
      <c r="J48" s="87"/>
      <c r="K48" s="87"/>
      <c r="L48" s="87"/>
      <c r="M48" s="87"/>
      <c r="N48" s="179"/>
      <c r="O48" s="433"/>
      <c r="P48" s="433"/>
      <c r="Q48" s="433"/>
      <c r="R48" s="433"/>
      <c r="S48" s="433"/>
    </row>
    <row r="49" spans="1:19" ht="15.75">
      <c r="A49" s="82"/>
      <c r="B49" s="97" t="str">
        <f>game2</f>
        <v>Sunderland</v>
      </c>
      <c r="C49" s="182" t="s">
        <v>191</v>
      </c>
      <c r="D49" s="427" t="e">
        <f>INDEX(Picks!C:C,MATCH(B49,Picks!B:B,0))</f>
        <v>#N/A</v>
      </c>
      <c r="E49" s="427" t="e">
        <f>INDEX(Picks!D:D,MATCH(B49,Picks!B:B,0))</f>
        <v>#N/A</v>
      </c>
      <c r="F49" s="427" t="e">
        <f>+((E49-1)*G49)</f>
        <v>#N/A</v>
      </c>
      <c r="G49" s="170">
        <v>0</v>
      </c>
      <c r="H49" s="179"/>
      <c r="I49" s="87"/>
      <c r="J49" s="87"/>
      <c r="K49" s="87"/>
      <c r="L49" s="5" t="s">
        <v>13</v>
      </c>
      <c r="M49" s="5" t="s">
        <v>28</v>
      </c>
      <c r="N49" s="429"/>
      <c r="O49" s="430" t="s">
        <v>18</v>
      </c>
      <c r="P49" s="433"/>
      <c r="Q49" s="433"/>
      <c r="R49" s="433"/>
      <c r="S49" s="433"/>
    </row>
    <row r="50" spans="1:19" ht="16.149999999999999" thickBot="1">
      <c r="A50" s="82"/>
      <c r="B50" s="97" t="str">
        <f>game3</f>
        <v>Sheff U</v>
      </c>
      <c r="C50" s="177" t="s">
        <v>192</v>
      </c>
      <c r="D50" s="427">
        <f>INDEX(Picks!C:C,MATCH(B50,Picks!B:B,0))</f>
        <v>1</v>
      </c>
      <c r="E50" s="427">
        <f>INDEX(Picks!D:D,MATCH(B50,Picks!B:B,0))</f>
        <v>2.375</v>
      </c>
      <c r="F50" s="427">
        <f>+((E50-1)*G50)</f>
        <v>1.375</v>
      </c>
      <c r="G50" s="170">
        <v>1</v>
      </c>
      <c r="H50" s="179"/>
      <c r="I50" s="87"/>
      <c r="J50" s="87"/>
      <c r="K50" s="87"/>
      <c r="L50" s="6">
        <f>SUM(G48:G50)</f>
        <v>1</v>
      </c>
      <c r="M50" s="7" t="e">
        <f>SUM(L47:S47)-7</f>
        <v>#N/A</v>
      </c>
      <c r="N50" s="431"/>
      <c r="O50" s="432" t="e">
        <f>$M$3+M50</f>
        <v>#N/A</v>
      </c>
      <c r="P50" s="433"/>
      <c r="Q50" s="433"/>
      <c r="R50" s="433"/>
      <c r="S50" s="433"/>
    </row>
  </sheetData>
  <pageMargins left="0.70866141732283472" right="0.70866141732283472" top="0.74803149606299213" bottom="0.74803149606299213" header="0.31496062992125984" footer="0.31496062992125984"/>
  <pageSetup paperSize="9" scale="10" orientation="portrait" horizontalDpi="360"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tabColor rgb="FFFFFF00"/>
    <pageSetUpPr fitToPage="1"/>
  </sheetPr>
  <dimension ref="A1:B76"/>
  <sheetViews>
    <sheetView zoomScaleNormal="100" workbookViewId="0"/>
  </sheetViews>
  <sheetFormatPr defaultColWidth="9.1328125" defaultRowHeight="15"/>
  <cols>
    <col min="1" max="1" width="9.1328125" style="250"/>
    <col min="2" max="2" width="118.73046875" style="250" customWidth="1"/>
    <col min="3" max="3" width="20.265625" style="250" customWidth="1"/>
    <col min="4" max="16384" width="9.1328125" style="250"/>
  </cols>
  <sheetData>
    <row r="1" spans="1:2">
      <c r="A1" s="402" t="s">
        <v>363</v>
      </c>
    </row>
    <row r="2" spans="1:2" ht="45">
      <c r="B2" s="249" t="s">
        <v>206</v>
      </c>
    </row>
    <row r="3" spans="1:2">
      <c r="B3" s="251"/>
    </row>
    <row r="4" spans="1:2" ht="60.4">
      <c r="B4" s="252" t="s">
        <v>207</v>
      </c>
    </row>
    <row r="5" spans="1:2">
      <c r="B5" s="251"/>
    </row>
    <row r="6" spans="1:2" ht="45">
      <c r="B6" s="249" t="s">
        <v>208</v>
      </c>
    </row>
    <row r="7" spans="1:2">
      <c r="B7" s="251"/>
    </row>
    <row r="8" spans="1:2" ht="60">
      <c r="B8" s="249" t="s">
        <v>209</v>
      </c>
    </row>
    <row r="9" spans="1:2">
      <c r="B9" s="251"/>
    </row>
    <row r="10" spans="1:2" ht="30">
      <c r="B10" s="253" t="s">
        <v>203</v>
      </c>
    </row>
    <row r="11" spans="1:2">
      <c r="B11" s="254"/>
    </row>
    <row r="12" spans="1:2">
      <c r="B12" s="254"/>
    </row>
    <row r="13" spans="1:2">
      <c r="B13" s="251"/>
    </row>
    <row r="14" spans="1:2">
      <c r="B14" s="251"/>
    </row>
    <row r="15" spans="1:2">
      <c r="B15" s="251"/>
    </row>
    <row r="16" spans="1:2">
      <c r="B16" s="251"/>
    </row>
    <row r="17" spans="2:2">
      <c r="B17" s="251"/>
    </row>
    <row r="18" spans="2:2">
      <c r="B18" s="251"/>
    </row>
    <row r="19" spans="2:2">
      <c r="B19" s="253" t="s">
        <v>204</v>
      </c>
    </row>
    <row r="20" spans="2:2">
      <c r="B20" s="254"/>
    </row>
    <row r="21" spans="2:2">
      <c r="B21" s="254"/>
    </row>
    <row r="22" spans="2:2">
      <c r="B22" s="251"/>
    </row>
    <row r="23" spans="2:2">
      <c r="B23" s="251"/>
    </row>
    <row r="24" spans="2:2">
      <c r="B24" s="251"/>
    </row>
    <row r="25" spans="2:2">
      <c r="B25" s="251"/>
    </row>
    <row r="26" spans="2:2">
      <c r="B26" s="251"/>
    </row>
    <row r="27" spans="2:2">
      <c r="B27" s="251"/>
    </row>
    <row r="28" spans="2:2">
      <c r="B28" s="253" t="s">
        <v>205</v>
      </c>
    </row>
    <row r="29" spans="2:2">
      <c r="B29" s="254"/>
    </row>
    <row r="30" spans="2:2">
      <c r="B30" s="254"/>
    </row>
    <row r="31" spans="2:2">
      <c r="B31" s="251"/>
    </row>
    <row r="32" spans="2:2">
      <c r="B32" s="251"/>
    </row>
    <row r="33" spans="2:2">
      <c r="B33" s="251"/>
    </row>
    <row r="34" spans="2:2">
      <c r="B34" s="251"/>
    </row>
    <row r="35" spans="2:2">
      <c r="B35" s="251"/>
    </row>
    <row r="36" spans="2:2">
      <c r="B36" s="251"/>
    </row>
    <row r="37" spans="2:2">
      <c r="B37" s="253" t="s">
        <v>210</v>
      </c>
    </row>
    <row r="38" spans="2:2">
      <c r="B38" s="255"/>
    </row>
    <row r="39" spans="2:2">
      <c r="B39" s="255"/>
    </row>
    <row r="40" spans="2:2">
      <c r="B40" s="251"/>
    </row>
    <row r="41" spans="2:2">
      <c r="B41" s="251"/>
    </row>
    <row r="42" spans="2:2">
      <c r="B42" s="251"/>
    </row>
    <row r="43" spans="2:2">
      <c r="B43" s="251"/>
    </row>
    <row r="44" spans="2:2">
      <c r="B44" s="251"/>
    </row>
    <row r="45" spans="2:2">
      <c r="B45" s="251"/>
    </row>
    <row r="46" spans="2:2" ht="46.15">
      <c r="B46" s="256" t="s">
        <v>211</v>
      </c>
    </row>
    <row r="47" spans="2:2">
      <c r="B47" s="251"/>
    </row>
    <row r="48" spans="2:2" ht="45">
      <c r="B48" s="249" t="s">
        <v>212</v>
      </c>
    </row>
    <row r="49" spans="2:2">
      <c r="B49" s="251"/>
    </row>
    <row r="50" spans="2:2" ht="45">
      <c r="B50" s="249" t="s">
        <v>213</v>
      </c>
    </row>
    <row r="51" spans="2:2">
      <c r="B51" s="251"/>
    </row>
    <row r="52" spans="2:2" ht="75">
      <c r="B52" s="249" t="s">
        <v>214</v>
      </c>
    </row>
    <row r="53" spans="2:2">
      <c r="B53" s="251"/>
    </row>
    <row r="54" spans="2:2" ht="45">
      <c r="B54" s="257" t="s">
        <v>223</v>
      </c>
    </row>
    <row r="55" spans="2:2">
      <c r="B55" s="251"/>
    </row>
    <row r="56" spans="2:2" ht="45">
      <c r="B56" s="249" t="s">
        <v>215</v>
      </c>
    </row>
    <row r="57" spans="2:2">
      <c r="B57" s="251"/>
    </row>
    <row r="58" spans="2:2" ht="30">
      <c r="B58" s="249" t="s">
        <v>216</v>
      </c>
    </row>
    <row r="59" spans="2:2">
      <c r="B59" s="251"/>
    </row>
    <row r="60" spans="2:2" ht="60">
      <c r="B60" s="249" t="s">
        <v>217</v>
      </c>
    </row>
    <row r="61" spans="2:2">
      <c r="B61" s="251"/>
    </row>
    <row r="62" spans="2:2" ht="60">
      <c r="B62" s="249" t="s">
        <v>218</v>
      </c>
    </row>
    <row r="63" spans="2:2">
      <c r="B63" s="251"/>
    </row>
    <row r="64" spans="2:2" ht="45">
      <c r="B64" s="249" t="s">
        <v>219</v>
      </c>
    </row>
    <row r="65" spans="2:2">
      <c r="B65" s="251"/>
    </row>
    <row r="66" spans="2:2" ht="30">
      <c r="B66" s="249" t="s">
        <v>220</v>
      </c>
    </row>
    <row r="67" spans="2:2">
      <c r="B67" s="251"/>
    </row>
    <row r="68" spans="2:2" ht="30">
      <c r="B68" s="249" t="s">
        <v>221</v>
      </c>
    </row>
    <row r="69" spans="2:2">
      <c r="B69" s="251"/>
    </row>
    <row r="70" spans="2:2" ht="60">
      <c r="B70" s="257" t="s">
        <v>224</v>
      </c>
    </row>
    <row r="71" spans="2:2">
      <c r="B71" s="251"/>
    </row>
    <row r="72" spans="2:2" ht="45">
      <c r="B72" s="249" t="s">
        <v>222</v>
      </c>
    </row>
    <row r="73" spans="2:2">
      <c r="B73" s="251"/>
    </row>
    <row r="74" spans="2:2" ht="30">
      <c r="B74" s="257" t="s">
        <v>225</v>
      </c>
    </row>
    <row r="75" spans="2:2">
      <c r="B75" s="251"/>
    </row>
    <row r="76" spans="2:2" ht="30">
      <c r="B76" s="257" t="s">
        <v>226</v>
      </c>
    </row>
  </sheetData>
  <hyperlinks>
    <hyperlink ref="B4" r:id="rId1" display="http://www.online-betting.me.uk/articles/patent-bet.html" xr:uid="{00000000-0004-0000-1300-000000000000}"/>
    <hyperlink ref="B46" r:id="rId2" display="http://www.chrisgriffinsays.co.uk/prediction-league/prediction-league-home/" xr:uid="{00000000-0004-0000-1300-000001000000}"/>
    <hyperlink ref="B54" r:id="rId3" display="http://www.chrisgriffinsays.co.uk/prediction-league/next-odds/" xr:uid="{00000000-0004-0000-1300-000002000000}"/>
    <hyperlink ref="B70" r:id="rId4" display="http://www.chrisgriffinsays.co.uk/prediction-league/prediction-league-diary/" xr:uid="{00000000-0004-0000-1300-000003000000}"/>
    <hyperlink ref="B74" r:id="rId5" display="http://www.chrisgriffinsays.co.uk/prediction-league/prediction-league-news/" xr:uid="{00000000-0004-0000-1300-000004000000}"/>
    <hyperlink ref="B76" r:id="rId6" display="http://eepurl.com/riHbD" xr:uid="{00000000-0004-0000-1300-000005000000}"/>
    <hyperlink ref="A1" location="Menu!A1" display="Menu!A1" xr:uid="{00000000-0004-0000-1300-000006000000}"/>
  </hyperlinks>
  <pageMargins left="0.70866141732283472" right="0.70866141732283472" top="0.74803149606299213" bottom="0.74803149606299213" header="0.31496062992125984" footer="0.31496062992125984"/>
  <pageSetup paperSize="9" scale="41" orientation="portrait" r:id="rId7"/>
  <rowBreaks count="1" manualBreakCount="1">
    <brk id="47" max="2" man="1"/>
  </rowBreaks>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7030A0"/>
    <pageSetUpPr fitToPage="1"/>
  </sheetPr>
  <dimension ref="A1:F64"/>
  <sheetViews>
    <sheetView zoomScaleNormal="100" workbookViewId="0">
      <pane ySplit="1" topLeftCell="A14" activePane="bottomLeft" state="frozen"/>
      <selection pane="bottomLeft" activeCell="C14" sqref="C14"/>
    </sheetView>
  </sheetViews>
  <sheetFormatPr defaultRowHeight="12.75"/>
  <cols>
    <col min="1" max="1" width="12.59765625" customWidth="1"/>
    <col min="2" max="2" width="14.86328125" customWidth="1"/>
    <col min="3" max="3" width="43.3984375" customWidth="1"/>
    <col min="4" max="4" width="38" customWidth="1"/>
  </cols>
  <sheetData>
    <row r="1" spans="1:6" s="152" customFormat="1" ht="24.95" customHeight="1">
      <c r="A1" s="127" t="s">
        <v>30</v>
      </c>
      <c r="B1" s="127" t="s">
        <v>153</v>
      </c>
      <c r="C1" s="236" t="s">
        <v>31</v>
      </c>
      <c r="D1" s="236" t="s">
        <v>163</v>
      </c>
    </row>
    <row r="2" spans="1:6">
      <c r="A2" s="100">
        <f>IF(Match!B2="","",Match!B2)</f>
        <v>44556</v>
      </c>
      <c r="B2" s="99" t="str">
        <f>IF(Match!D2="","",Match!D2)</f>
        <v>Premier</v>
      </c>
      <c r="C2" s="98" t="str">
        <f>IF(Match!U2="","",Match!U2)</f>
        <v>Brighton  v  Brentford   17/20  5/2  16/5</v>
      </c>
      <c r="D2" s="98" t="str">
        <f>IF(Match!V2="","",Match!V2)</f>
        <v xml:space="preserve">Brighton 2-0 Brentford </v>
      </c>
    </row>
    <row r="3" spans="1:6">
      <c r="A3" s="100">
        <f>IF(Match!B3="","",Match!B3)</f>
        <v>44556</v>
      </c>
      <c r="B3" s="99" t="str">
        <f>IF(Match!D3="","",Match!D3)</f>
        <v>Premier</v>
      </c>
      <c r="C3" s="98" t="str">
        <f>IF(Match!U3="","",Match!U3)</f>
        <v>Man C  v  Leicester   1/5  11/2  12/1</v>
      </c>
      <c r="D3" s="98" t="str">
        <f>IF(Match!V3="","",Match!V3)</f>
        <v xml:space="preserve">Man C 6-3 Leicester </v>
      </c>
    </row>
    <row r="4" spans="1:6">
      <c r="A4" s="100">
        <f>IF(Match!B4="","",Match!B4)</f>
        <v>44556</v>
      </c>
      <c r="B4" s="99" t="str">
        <f>IF(Match!D4="","",Match!D4)</f>
        <v>Premier</v>
      </c>
      <c r="C4" s="98" t="str">
        <f>IF(Match!U4="","",Match!U4)</f>
        <v>Norwich  v  Arsenal   13/2  10/3  4/9</v>
      </c>
      <c r="D4" s="98" t="str">
        <f>IF(Match!V4="","",Match!V4)</f>
        <v xml:space="preserve">Norwich 0-5 Arsenal </v>
      </c>
    </row>
    <row r="5" spans="1:6">
      <c r="A5" s="100">
        <f>IF(Match!B5="","",Match!B5)</f>
        <v>44556</v>
      </c>
      <c r="B5" s="99" t="str">
        <f>IF(Match!D5="","",Match!D5)</f>
        <v>Premier</v>
      </c>
      <c r="C5" s="98" t="str">
        <f>IF(Match!U5="","",Match!U5)</f>
        <v>Spurs  v  Palace   7/10  11/4  19/5</v>
      </c>
      <c r="D5" s="98" t="str">
        <f>IF(Match!V5="","",Match!V5)</f>
        <v xml:space="preserve">Spurs 3-0 Palace </v>
      </c>
    </row>
    <row r="6" spans="1:6">
      <c r="A6" s="100">
        <f>IF(Match!B6="","",Match!B6)</f>
        <v>44556</v>
      </c>
      <c r="B6" s="99" t="str">
        <f>IF(Match!D6="","",Match!D6)</f>
        <v>Premier</v>
      </c>
      <c r="C6" s="98" t="str">
        <f>IF(Match!U6="","",Match!U6)</f>
        <v>Villa  v  Chelsea   24/5  11/4  8/13</v>
      </c>
      <c r="D6" s="98" t="str">
        <f>IF(Match!V6="","",Match!V6)</f>
        <v xml:space="preserve">Villa 1-3 Chelsea </v>
      </c>
    </row>
    <row r="7" spans="1:6">
      <c r="A7" s="100">
        <f>IF(Match!B7="","",Match!B7)</f>
        <v>44556</v>
      </c>
      <c r="B7" s="99" t="str">
        <f>IF(Match!D7="","",Match!D7)</f>
        <v>Premier</v>
      </c>
      <c r="C7" s="98" t="str">
        <f>IF(Match!U7="","",Match!U7)</f>
        <v>West Ham  v  Southampton   3/4  14/5  17/5</v>
      </c>
      <c r="D7" s="98" t="str">
        <f>IF(Match!V7="","",Match!V7)</f>
        <v xml:space="preserve">West Ham 2-3 Southampton </v>
      </c>
    </row>
    <row r="8" spans="1:6">
      <c r="A8" s="100">
        <f>IF(Match!B8="","",Match!B8)</f>
        <v>44556</v>
      </c>
      <c r="B8" s="99" t="str">
        <f>IF(Match!D8="","",Match!D8)</f>
        <v>Champ</v>
      </c>
      <c r="C8" s="98" t="str">
        <f>IF(Match!U8="","",Match!U8)</f>
        <v>Huddersfield  v  Blackpool   11/10  23/10  5/2</v>
      </c>
      <c r="D8" s="98" t="str">
        <f>IF(Match!V8="","",Match!V8)</f>
        <v xml:space="preserve">Huddersfield 3-2 Blackpool </v>
      </c>
      <c r="F8" s="9"/>
    </row>
    <row r="9" spans="1:6">
      <c r="A9" s="100">
        <f>IF(Match!B9="","",Match!B9)</f>
        <v>44556</v>
      </c>
      <c r="B9" s="99" t="str">
        <f>IF(Match!D9="","",Match!D9)</f>
        <v>Champ</v>
      </c>
      <c r="C9" s="98" t="str">
        <f>IF(Match!U9="","",Match!U9)</f>
        <v>Middlesbro  v  Forest   11/10  11/5  5/2</v>
      </c>
      <c r="D9" s="98" t="str">
        <f>IF(Match!V9="","",Match!V9)</f>
        <v xml:space="preserve">Middlesbro 2-0 Forest </v>
      </c>
      <c r="F9" s="9"/>
    </row>
    <row r="10" spans="1:6">
      <c r="A10" s="100">
        <f>IF(Match!B10="","",Match!B10)</f>
        <v>44556</v>
      </c>
      <c r="B10" s="99" t="str">
        <f>IF(Match!D10="","",Match!D10)</f>
        <v>League 1</v>
      </c>
      <c r="C10" s="98" t="str">
        <f>IF(Match!U10="","",Match!U10)</f>
        <v>Accrington  v  Rotherham   3/1  11/4  4/5</v>
      </c>
      <c r="D10" s="98" t="str">
        <f>IF(Match!V10="","",Match!V10)</f>
        <v xml:space="preserve">Accrington 1-0 Rotherham </v>
      </c>
    </row>
    <row r="11" spans="1:6">
      <c r="A11" s="100">
        <f>IF(Match!B11="","",Match!B11)</f>
        <v>44556</v>
      </c>
      <c r="B11" s="99" t="str">
        <f>IF(Match!D11="","",Match!D11)</f>
        <v>League 1</v>
      </c>
      <c r="C11" s="98" t="str">
        <f>IF(Match!U11="","",Match!U11)</f>
        <v>Cheltenham  v  Plymouth   2/1  23/10  13/10</v>
      </c>
      <c r="D11" s="98" t="str">
        <f>IF(Match!V11="","",Match!V11)</f>
        <v xml:space="preserve">Cheltenham 0-2 Plymouth </v>
      </c>
    </row>
    <row r="12" spans="1:6">
      <c r="A12" s="100">
        <f>IF(Match!B12="","",Match!B12)</f>
        <v>44556</v>
      </c>
      <c r="B12" s="99" t="str">
        <f>IF(Match!D12="","",Match!D12)</f>
        <v>League 1</v>
      </c>
      <c r="C12" s="98" t="str">
        <f>IF(Match!U12="","",Match!U12)</f>
        <v>Fleetwood  v  Shrewsbury   6/5  9/4  11/5</v>
      </c>
      <c r="D12" s="98" t="str">
        <f>IF(Match!V12="","",Match!V12)</f>
        <v xml:space="preserve">Fleetwood 0-3 Shrewsbury </v>
      </c>
    </row>
    <row r="13" spans="1:6">
      <c r="A13" s="100">
        <f>IF(Match!B13="","",Match!B13)</f>
        <v>44556</v>
      </c>
      <c r="B13" s="99" t="str">
        <f>IF(Match!D13="","",Match!D13)</f>
        <v>League 1</v>
      </c>
      <c r="C13" s="98" t="str">
        <f>IF(Match!U13="","",Match!U13)</f>
        <v>Lincoln  v  MK Dons   2/1  12/5  5/4</v>
      </c>
      <c r="D13" s="98" t="str">
        <f>IF(Match!V13="","",Match!V13)</f>
        <v xml:space="preserve">Lincoln 2-3 MK Dons </v>
      </c>
    </row>
    <row r="14" spans="1:6">
      <c r="A14" s="100">
        <f>IF(Match!B14="","",Match!B14)</f>
        <v>44556</v>
      </c>
      <c r="B14" s="99" t="str">
        <f>IF(Match!D14="","",Match!D14)</f>
        <v>League 2</v>
      </c>
      <c r="C14" s="98" t="str">
        <f>IF(Match!U14="","",Match!U14)</f>
        <v>Mansfield  v  Hartlepool   10/11  12/5  29/10</v>
      </c>
      <c r="D14" s="98" t="str">
        <f>IF(Match!V14="","",Match!V14)</f>
        <v xml:space="preserve">Mansfield 3-2 Hartlepool </v>
      </c>
    </row>
    <row r="15" spans="1:6">
      <c r="A15" s="100">
        <f>IF(Match!B15="","",Match!B15)</f>
        <v>44556</v>
      </c>
      <c r="B15" s="99" t="str">
        <f>IF(Match!D15="","",Match!D15)</f>
        <v>League 2</v>
      </c>
      <c r="C15" s="98" t="str">
        <f>IF(Match!U15="","",Match!U15)</f>
        <v>Oldham  v  Scunthorpe   6/5  12/5  21/10</v>
      </c>
      <c r="D15" s="98" t="str">
        <f>IF(Match!V15="","",Match!V15)</f>
        <v xml:space="preserve">Oldham 1-3 Scunthorpe </v>
      </c>
    </row>
    <row r="16" spans="1:6">
      <c r="A16" s="100">
        <f>IF(Match!B16="","",Match!B16)</f>
        <v>44556</v>
      </c>
      <c r="B16" s="99" t="str">
        <f>IF(Match!D16="","",Match!D16)</f>
        <v>League 2</v>
      </c>
      <c r="C16" s="98" t="str">
        <f>IF(Match!U16="","",Match!U16)</f>
        <v>Tranmere  v  Barrow   23/20  23/10  23/10</v>
      </c>
      <c r="D16" s="98" t="str">
        <f>IF(Match!V16="","",Match!V16)</f>
        <v xml:space="preserve">Tranmere 2-0 Barrow </v>
      </c>
      <c r="F16" s="9"/>
    </row>
    <row r="17" spans="1:6">
      <c r="A17" s="100">
        <f>IF(Match!B17="","",Match!B17)</f>
        <v>44556</v>
      </c>
      <c r="B17" s="99" t="str">
        <f>IF(Match!D17="","",Match!D17)</f>
        <v>Nat League</v>
      </c>
      <c r="C17" s="98" t="str">
        <f>IF(Match!U17="","",Match!U17)</f>
        <v>Aldershot  v  Woking   16/11  5/2  7/4</v>
      </c>
      <c r="D17" s="98" t="str">
        <f>IF(Match!V17="","",Match!V17)</f>
        <v xml:space="preserve">Aldershot 1-1 Woking </v>
      </c>
    </row>
    <row r="18" spans="1:6">
      <c r="A18" s="100">
        <f>IF(Match!B18="","",Match!B18)</f>
        <v>44556</v>
      </c>
      <c r="B18" s="99" t="str">
        <f>IF(Match!D18="","",Match!D18)</f>
        <v>Nat League</v>
      </c>
      <c r="C18" s="98" t="str">
        <f>IF(Match!U18="","",Match!U18)</f>
        <v>Bromley  v  Southend   7/10  3/1  15/4</v>
      </c>
      <c r="D18" s="98" t="str">
        <f>IF(Match!V18="","",Match!V18)</f>
        <v xml:space="preserve">Bromley 1-1 Southend </v>
      </c>
    </row>
    <row r="19" spans="1:6">
      <c r="A19" s="100">
        <f>IF(Match!B19="","",Match!B19)</f>
        <v>44556</v>
      </c>
      <c r="B19" s="99" t="str">
        <f>IF(Match!D19="","",Match!D19)</f>
        <v>Nat League</v>
      </c>
      <c r="C19" s="98" t="str">
        <f>IF(Match!U19="","",Match!U19)</f>
        <v>Dover  v  Dagenham   9/2  16/5  11/18</v>
      </c>
      <c r="D19" s="98" t="str">
        <f>IF(Match!V19="","",Match!V19)</f>
        <v xml:space="preserve">Dover 0-2 Dagenham </v>
      </c>
    </row>
    <row r="20" spans="1:6">
      <c r="A20" s="100">
        <f>IF(Match!B20="","",Match!B20)</f>
        <v>44556</v>
      </c>
      <c r="B20" s="99" t="str">
        <f>IF(Match!D20="","",Match!D20)</f>
        <v>Nat League</v>
      </c>
      <c r="C20" s="98" t="str">
        <f>IF(Match!U20="","",Match!U20)</f>
        <v>Stockport  v  Altrincham   13/18  37/13  15/4</v>
      </c>
      <c r="D20" s="98" t="str">
        <f>IF(Match!V20="","",Match!V20)</f>
        <v xml:space="preserve">Stockport 5-1 Altrincham </v>
      </c>
    </row>
    <row r="21" spans="1:6">
      <c r="A21" s="100">
        <f>IF(Match!B21="","",Match!B21)</f>
        <v>44556</v>
      </c>
      <c r="B21" s="99" t="str">
        <f>IF(Match!D21="","",Match!D21)</f>
        <v>Nat League</v>
      </c>
      <c r="C21" s="98" t="str">
        <f>IF(Match!U21="","",Match!U21)</f>
        <v>Torquay  v  Yeovil   19/20  11/4  11/4</v>
      </c>
      <c r="D21" s="98" t="str">
        <f>IF(Match!V21="","",Match!V21)</f>
        <v xml:space="preserve">Torquay 3-0 Yeovil </v>
      </c>
    </row>
    <row r="22" spans="1:6">
      <c r="A22" s="100">
        <f>IF(Match!B22="","",Match!B22)</f>
        <v>44556</v>
      </c>
      <c r="B22" s="99" t="str">
        <f>IF(Match!D22="","",Match!D22)</f>
        <v>Premier</v>
      </c>
      <c r="C22" s="98" t="str">
        <f>IF(Match!U22="","",Match!U22)</f>
        <v>Burnley  v  Everton  OFF</v>
      </c>
      <c r="D22" s="98" t="str">
        <f>IF(Match!V22="","",Match!V22)</f>
        <v>Burnley - Everton OFF</v>
      </c>
    </row>
    <row r="23" spans="1:6">
      <c r="A23" s="100">
        <f>IF(Match!B23="","",Match!B23)</f>
        <v>44556</v>
      </c>
      <c r="B23" s="99" t="str">
        <f>IF(Match!D23="","",Match!D23)</f>
        <v>Premier</v>
      </c>
      <c r="C23" s="98" t="str">
        <f>IF(Match!U23="","",Match!U23)</f>
        <v>Liverpool  v  Leeds  OFF</v>
      </c>
      <c r="D23" s="98" t="str">
        <f>IF(Match!V23="","",Match!V23)</f>
        <v>Liverpool - Leeds OFF</v>
      </c>
      <c r="F23" s="9"/>
    </row>
    <row r="24" spans="1:6">
      <c r="A24" s="100">
        <f>IF(Match!B24="","",Match!B24)</f>
        <v>44556</v>
      </c>
      <c r="B24" s="99" t="str">
        <f>IF(Match!D24="","",Match!D24)</f>
        <v>Premier</v>
      </c>
      <c r="C24" s="98" t="str">
        <f>IF(Match!U24="","",Match!U24)</f>
        <v>Wolves  v  Watford  OFF</v>
      </c>
      <c r="D24" s="98" t="str">
        <f>IF(Match!V24="","",Match!V24)</f>
        <v>Wolves - Watford OFF</v>
      </c>
    </row>
    <row r="25" spans="1:6">
      <c r="A25" s="100">
        <f>IF(Match!B25="","",Match!B25)</f>
        <v>44556</v>
      </c>
      <c r="B25" s="99" t="str">
        <f>IF(Match!D25="","",Match!D25)</f>
        <v>Champ</v>
      </c>
      <c r="C25" s="98" t="str">
        <f>IF(Match!U25="","",Match!U25)</f>
        <v>Barnsley  v  Stoke  OFF</v>
      </c>
      <c r="D25" s="98" t="str">
        <f>IF(Match!V25="","",Match!V25)</f>
        <v>Barnsley - Stoke OFF</v>
      </c>
      <c r="F25" s="9"/>
    </row>
    <row r="26" spans="1:6">
      <c r="A26" s="100">
        <f>IF(Match!B26="","",Match!B26)</f>
        <v>44556</v>
      </c>
      <c r="B26" s="99" t="str">
        <f>IF(Match!D26="","",Match!D26)</f>
        <v>Champ</v>
      </c>
      <c r="C26" s="98" t="str">
        <f>IF(Match!U26="","",Match!U26)</f>
        <v>Cardiff  v  Coventry  OFF</v>
      </c>
      <c r="D26" s="98" t="str">
        <f>IF(Match!V26="","",Match!V26)</f>
        <v>Cardiff - Coventry OFF</v>
      </c>
    </row>
    <row r="27" spans="1:6">
      <c r="A27" s="100">
        <f>IF(Match!B27="","",Match!B27)</f>
        <v>44556</v>
      </c>
      <c r="B27" s="99" t="str">
        <f>IF(Match!D27="","",Match!D27)</f>
        <v>Champ</v>
      </c>
      <c r="C27" s="98" t="str">
        <f>IF(Match!U27="","",Match!U27)</f>
        <v>Fulham  v  Birmingham  OFF</v>
      </c>
      <c r="D27" s="98" t="str">
        <f>IF(Match!V27="","",Match!V27)</f>
        <v>Fulham - Birmingham OFF</v>
      </c>
    </row>
    <row r="28" spans="1:6">
      <c r="A28" s="100">
        <f>IF(Match!B28="","",Match!B28)</f>
        <v>44556</v>
      </c>
      <c r="B28" s="99" t="str">
        <f>IF(Match!D28="","",Match!D28)</f>
        <v>Champ</v>
      </c>
      <c r="C28" s="98" t="str">
        <f>IF(Match!U28="","",Match!U28)</f>
        <v>Hull  v  Blackburn  OFF</v>
      </c>
      <c r="D28" s="98" t="str">
        <f>IF(Match!V28="","",Match!V28)</f>
        <v>Hull - Blackburn OFF</v>
      </c>
    </row>
    <row r="29" spans="1:6">
      <c r="A29" s="100">
        <f>IF(Match!B29="","",Match!B29)</f>
        <v>44556</v>
      </c>
      <c r="B29" s="99" t="str">
        <f>IF(Match!D29="","",Match!D29)</f>
        <v>Champ</v>
      </c>
      <c r="C29" s="98" t="str">
        <f>IF(Match!U29="","",Match!U29)</f>
        <v>Luton  v  Bristol C  OFF</v>
      </c>
      <c r="D29" s="98" t="str">
        <f>IF(Match!V29="","",Match!V29)</f>
        <v>Luton - Bristol C OFF</v>
      </c>
    </row>
    <row r="30" spans="1:6">
      <c r="A30" s="100">
        <f>IF(Match!B30="","",Match!B30)</f>
        <v>44556</v>
      </c>
      <c r="B30" s="99" t="str">
        <f>IF(Match!D30="","",Match!D30)</f>
        <v>Champ</v>
      </c>
      <c r="C30" s="98" t="str">
        <f>IF(Match!U30="","",Match!U30)</f>
        <v>Millwall  v  Swansea  OFF</v>
      </c>
      <c r="D30" s="98" t="str">
        <f>IF(Match!V30="","",Match!V30)</f>
        <v>Millwall - Swansea OFF</v>
      </c>
    </row>
    <row r="31" spans="1:6">
      <c r="A31" s="100">
        <f>IF(Match!B31="","",Match!B31)</f>
        <v>44556</v>
      </c>
      <c r="B31" s="99" t="str">
        <f>IF(Match!D31="","",Match!D31)</f>
        <v>Champ</v>
      </c>
      <c r="C31" s="98" t="str">
        <f>IF(Match!U31="","",Match!U31)</f>
        <v>Peterborough  v  Reading  OFF</v>
      </c>
      <c r="D31" s="98" t="str">
        <f>IF(Match!V31="","",Match!V31)</f>
        <v>Peterborough - Reading OFF</v>
      </c>
    </row>
    <row r="32" spans="1:6">
      <c r="A32" s="100">
        <f>IF(Match!B32="","",Match!B32)</f>
        <v>44556</v>
      </c>
      <c r="B32" s="99" t="str">
        <f>IF(Match!D32="","",Match!D32)</f>
        <v>Champ</v>
      </c>
      <c r="C32" s="98" t="str">
        <f>IF(Match!U32="","",Match!U32)</f>
        <v>Preston  v  Sheff U  OFF</v>
      </c>
      <c r="D32" s="98" t="str">
        <f>IF(Match!V32="","",Match!V32)</f>
        <v>Preston - Sheff U OFF</v>
      </c>
    </row>
    <row r="33" spans="1:5">
      <c r="A33" s="100">
        <f>IF(Match!B33="","",Match!B33)</f>
        <v>44556</v>
      </c>
      <c r="B33" s="99" t="str">
        <f>IF(Match!D33="","",Match!D33)</f>
        <v>League 1</v>
      </c>
      <c r="C33" s="98" t="str">
        <f>IF(Match!U33="","",Match!U33)</f>
        <v>Bolton  v  Morecambe  OFF</v>
      </c>
      <c r="D33" s="98" t="str">
        <f>IF(Match!V33="","",Match!V33)</f>
        <v>Bolton - Morecambe OFF</v>
      </c>
    </row>
    <row r="34" spans="1:5">
      <c r="A34" s="100">
        <f>IF(Match!B34="","",Match!B34)</f>
        <v>44556</v>
      </c>
      <c r="B34" s="99" t="str">
        <f>IF(Match!D34="","",Match!D34)</f>
        <v>League 1</v>
      </c>
      <c r="C34" s="98" t="str">
        <f>IF(Match!U34="","",Match!U34)</f>
        <v>Crewe  v  Wigan  OFF</v>
      </c>
      <c r="D34" s="98" t="str">
        <f>IF(Match!V34="","",Match!V34)</f>
        <v>Crewe - Wigan OFF</v>
      </c>
    </row>
    <row r="35" spans="1:5">
      <c r="A35" s="100">
        <f>IF(Match!B35="","",Match!B35)</f>
        <v>44556</v>
      </c>
      <c r="B35" s="99" t="str">
        <f>IF(Match!D35="","",Match!D35)</f>
        <v>League 1</v>
      </c>
      <c r="C35" s="98" t="str">
        <f>IF(Match!U35="","",Match!U35)</f>
        <v>Gillingham  v  Ipswich  OFF</v>
      </c>
      <c r="D35" s="98" t="str">
        <f>IF(Match!V35="","",Match!V35)</f>
        <v>Gillingham - Ipswich OFF</v>
      </c>
    </row>
    <row r="36" spans="1:5">
      <c r="A36" s="100">
        <f>IF(Match!B36="","",Match!B36)</f>
        <v>44556</v>
      </c>
      <c r="B36" s="99" t="str">
        <f>IF(Match!D36="","",Match!D36)</f>
        <v>League 1</v>
      </c>
      <c r="C36" s="98" t="str">
        <f>IF(Match!U36="","",Match!U36)</f>
        <v>Portsmouth  v  Oxford  OFF</v>
      </c>
      <c r="D36" s="98" t="str">
        <f>IF(Match!V36="","",Match!V36)</f>
        <v>Portsmouth - Oxford OFF</v>
      </c>
    </row>
    <row r="37" spans="1:5">
      <c r="A37" s="100">
        <f>IF(Match!B37="","",Match!B37)</f>
        <v>44556</v>
      </c>
      <c r="B37" s="99" t="str">
        <f>IF(Match!D37="","",Match!D37)</f>
        <v>League 1</v>
      </c>
      <c r="C37" s="98" t="str">
        <f>IF(Match!U37="","",Match!U37)</f>
        <v>Sheff W  v  Burton  OFF</v>
      </c>
      <c r="D37" s="98" t="str">
        <f>IF(Match!V37="","",Match!V37)</f>
        <v>Sheff W - Burton OFF</v>
      </c>
    </row>
    <row r="38" spans="1:5">
      <c r="A38" s="100">
        <f>IF(Match!B38="","",Match!B38)</f>
        <v>44556</v>
      </c>
      <c r="B38" s="99" t="str">
        <f>IF(Match!D38="","",Match!D38)</f>
        <v>League 1</v>
      </c>
      <c r="C38" s="98" t="str">
        <f>IF(Match!U38="","",Match!U38)</f>
        <v>Wimbledon  v  Charlton  OFF</v>
      </c>
      <c r="D38" s="98" t="str">
        <f>IF(Match!V38="","",Match!V38)</f>
        <v>Wimbledon - Charlton OFF</v>
      </c>
    </row>
    <row r="39" spans="1:5">
      <c r="A39" s="100">
        <f>IF(Match!B39="","",Match!B39)</f>
        <v>44556</v>
      </c>
      <c r="B39" s="99" t="str">
        <f>IF(Match!D39="","",Match!D39)</f>
        <v>League 1</v>
      </c>
      <c r="C39" s="98" t="str">
        <f>IF(Match!U39="","",Match!U39)</f>
        <v>Wycombe  v  Cambridge  OFF</v>
      </c>
      <c r="D39" s="98" t="str">
        <f>IF(Match!V39="","",Match!V39)</f>
        <v>Wycombe - Cambridge OFF</v>
      </c>
    </row>
    <row r="40" spans="1:5">
      <c r="A40" s="100">
        <f>IF(Match!B40="","",Match!B40)</f>
        <v>44556</v>
      </c>
      <c r="B40" s="99" t="str">
        <f>IF(Match!D40="","",Match!D40)</f>
        <v>League 2</v>
      </c>
      <c r="C40" s="98" t="str">
        <f>IF(Match!U40="","",Match!U40)</f>
        <v>Bradford  v  Harrogate  OFF</v>
      </c>
      <c r="D40" s="98" t="str">
        <f>IF(Match!V40="","",Match!V40)</f>
        <v>Bradford - Harrogate OFF</v>
      </c>
    </row>
    <row r="41" spans="1:5">
      <c r="A41" s="100">
        <f>IF(Match!B41="","",Match!B41)</f>
        <v>44556</v>
      </c>
      <c r="B41" s="99" t="str">
        <f>IF(Match!D41="","",Match!D41)</f>
        <v>League 2</v>
      </c>
      <c r="C41" s="98" t="str">
        <f>IF(Match!U41="","",Match!U41)</f>
        <v>Bristol R  v  Sutton  OFF</v>
      </c>
      <c r="D41" s="98" t="str">
        <f>IF(Match!V41="","",Match!V41)</f>
        <v>Bristol R - Sutton OFF</v>
      </c>
      <c r="E41">
        <v>1</v>
      </c>
    </row>
    <row r="42" spans="1:5">
      <c r="A42" s="100">
        <f>IF(Match!B42="","",Match!B42)</f>
        <v>44556</v>
      </c>
      <c r="B42" s="99" t="str">
        <f>IF(Match!D42="","",Match!D42)</f>
        <v>League 2</v>
      </c>
      <c r="C42" s="98" t="str">
        <f>IF(Match!U42="","",Match!U42)</f>
        <v>Carlisle  v  Rochdale  OFF</v>
      </c>
      <c r="D42" s="98" t="str">
        <f>IF(Match!V42="","",Match!V42)</f>
        <v>Carlisle - Rochdale OFF</v>
      </c>
    </row>
    <row r="43" spans="1:5">
      <c r="A43" s="100">
        <f>IF(Match!B43="","",Match!B43)</f>
        <v>44556</v>
      </c>
      <c r="B43" s="99" t="str">
        <f>IF(Match!D43="","",Match!D43)</f>
        <v>League 2</v>
      </c>
      <c r="C43" s="98" t="str">
        <f>IF(Match!U43="","",Match!U43)</f>
        <v>Colchester  v  Orient  OFF</v>
      </c>
      <c r="D43" s="98" t="str">
        <f>IF(Match!V43="","",Match!V43)</f>
        <v>Colchester - Orient OFF</v>
      </c>
    </row>
    <row r="44" spans="1:5">
      <c r="A44" s="100">
        <f>IF(Match!B44="","",Match!B44)</f>
        <v>44556</v>
      </c>
      <c r="B44" s="99" t="str">
        <f>IF(Match!D44="","",Match!D44)</f>
        <v>League 2</v>
      </c>
      <c r="C44" s="98" t="str">
        <f>IF(Match!U44="","",Match!U44)</f>
        <v>Exeter  v  Swindon  OFF</v>
      </c>
      <c r="D44" s="98" t="str">
        <f>IF(Match!V44="","",Match!V44)</f>
        <v>Exeter - Swindon OFF</v>
      </c>
    </row>
    <row r="45" spans="1:5">
      <c r="A45" s="100">
        <f>IF(Match!B45="","",Match!B45)</f>
        <v>44556</v>
      </c>
      <c r="B45" s="99" t="str">
        <f>IF(Match!D45="","",Match!D45)</f>
        <v>League 2</v>
      </c>
      <c r="C45" s="98" t="str">
        <f>IF(Match!U45="","",Match!U45)</f>
        <v>Newport  v  Forest Green  OFF</v>
      </c>
      <c r="D45" s="98" t="str">
        <f>IF(Match!V45="","",Match!V45)</f>
        <v>Newport - Forest Green OFF</v>
      </c>
    </row>
    <row r="46" spans="1:5">
      <c r="A46" s="100">
        <f>IF(Match!B46="","",Match!B46)</f>
        <v>44556</v>
      </c>
      <c r="B46" s="99" t="str">
        <f>IF(Match!D46="","",Match!D46)</f>
        <v>League 2</v>
      </c>
      <c r="C46" s="98" t="str">
        <f>IF(Match!U46="","",Match!U46)</f>
        <v>Northampton  v  Walsall  OFF</v>
      </c>
      <c r="D46" s="98" t="str">
        <f>IF(Match!V46="","",Match!V46)</f>
        <v>Northampton - Walsall OFF</v>
      </c>
    </row>
    <row r="47" spans="1:5">
      <c r="A47" s="100">
        <f>IF(Match!B47="","",Match!B47)</f>
        <v>44556</v>
      </c>
      <c r="B47" s="99" t="str">
        <f>IF(Match!D47="","",Match!D47)</f>
        <v>League 2</v>
      </c>
      <c r="C47" s="98" t="str">
        <f>IF(Match!U47="","",Match!U47)</f>
        <v>Port Vale  v  Salford  OFF</v>
      </c>
      <c r="D47" s="98" t="str">
        <f>IF(Match!V47="","",Match!V47)</f>
        <v>Port Vale - Salford OFF</v>
      </c>
    </row>
    <row r="48" spans="1:5">
      <c r="A48" s="101" t="str">
        <f>IF(Match!B48="","",Match!B48)</f>
        <v/>
      </c>
      <c r="B48" s="99" t="str">
        <f>IF(Match!D48="","",Match!D48)</f>
        <v/>
      </c>
      <c r="C48" s="98" t="str">
        <f>IF(Match!U48="","",Match!U48)</f>
        <v/>
      </c>
      <c r="D48" s="98" t="str">
        <f>IF(Match!V48="","",Match!V48)</f>
        <v xml:space="preserve"> -  </v>
      </c>
    </row>
    <row r="49" spans="1:4">
      <c r="A49" s="101" t="str">
        <f>IF(Match!B49="","",Match!B49)</f>
        <v/>
      </c>
      <c r="B49" s="99" t="str">
        <f>IF(Match!D49="","",Match!D49)</f>
        <v/>
      </c>
      <c r="C49" s="98" t="str">
        <f>IF(Match!U49="","",Match!U49)</f>
        <v/>
      </c>
      <c r="D49" s="98" t="str">
        <f>IF(Match!V49="","",Match!V49)</f>
        <v xml:space="preserve"> -  </v>
      </c>
    </row>
    <row r="50" spans="1:4">
      <c r="A50" s="101" t="str">
        <f>IF(Match!B50="","",Match!B50)</f>
        <v/>
      </c>
      <c r="B50" s="99" t="str">
        <f>IF(Match!D50="","",Match!D50)</f>
        <v/>
      </c>
      <c r="C50" s="98" t="str">
        <f>IF(Match!U50="","",Match!U50)</f>
        <v/>
      </c>
      <c r="D50" s="98" t="str">
        <f>IF(Match!V50="","",Match!V50)</f>
        <v xml:space="preserve"> -  </v>
      </c>
    </row>
    <row r="51" spans="1:4">
      <c r="A51" s="101" t="str">
        <f>IF(Match!B51="","",Match!B51)</f>
        <v/>
      </c>
      <c r="B51" s="99" t="str">
        <f>IF(Match!D51="","",Match!D51)</f>
        <v/>
      </c>
      <c r="C51" s="98" t="str">
        <f>IF(Match!U51="","",Match!U51)</f>
        <v/>
      </c>
      <c r="D51" s="98" t="str">
        <f>IF(Match!V51="","",Match!V51)</f>
        <v xml:space="preserve"> -  </v>
      </c>
    </row>
    <row r="52" spans="1:4">
      <c r="A52" s="101" t="str">
        <f>IF(Match!B52="","",Match!B52)</f>
        <v/>
      </c>
      <c r="B52" s="99" t="str">
        <f>IF(Match!D52="","",Match!D52)</f>
        <v/>
      </c>
      <c r="C52" s="98" t="str">
        <f>IF(Match!U52="","",Match!U52)</f>
        <v/>
      </c>
      <c r="D52" s="98" t="str">
        <f>IF(Match!V52="","",Match!V52)</f>
        <v xml:space="preserve"> -  </v>
      </c>
    </row>
    <row r="53" spans="1:4">
      <c r="A53" s="101" t="str">
        <f>IF(Match!B53="","",Match!B53)</f>
        <v/>
      </c>
      <c r="B53" s="99" t="str">
        <f>IF(Match!D53="","",Match!D53)</f>
        <v/>
      </c>
      <c r="C53" s="98" t="str">
        <f>IF(Match!U53="","",Match!U53)</f>
        <v/>
      </c>
      <c r="D53" s="98" t="str">
        <f>IF(Match!V53="","",Match!V53)</f>
        <v xml:space="preserve"> -  </v>
      </c>
    </row>
    <row r="54" spans="1:4">
      <c r="A54" s="101" t="str">
        <f>IF(Match!B54="","",Match!B54)</f>
        <v/>
      </c>
      <c r="B54" s="99" t="str">
        <f>IF(Match!D54="","",Match!D54)</f>
        <v/>
      </c>
      <c r="C54" s="98" t="str">
        <f>IF(Match!U54="","",Match!U54)</f>
        <v/>
      </c>
      <c r="D54" s="98" t="str">
        <f>IF(Match!V54="","",Match!V54)</f>
        <v xml:space="preserve"> -  </v>
      </c>
    </row>
    <row r="55" spans="1:4">
      <c r="A55" s="101" t="str">
        <f>IF(Match!B55="","",Match!B55)</f>
        <v/>
      </c>
      <c r="B55" s="99" t="str">
        <f>IF(Match!D55="","",Match!D55)</f>
        <v/>
      </c>
      <c r="C55" s="98" t="str">
        <f>IF(Match!U55="","",Match!U55)</f>
        <v/>
      </c>
      <c r="D55" s="98" t="str">
        <f>IF(Match!V55="","",Match!V55)</f>
        <v xml:space="preserve"> -  </v>
      </c>
    </row>
    <row r="56" spans="1:4">
      <c r="A56" s="101" t="str">
        <f>IF(Match!B56="","",Match!B56)</f>
        <v/>
      </c>
      <c r="B56" s="99" t="str">
        <f>IF(Match!D56="","",Match!D56)</f>
        <v/>
      </c>
      <c r="C56" s="98" t="str">
        <f>IF(Match!U56="","",Match!U56)</f>
        <v/>
      </c>
      <c r="D56" s="98" t="str">
        <f>IF(Match!V56="","",Match!V56)</f>
        <v xml:space="preserve"> -  </v>
      </c>
    </row>
    <row r="57" spans="1:4">
      <c r="A57" s="101" t="str">
        <f>IF(Match!B57="","",Match!B57)</f>
        <v/>
      </c>
      <c r="B57" s="99" t="str">
        <f>IF(Match!D57="","",Match!D57)</f>
        <v/>
      </c>
      <c r="C57" s="98" t="str">
        <f>IF(Match!U57="","",Match!U57)</f>
        <v/>
      </c>
      <c r="D57" s="98" t="str">
        <f>IF(Match!V57="","",Match!V57)</f>
        <v xml:space="preserve"> -  </v>
      </c>
    </row>
    <row r="58" spans="1:4">
      <c r="A58" s="101" t="str">
        <f>IF(Match!B58="","",Match!B58)</f>
        <v/>
      </c>
      <c r="B58" s="99" t="str">
        <f>IF(Match!D58="","",Match!D58)</f>
        <v/>
      </c>
      <c r="C58" s="98" t="str">
        <f>IF(Match!U58="","",Match!U58)</f>
        <v/>
      </c>
      <c r="D58" s="98" t="str">
        <f>IF(Match!V58="","",Match!V58)</f>
        <v xml:space="preserve"> -  </v>
      </c>
    </row>
    <row r="59" spans="1:4">
      <c r="A59" s="101" t="str">
        <f>IF(Match!B59="","",Match!B59)</f>
        <v/>
      </c>
      <c r="B59" s="99" t="str">
        <f>IF(Match!D59="","",Match!D59)</f>
        <v/>
      </c>
      <c r="C59" s="98" t="str">
        <f>IF(Match!U59="","",Match!U59)</f>
        <v/>
      </c>
      <c r="D59" s="98" t="str">
        <f>IF(Match!V59="","",Match!V59)</f>
        <v xml:space="preserve"> -  </v>
      </c>
    </row>
    <row r="60" spans="1:4">
      <c r="A60" s="101" t="str">
        <f>IF(Match!B60="","",Match!B60)</f>
        <v/>
      </c>
      <c r="B60" s="99" t="str">
        <f>IF(Match!D60="","",Match!D60)</f>
        <v/>
      </c>
      <c r="C60" s="98" t="str">
        <f>IF(Match!U60="","",Match!U60)</f>
        <v/>
      </c>
      <c r="D60" s="98" t="str">
        <f>IF(Match!V60="","",Match!V60)</f>
        <v xml:space="preserve"> -  </v>
      </c>
    </row>
    <row r="61" spans="1:4">
      <c r="A61" s="101" t="str">
        <f>IF(Match!B61="","",Match!B61)</f>
        <v/>
      </c>
      <c r="B61" s="99" t="str">
        <f>IF(Match!D61="","",Match!D61)</f>
        <v/>
      </c>
      <c r="C61" s="98" t="str">
        <f>IF(Match!U61="","",Match!U61)</f>
        <v/>
      </c>
      <c r="D61" s="98" t="str">
        <f>IF(Match!V61="","",Match!V61)</f>
        <v/>
      </c>
    </row>
    <row r="62" spans="1:4">
      <c r="A62" s="101" t="str">
        <f>IF(Match!B62="","",Match!B62)</f>
        <v/>
      </c>
      <c r="B62" s="99" t="str">
        <f>IF(Match!D62="","",Match!D62)</f>
        <v/>
      </c>
      <c r="C62" s="98" t="str">
        <f>IF(Match!U62="","",Match!U62)</f>
        <v/>
      </c>
      <c r="D62" s="98" t="str">
        <f>IF(Match!V62="","",Match!V62)</f>
        <v/>
      </c>
    </row>
    <row r="63" spans="1:4">
      <c r="A63" s="101" t="str">
        <f>IF(Match!B63="","",Match!B63)</f>
        <v/>
      </c>
      <c r="B63" s="99" t="str">
        <f>IF(Match!D63="","",Match!D63)</f>
        <v/>
      </c>
      <c r="C63" s="98" t="str">
        <f>IF(Match!U63="","",Match!U63)</f>
        <v/>
      </c>
      <c r="D63" s="98" t="str">
        <f>IF(Match!V63="","",Match!V63)</f>
        <v/>
      </c>
    </row>
    <row r="64" spans="1:4">
      <c r="A64" s="101" t="str">
        <f>IF(Match!B64="","",Match!B64)</f>
        <v/>
      </c>
      <c r="B64" s="99" t="str">
        <f>IF(Match!D64="","",Match!D64)</f>
        <v/>
      </c>
      <c r="C64" s="98" t="str">
        <f>IF(Match!U64="","",Match!U64)</f>
        <v/>
      </c>
      <c r="D64" s="98" t="str">
        <f>IF(Match!V64="","",Match!V64)</f>
        <v/>
      </c>
    </row>
  </sheetData>
  <autoFilter ref="A1:D64" xr:uid="{0F3A510D-2587-4638-B514-B69ADE322528}"/>
  <hyperlinks>
    <hyperlink ref="A1" location="Menu!A1" display="Date" xr:uid="{00000000-0004-0000-0400-000000000000}"/>
  </hyperlinks>
  <pageMargins left="0.70866141732283472" right="0.70866141732283472" top="0.94488188976377963" bottom="0.74803149606299213" header="0.31496062992125984" footer="0.31496062992125984"/>
  <pageSetup paperSize="9" orientation="portrait" horizontalDpi="360" verticalDpi="360" r:id="rId1"/>
  <headerFooter>
    <oddHeader>&amp;L&amp;G&amp;R&amp;24&amp;K7030A0Latest Fixtures</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rgb="FF7030A0"/>
    <pageSetUpPr fitToPage="1"/>
  </sheetPr>
  <dimension ref="A1:AB66"/>
  <sheetViews>
    <sheetView tabSelected="1" zoomScale="90" zoomScaleNormal="90" workbookViewId="0">
      <pane ySplit="1" topLeftCell="A2" activePane="bottomLeft" state="frozen"/>
      <selection pane="bottomLeft" activeCell="D2" sqref="D2"/>
    </sheetView>
  </sheetViews>
  <sheetFormatPr defaultRowHeight="12.75"/>
  <cols>
    <col min="1" max="1" width="15.53125" customWidth="1"/>
    <col min="2" max="2" width="8.796875" hidden="1" customWidth="1"/>
    <col min="3" max="3" width="11.1328125" customWidth="1"/>
    <col min="4" max="4" width="5" customWidth="1"/>
    <col min="5" max="5" width="7.3984375" style="9" hidden="1" customWidth="1"/>
    <col min="6" max="6" width="26.1328125" style="4" customWidth="1"/>
    <col min="7" max="7" width="7.3984375" style="22" hidden="1" customWidth="1"/>
    <col min="8" max="8" width="7.3984375" style="9" hidden="1" customWidth="1"/>
    <col min="9" max="9" width="8.59765625" style="223" customWidth="1"/>
    <col min="10" max="10" width="8" style="321" customWidth="1"/>
    <col min="11" max="11" width="8.86328125" style="223" customWidth="1"/>
    <col min="12" max="12" width="9.1328125" style="321" customWidth="1"/>
    <col min="13" max="13" width="10.73046875" style="478" customWidth="1"/>
    <col min="14" max="14" width="10.73046875" customWidth="1"/>
    <col min="15" max="15" width="10.73046875" style="21" customWidth="1"/>
    <col min="16" max="17" width="10.73046875" customWidth="1"/>
    <col min="18" max="18" width="10.73046875" style="192" customWidth="1"/>
    <col min="19" max="19" width="3.73046875" customWidth="1"/>
    <col min="20" max="20" width="4.59765625" customWidth="1"/>
    <col min="21" max="21" width="41.73046875" customWidth="1"/>
  </cols>
  <sheetData>
    <row r="1" spans="1:28" ht="42.75" customHeight="1" thickBot="1">
      <c r="A1" s="648" t="str">
        <f>CONCATENATE(CurrentSeason,"/Week ",CurrentWeek)</f>
        <v>PL38/Week 20</v>
      </c>
      <c r="B1" s="60" t="s">
        <v>244</v>
      </c>
      <c r="C1" s="295" t="s">
        <v>465</v>
      </c>
      <c r="D1" s="60" t="s">
        <v>228</v>
      </c>
      <c r="E1" s="60" t="s">
        <v>236</v>
      </c>
      <c r="F1" s="267" t="s">
        <v>16</v>
      </c>
      <c r="G1" s="670" t="s">
        <v>274</v>
      </c>
      <c r="H1" s="60" t="s">
        <v>517</v>
      </c>
      <c r="I1" s="315" t="s">
        <v>124</v>
      </c>
      <c r="J1" s="317" t="s">
        <v>125</v>
      </c>
      <c r="K1" s="316" t="s">
        <v>126</v>
      </c>
      <c r="L1" s="322" t="s">
        <v>127</v>
      </c>
      <c r="M1" s="472" t="s">
        <v>271</v>
      </c>
      <c r="N1" s="296" t="s">
        <v>330</v>
      </c>
      <c r="O1" s="296" t="s">
        <v>239</v>
      </c>
      <c r="P1" s="296" t="s">
        <v>173</v>
      </c>
      <c r="Q1" s="296" t="s">
        <v>245</v>
      </c>
      <c r="R1" s="297" t="s">
        <v>249</v>
      </c>
      <c r="S1" s="82"/>
      <c r="T1" s="82"/>
      <c r="U1" s="82"/>
      <c r="V1" s="82"/>
      <c r="W1" s="82"/>
      <c r="X1" s="82"/>
      <c r="Y1" s="82"/>
      <c r="Z1" s="82"/>
      <c r="AA1" s="82"/>
    </row>
    <row r="2" spans="1:28" ht="14" customHeight="1">
      <c r="A2" s="721" t="s">
        <v>232</v>
      </c>
      <c r="B2" s="284" t="str">
        <f t="shared" ref="B2:B33" si="0">CONCATENATE(E2,D2)</f>
        <v>A1</v>
      </c>
      <c r="C2" s="306"/>
      <c r="D2" s="284">
        <v>1</v>
      </c>
      <c r="E2" s="665" t="s">
        <v>240</v>
      </c>
      <c r="F2" s="330" t="s">
        <v>314</v>
      </c>
      <c r="G2" s="669"/>
      <c r="H2" s="665"/>
      <c r="I2" s="331">
        <f>INDEX(Weekly!F:F,MATCH($F2,Weekly!$E:$E,0))</f>
        <v>169.73645789898993</v>
      </c>
      <c r="J2" s="332">
        <f>INDEX(Weekly!G:G,MATCH($F2,Weekly!$E:$E,0))</f>
        <v>18</v>
      </c>
      <c r="K2" s="333">
        <f>INDEX(Weekly!H:H,MATCH($F2,Weekly!$E:$E,0))</f>
        <v>-1</v>
      </c>
      <c r="L2" s="334">
        <f>INDEX(Weekly!I:I,MATCH($F2,Weekly!$E:$E,0))</f>
        <v>0</v>
      </c>
      <c r="M2" s="520" t="e">
        <f>INDEX(Players!F:F,MATCH($F2,Players!#REF!,0))</f>
        <v>#REF!</v>
      </c>
      <c r="N2" s="335">
        <f>INDEX(Prizes!F:F,MATCH($B2,Prizes!A:A,0))</f>
        <v>108.675</v>
      </c>
      <c r="O2" s="300">
        <f>INDEX(Weekly!J:J,MATCH($F2,Weekly!$E:$E,0))</f>
        <v>10</v>
      </c>
      <c r="P2" s="335">
        <f>INDEX(Weekly!K:K,MATCH($F2,Weekly!$E:$E,0))</f>
        <v>0</v>
      </c>
      <c r="Q2" s="335">
        <f>INDEX(Weekly!M:M,MATCH($F2,Weekly!$E:$E,0))</f>
        <v>118.675</v>
      </c>
      <c r="R2" s="683" t="e">
        <f>Q2+M2</f>
        <v>#REF!</v>
      </c>
      <c r="S2" s="82"/>
      <c r="T2" s="82"/>
      <c r="U2" s="82"/>
      <c r="V2" s="82"/>
      <c r="W2" s="82"/>
      <c r="X2" s="82"/>
      <c r="Y2" s="82"/>
      <c r="Z2" s="82"/>
      <c r="AA2" s="82"/>
      <c r="AB2" s="82"/>
    </row>
    <row r="3" spans="1:28" ht="14" customHeight="1">
      <c r="A3" s="722"/>
      <c r="B3" s="1" t="str">
        <f t="shared" si="0"/>
        <v>A2</v>
      </c>
      <c r="C3" s="303"/>
      <c r="D3" s="1">
        <v>2</v>
      </c>
      <c r="E3" s="576" t="s">
        <v>240</v>
      </c>
      <c r="F3" s="514" t="s">
        <v>289</v>
      </c>
      <c r="G3" s="670"/>
      <c r="H3" s="576"/>
      <c r="I3" s="292">
        <f>INDEX(Weekly!F:F,MATCH($F3,Weekly!$E:$E,0))</f>
        <v>52.422337662337654</v>
      </c>
      <c r="J3" s="516">
        <f>INDEX(Weekly!G:G,MATCH($F3,Weekly!$E:$E,0))</f>
        <v>30</v>
      </c>
      <c r="K3" s="518">
        <f>INDEX(Weekly!H:H,MATCH($F3,Weekly!$E:$E,0))</f>
        <v>9.2200000000000024</v>
      </c>
      <c r="L3" s="323">
        <f>INDEX(Weekly!I:I,MATCH($F3,Weekly!$E:$E,0))</f>
        <v>2</v>
      </c>
      <c r="M3" s="520" t="e">
        <f>INDEX(Players!F:F,MATCH($F3,Players!#REF!,0))</f>
        <v>#REF!</v>
      </c>
      <c r="N3" s="521">
        <f>INDEX(Prizes!F:F,MATCH($B3,Prizes!A:A,0))</f>
        <v>77.625</v>
      </c>
      <c r="O3" s="522">
        <f>INDEX(Weekly!J:J,MATCH($F3,Weekly!$E:$E,0))</f>
        <v>10</v>
      </c>
      <c r="P3" s="521">
        <f>INDEX(Weekly!K:K,MATCH($F3,Weekly!$E:$E,0))</f>
        <v>0</v>
      </c>
      <c r="Q3" s="521">
        <f>INDEX(Weekly!M:M,MATCH($F3,Weekly!$E:$E,0))</f>
        <v>87.625</v>
      </c>
      <c r="R3" s="684" t="e">
        <f t="shared" ref="R3:R59" si="1">Q3+M3</f>
        <v>#REF!</v>
      </c>
      <c r="S3" s="82"/>
      <c r="T3" s="82"/>
      <c r="U3" s="82"/>
      <c r="V3" s="82"/>
      <c r="W3" s="82"/>
      <c r="X3" s="82"/>
      <c r="Y3" s="82"/>
      <c r="Z3" s="82"/>
      <c r="AA3" s="82"/>
      <c r="AB3" s="82"/>
    </row>
    <row r="4" spans="1:28" ht="14" customHeight="1">
      <c r="A4" s="722"/>
      <c r="B4" s="1" t="str">
        <f t="shared" si="0"/>
        <v>A3</v>
      </c>
      <c r="C4" s="303"/>
      <c r="D4" s="575">
        <v>3</v>
      </c>
      <c r="E4" s="576" t="s">
        <v>240</v>
      </c>
      <c r="F4" s="514" t="s">
        <v>323</v>
      </c>
      <c r="G4" s="670"/>
      <c r="H4" s="576"/>
      <c r="I4" s="292">
        <f>INDEX(Weekly!F:F,MATCH($F4,Weekly!$E:$E,0))</f>
        <v>36.199999999999996</v>
      </c>
      <c r="J4" s="516">
        <f>INDEX(Weekly!G:G,MATCH($F4,Weekly!$E:$E,0))</f>
        <v>21</v>
      </c>
      <c r="K4" s="518">
        <f>INDEX(Weekly!H:H,MATCH($F4,Weekly!$E:$E,0))</f>
        <v>7.75</v>
      </c>
      <c r="L4" s="323">
        <f>INDEX(Weekly!I:I,MATCH($F4,Weekly!$E:$E,0))</f>
        <v>2</v>
      </c>
      <c r="M4" s="520" t="e">
        <f>INDEX(Players!F:F,MATCH($F4,Players!#REF!,0))</f>
        <v>#REF!</v>
      </c>
      <c r="N4" s="521">
        <f>INDEX(Prizes!F:F,MATCH($B4,Prizes!A:A,0))</f>
        <v>55.89</v>
      </c>
      <c r="O4" s="522">
        <f>INDEX(Weekly!J:J,MATCH($F4,Weekly!$E:$E,0))</f>
        <v>10</v>
      </c>
      <c r="P4" s="521">
        <f>INDEX(Weekly!K:K,MATCH($F4,Weekly!$E:$E,0))</f>
        <v>0</v>
      </c>
      <c r="Q4" s="521">
        <f>INDEX(Weekly!M:M,MATCH($F4,Weekly!$E:$E,0))</f>
        <v>65.89</v>
      </c>
      <c r="R4" s="684" t="e">
        <f t="shared" si="1"/>
        <v>#REF!</v>
      </c>
      <c r="S4" s="82"/>
      <c r="T4" s="314"/>
      <c r="U4" s="97" t="s">
        <v>276</v>
      </c>
      <c r="V4" s="82"/>
      <c r="W4" s="82"/>
      <c r="X4" s="82"/>
      <c r="Y4" s="82"/>
      <c r="Z4" s="82"/>
      <c r="AA4" s="82"/>
      <c r="AB4" s="82"/>
    </row>
    <row r="5" spans="1:28" ht="14" customHeight="1">
      <c r="A5" s="722"/>
      <c r="B5" s="1" t="str">
        <f t="shared" si="0"/>
        <v>A4</v>
      </c>
      <c r="C5" s="303"/>
      <c r="D5" s="11">
        <v>4</v>
      </c>
      <c r="E5" s="576" t="s">
        <v>240</v>
      </c>
      <c r="F5" s="514" t="s">
        <v>294</v>
      </c>
      <c r="G5" s="670"/>
      <c r="H5" s="576"/>
      <c r="I5" s="292">
        <f>INDEX(Weekly!F:F,MATCH($F5,Weekly!$E:$E,0))</f>
        <v>34.26347402597402</v>
      </c>
      <c r="J5" s="516">
        <f>INDEX(Weekly!G:G,MATCH($F5,Weekly!$E:$E,0))</f>
        <v>27</v>
      </c>
      <c r="K5" s="518">
        <f>INDEX(Weekly!H:H,MATCH($F5,Weekly!$E:$E,0))</f>
        <v>-2.0600000000000005</v>
      </c>
      <c r="L5" s="323">
        <f>INDEX(Weekly!I:I,MATCH($F5,Weekly!$E:$E,0))</f>
        <v>2</v>
      </c>
      <c r="M5" s="520" t="e">
        <f>INDEX(Players!F:F,MATCH($F5,Players!#REF!,0))</f>
        <v>#REF!</v>
      </c>
      <c r="N5" s="521">
        <f>INDEX(Prizes!F:F,MATCH($B5,Prizes!A:A,0))</f>
        <v>37.26</v>
      </c>
      <c r="O5" s="522">
        <f>INDEX(Weekly!J:J,MATCH($F5,Weekly!$E:$E,0))</f>
        <v>10</v>
      </c>
      <c r="P5" s="521">
        <f>INDEX(Weekly!K:K,MATCH($F5,Weekly!$E:$E,0))</f>
        <v>0</v>
      </c>
      <c r="Q5" s="521">
        <f>INDEX(Weekly!M:M,MATCH($F5,Weekly!$E:$E,0))</f>
        <v>47.26</v>
      </c>
      <c r="R5" s="684" t="e">
        <f t="shared" si="1"/>
        <v>#REF!</v>
      </c>
      <c r="S5" s="82"/>
      <c r="T5" s="308"/>
      <c r="U5" s="74" t="s">
        <v>277</v>
      </c>
      <c r="V5" s="82"/>
      <c r="W5" s="82"/>
      <c r="X5" s="82"/>
      <c r="Y5" s="82"/>
      <c r="Z5" s="82"/>
      <c r="AA5" s="82"/>
      <c r="AB5" s="82"/>
    </row>
    <row r="6" spans="1:28" ht="14" customHeight="1">
      <c r="A6" s="722"/>
      <c r="B6" s="11" t="str">
        <f t="shared" si="0"/>
        <v>A5</v>
      </c>
      <c r="C6" s="304"/>
      <c r="D6" s="1">
        <v>5</v>
      </c>
      <c r="E6" s="576" t="s">
        <v>240</v>
      </c>
      <c r="F6" s="514" t="s">
        <v>296</v>
      </c>
      <c r="G6" s="670"/>
      <c r="H6" s="576"/>
      <c r="I6" s="292">
        <f>INDEX(Weekly!F:F,MATCH($F6,Weekly!$E:$E,0))</f>
        <v>12.805</v>
      </c>
      <c r="J6" s="516">
        <f>INDEX(Weekly!G:G,MATCH($F6,Weekly!$E:$E,0))</f>
        <v>14</v>
      </c>
      <c r="K6" s="518">
        <f>INDEX(Weekly!H:H,MATCH($F6,Weekly!$E:$E,0))</f>
        <v>-7</v>
      </c>
      <c r="L6" s="323">
        <f>INDEX(Weekly!I:I,MATCH($F6,Weekly!$E:$E,0))</f>
        <v>0</v>
      </c>
      <c r="M6" s="520" t="e">
        <f>INDEX(Players!F:F,MATCH($F6,Players!#REF!,0))</f>
        <v>#REF!</v>
      </c>
      <c r="N6" s="521">
        <f>INDEX(Prizes!F:F,MATCH($B6,Prizes!A:A,0))</f>
        <v>21.734999999999999</v>
      </c>
      <c r="O6" s="522">
        <f>INDEX(Weekly!J:J,MATCH($F6,Weekly!$E:$E,0))</f>
        <v>15</v>
      </c>
      <c r="P6" s="521">
        <f>INDEX(Weekly!K:K,MATCH($F6,Weekly!$E:$E,0))</f>
        <v>0</v>
      </c>
      <c r="Q6" s="521">
        <f>INDEX(Weekly!M:M,MATCH($F6,Weekly!$E:$E,0))</f>
        <v>36.734999999999999</v>
      </c>
      <c r="R6" s="684" t="e">
        <f t="shared" si="1"/>
        <v>#REF!</v>
      </c>
      <c r="S6" s="82"/>
      <c r="T6" s="309"/>
      <c r="U6" s="74" t="s">
        <v>278</v>
      </c>
      <c r="V6" s="82"/>
      <c r="W6" s="82"/>
      <c r="X6" s="82"/>
      <c r="Y6" s="82"/>
      <c r="Z6" s="82"/>
      <c r="AA6" s="82"/>
      <c r="AB6" s="82"/>
    </row>
    <row r="7" spans="1:28" ht="14" customHeight="1">
      <c r="A7" s="722"/>
      <c r="B7" s="1" t="str">
        <f t="shared" si="0"/>
        <v>A6</v>
      </c>
      <c r="C7" s="303"/>
      <c r="D7" s="1">
        <v>6</v>
      </c>
      <c r="E7" s="576" t="s">
        <v>240</v>
      </c>
      <c r="F7" s="514" t="s">
        <v>290</v>
      </c>
      <c r="G7" s="670"/>
      <c r="H7" s="576"/>
      <c r="I7" s="292">
        <f>INDEX(Weekly!F:F,MATCH($F7,Weekly!$E:$E,0))</f>
        <v>10.640701704545467</v>
      </c>
      <c r="J7" s="516">
        <f>INDEX(Weekly!G:G,MATCH($F7,Weekly!$E:$E,0))</f>
        <v>29</v>
      </c>
      <c r="K7" s="518">
        <f>INDEX(Weekly!H:H,MATCH($F7,Weekly!$E:$E,0))</f>
        <v>1.7650000000000006</v>
      </c>
      <c r="L7" s="323">
        <f>INDEX(Weekly!I:I,MATCH($F7,Weekly!$E:$E,0))</f>
        <v>2</v>
      </c>
      <c r="M7" s="520" t="e">
        <f>INDEX(Players!F:F,MATCH($F7,Players!#REF!,0))</f>
        <v>#REF!</v>
      </c>
      <c r="N7" s="521">
        <f>INDEX(Prizes!F:F,MATCH($B7,Prizes!A:A,0))</f>
        <v>9.3149999999999995</v>
      </c>
      <c r="O7" s="522">
        <f>INDEX(Weekly!J:J,MATCH($F7,Weekly!$E:$E,0))</f>
        <v>15</v>
      </c>
      <c r="P7" s="521">
        <f>INDEX(Weekly!K:K,MATCH($F7,Weekly!$E:$E,0))</f>
        <v>0</v>
      </c>
      <c r="Q7" s="521">
        <f>INDEX(Weekly!M:M,MATCH($F7,Weekly!$E:$E,0))</f>
        <v>24.314999999999998</v>
      </c>
      <c r="R7" s="684" t="e">
        <f t="shared" si="1"/>
        <v>#REF!</v>
      </c>
      <c r="S7" s="82"/>
      <c r="T7" s="310"/>
      <c r="U7" s="74" t="s">
        <v>279</v>
      </c>
      <c r="V7" s="82"/>
      <c r="W7" s="82"/>
      <c r="X7" s="82"/>
      <c r="Y7" s="82"/>
      <c r="Z7" s="82"/>
      <c r="AA7" s="82"/>
      <c r="AB7" s="82"/>
    </row>
    <row r="8" spans="1:28" ht="14" customHeight="1">
      <c r="A8" s="722"/>
      <c r="B8" s="1" t="str">
        <f t="shared" si="0"/>
        <v>A7</v>
      </c>
      <c r="C8" s="303"/>
      <c r="D8" s="1">
        <v>7</v>
      </c>
      <c r="E8" s="576" t="s">
        <v>240</v>
      </c>
      <c r="F8" s="514" t="s">
        <v>312</v>
      </c>
      <c r="G8" s="670"/>
      <c r="H8" s="576"/>
      <c r="I8" s="292">
        <f>INDEX(Weekly!F:F,MATCH($F8,Weekly!$E:$E,0))</f>
        <v>10.18110302197802</v>
      </c>
      <c r="J8" s="516">
        <f>INDEX(Weekly!G:G,MATCH($F8,Weekly!$E:$E,0))</f>
        <v>37</v>
      </c>
      <c r="K8" s="518">
        <f>INDEX(Weekly!H:H,MATCH($F8,Weekly!$E:$E,0))</f>
        <v>14.207499999999996</v>
      </c>
      <c r="L8" s="323">
        <f>INDEX(Weekly!I:I,MATCH($F8,Weekly!$E:$E,0))</f>
        <v>3</v>
      </c>
      <c r="M8" s="520" t="e">
        <f>INDEX(Players!F:F,MATCH($F8,Players!#REF!,0))</f>
        <v>#REF!</v>
      </c>
      <c r="N8" s="521">
        <f>INDEX(Prizes!F:F,MATCH($B8,Prizes!A:A,0))</f>
        <v>0</v>
      </c>
      <c r="O8" s="522">
        <f>INDEX(Weekly!J:J,MATCH($F8,Weekly!$E:$E,0))</f>
        <v>5</v>
      </c>
      <c r="P8" s="521">
        <f>INDEX(Weekly!K:K,MATCH($F8,Weekly!$E:$E,0))</f>
        <v>0</v>
      </c>
      <c r="Q8" s="521">
        <f>INDEX(Weekly!M:M,MATCH($F8,Weekly!$E:$E,0))</f>
        <v>5</v>
      </c>
      <c r="R8" s="684" t="e">
        <f t="shared" si="1"/>
        <v>#REF!</v>
      </c>
      <c r="S8" s="82"/>
      <c r="T8" s="311"/>
      <c r="U8" s="74" t="s">
        <v>280</v>
      </c>
      <c r="V8" s="82"/>
      <c r="W8" s="82"/>
      <c r="X8" s="82"/>
      <c r="Y8" s="82"/>
      <c r="Z8" s="82"/>
      <c r="AA8" s="82"/>
      <c r="AB8" s="82"/>
    </row>
    <row r="9" spans="1:28" ht="14" customHeight="1">
      <c r="A9" s="722"/>
      <c r="B9" s="1" t="str">
        <f t="shared" si="0"/>
        <v>A8</v>
      </c>
      <c r="C9" s="303"/>
      <c r="D9" s="1">
        <v>8</v>
      </c>
      <c r="E9" s="576" t="s">
        <v>240</v>
      </c>
      <c r="F9" s="514" t="s">
        <v>318</v>
      </c>
      <c r="G9" s="670"/>
      <c r="H9" s="576"/>
      <c r="I9" s="292">
        <f>INDEX(Weekly!F:F,MATCH($F9,Weekly!$E:$E,0))</f>
        <v>8.1695454545454549</v>
      </c>
      <c r="J9" s="516">
        <f>INDEX(Weekly!G:G,MATCH($F9,Weekly!$E:$E,0))</f>
        <v>24</v>
      </c>
      <c r="K9" s="518">
        <f>INDEX(Weekly!H:H,MATCH($F9,Weekly!$E:$E,0))</f>
        <v>2.7249999999999996</v>
      </c>
      <c r="L9" s="323">
        <f>INDEX(Weekly!I:I,MATCH($F9,Weekly!$E:$E,0))</f>
        <v>2</v>
      </c>
      <c r="M9" s="520" t="e">
        <f>INDEX(Players!F:F,MATCH($F9,Players!#REF!,0))</f>
        <v>#REF!</v>
      </c>
      <c r="N9" s="521">
        <f>INDEX(Prizes!F:F,MATCH($B9,Prizes!A:A,0))</f>
        <v>0</v>
      </c>
      <c r="O9" s="522">
        <f>INDEX(Weekly!J:J,MATCH($F9,Weekly!$E:$E,0))</f>
        <v>15</v>
      </c>
      <c r="P9" s="521">
        <f>INDEX(Weekly!K:K,MATCH($F9,Weekly!$E:$E,0))</f>
        <v>0</v>
      </c>
      <c r="Q9" s="521">
        <f>INDEX(Weekly!M:M,MATCH($F9,Weekly!$E:$E,0))</f>
        <v>15</v>
      </c>
      <c r="R9" s="684" t="e">
        <f t="shared" si="1"/>
        <v>#REF!</v>
      </c>
      <c r="S9" s="82"/>
      <c r="T9" s="312"/>
      <c r="U9" s="74" t="s">
        <v>281</v>
      </c>
      <c r="V9" s="82"/>
      <c r="W9" s="82"/>
      <c r="X9" s="82"/>
      <c r="Y9" s="82"/>
      <c r="Z9" s="82"/>
      <c r="AA9" s="82"/>
      <c r="AB9" s="82"/>
    </row>
    <row r="10" spans="1:28" ht="14" customHeight="1">
      <c r="A10" s="722"/>
      <c r="B10" s="1" t="str">
        <f t="shared" si="0"/>
        <v>A9</v>
      </c>
      <c r="C10" s="547" t="s">
        <v>273</v>
      </c>
      <c r="D10" s="1">
        <v>9</v>
      </c>
      <c r="E10" s="576" t="s">
        <v>240</v>
      </c>
      <c r="F10" s="514" t="s">
        <v>325</v>
      </c>
      <c r="G10" s="670"/>
      <c r="H10" s="576"/>
      <c r="I10" s="292">
        <f>INDEX(Weekly!F:F,MATCH($F10,Weekly!$E:$E,0))</f>
        <v>4.6303696303696311</v>
      </c>
      <c r="J10" s="516">
        <f>INDEX(Weekly!G:G,MATCH($F10,Weekly!$E:$E,0))</f>
        <v>30</v>
      </c>
      <c r="K10" s="518">
        <f>INDEX(Weekly!H:H,MATCH($F10,Weekly!$E:$E,0))</f>
        <v>-0.93846153846153868</v>
      </c>
      <c r="L10" s="323">
        <f>INDEX(Weekly!I:I,MATCH($F10,Weekly!$E:$E,0))</f>
        <v>2</v>
      </c>
      <c r="M10" s="520" t="e">
        <f>INDEX(Players!F:F,MATCH($F10,Players!#REF!,0))</f>
        <v>#REF!</v>
      </c>
      <c r="N10" s="521">
        <f>INDEX(Prizes!F:F,MATCH($B10,Prizes!A:A,0))</f>
        <v>0</v>
      </c>
      <c r="O10" s="522">
        <f>INDEX(Weekly!J:J,MATCH($F10,Weekly!$E:$E,0))</f>
        <v>20</v>
      </c>
      <c r="P10" s="521">
        <f>INDEX(Weekly!K:K,MATCH($F10,Weekly!$E:$E,0))</f>
        <v>0</v>
      </c>
      <c r="Q10" s="521">
        <f>INDEX(Weekly!M:M,MATCH($F10,Weekly!$E:$E,0))</f>
        <v>20</v>
      </c>
      <c r="R10" s="684" t="e">
        <f t="shared" si="1"/>
        <v>#REF!</v>
      </c>
      <c r="S10" s="82"/>
      <c r="T10" s="313"/>
      <c r="U10" s="74" t="s">
        <v>282</v>
      </c>
      <c r="V10" s="82"/>
      <c r="W10" s="82"/>
      <c r="X10" s="82"/>
      <c r="Y10" s="82"/>
      <c r="Z10" s="82"/>
      <c r="AA10" s="82"/>
      <c r="AB10" s="82"/>
    </row>
    <row r="11" spans="1:28" ht="14" customHeight="1">
      <c r="A11" s="722"/>
      <c r="B11" s="1" t="str">
        <f t="shared" si="0"/>
        <v>A10</v>
      </c>
      <c r="C11" s="547" t="s">
        <v>273</v>
      </c>
      <c r="D11" s="1">
        <v>10</v>
      </c>
      <c r="E11" s="576" t="s">
        <v>240</v>
      </c>
      <c r="F11" s="514" t="s">
        <v>298</v>
      </c>
      <c r="G11" s="671"/>
      <c r="H11" s="576"/>
      <c r="I11" s="292">
        <f>INDEX(Weekly!F:F,MATCH($F11,Weekly!$E:$E,0))</f>
        <v>1.7248520541958063</v>
      </c>
      <c r="J11" s="516">
        <f>INDEX(Weekly!G:G,MATCH($F11,Weekly!$E:$E,0))</f>
        <v>36</v>
      </c>
      <c r="K11" s="518">
        <f>INDEX(Weekly!H:H,MATCH($F11,Weekly!$E:$E,0))</f>
        <v>0.57500000000000018</v>
      </c>
      <c r="L11" s="323">
        <f>INDEX(Weekly!I:I,MATCH($F11,Weekly!$E:$E,0))</f>
        <v>2</v>
      </c>
      <c r="M11" s="520" t="e">
        <f>INDEX(Players!F:F,MATCH($F11,Players!#REF!,0))</f>
        <v>#REF!</v>
      </c>
      <c r="N11" s="521">
        <f>INDEX(Prizes!F:F,MATCH($B11,Prizes!A:A,0))</f>
        <v>0</v>
      </c>
      <c r="O11" s="522">
        <f>INDEX(Weekly!J:J,MATCH($F11,Weekly!$E:$E,0))</f>
        <v>5</v>
      </c>
      <c r="P11" s="521">
        <f>INDEX(Weekly!K:K,MATCH($F11,Weekly!$E:$E,0))</f>
        <v>0</v>
      </c>
      <c r="Q11" s="521">
        <f>INDEX(Weekly!M:M,MATCH($F11,Weekly!$E:$E,0))</f>
        <v>5</v>
      </c>
      <c r="R11" s="684" t="e">
        <f t="shared" si="1"/>
        <v>#REF!</v>
      </c>
      <c r="S11" s="82"/>
      <c r="T11" s="82"/>
      <c r="U11" s="82"/>
      <c r="V11" s="82"/>
      <c r="W11" s="82"/>
      <c r="X11" s="82"/>
      <c r="Y11" s="82"/>
      <c r="Z11" s="82"/>
      <c r="AA11" s="82"/>
      <c r="AB11" s="82"/>
    </row>
    <row r="12" spans="1:28" ht="14" customHeight="1">
      <c r="A12" s="722"/>
      <c r="B12" s="1" t="str">
        <f t="shared" si="0"/>
        <v>A11</v>
      </c>
      <c r="C12" s="384" t="s">
        <v>274</v>
      </c>
      <c r="D12" s="385">
        <v>11</v>
      </c>
      <c r="E12" s="666" t="s">
        <v>240</v>
      </c>
      <c r="F12" s="377" t="s">
        <v>384</v>
      </c>
      <c r="G12" s="671"/>
      <c r="H12" s="666"/>
      <c r="I12" s="378">
        <f>INDEX(Weekly!F:F,MATCH($F12,Weekly!$E:$E,0))</f>
        <v>-8.1312499999999979</v>
      </c>
      <c r="J12" s="379">
        <f>INDEX(Weekly!G:G,MATCH($F12,Weekly!$E:$E,0))</f>
        <v>14</v>
      </c>
      <c r="K12" s="380">
        <f>INDEX(Weekly!H:H,MATCH($F12,Weekly!$E:$E,0))</f>
        <v>-7</v>
      </c>
      <c r="L12" s="381">
        <f>INDEX(Weekly!I:I,MATCH($F12,Weekly!$E:$E,0))</f>
        <v>0</v>
      </c>
      <c r="M12" s="520" t="e">
        <f>INDEX(Players!F:F,MATCH($F12,Players!#REF!,0))</f>
        <v>#REF!</v>
      </c>
      <c r="N12" s="382">
        <f>INDEX(Prizes!F:F,MATCH($B12,Prizes!A:A,0))</f>
        <v>0</v>
      </c>
      <c r="O12" s="383">
        <f>INDEX(Weekly!J:J,MATCH($F12,Weekly!$E:$E,0))</f>
        <v>10</v>
      </c>
      <c r="P12" s="382">
        <f>INDEX(Weekly!K:K,MATCH($F12,Weekly!$E:$E,0))</f>
        <v>0</v>
      </c>
      <c r="Q12" s="382">
        <f>INDEX(Weekly!M:M,MATCH($F12,Weekly!$E:$E,0))</f>
        <v>10</v>
      </c>
      <c r="R12" s="685" t="e">
        <f t="shared" si="1"/>
        <v>#REF!</v>
      </c>
      <c r="S12" s="82"/>
      <c r="T12" s="82"/>
      <c r="U12" s="82"/>
      <c r="V12" s="82"/>
      <c r="W12" s="82"/>
      <c r="X12" s="82"/>
      <c r="Y12" s="82"/>
      <c r="Z12" s="82"/>
      <c r="AA12" s="82"/>
      <c r="AB12" s="82"/>
    </row>
    <row r="13" spans="1:28" ht="14" customHeight="1">
      <c r="A13" s="722"/>
      <c r="B13" s="11" t="str">
        <f t="shared" si="0"/>
        <v>A12</v>
      </c>
      <c r="C13" s="290" t="s">
        <v>274</v>
      </c>
      <c r="D13" s="1">
        <v>12</v>
      </c>
      <c r="E13" s="576" t="s">
        <v>240</v>
      </c>
      <c r="F13" s="514" t="s">
        <v>310</v>
      </c>
      <c r="G13" s="670"/>
      <c r="H13" s="576"/>
      <c r="I13" s="292">
        <f>INDEX(Weekly!F:F,MATCH($F13,Weekly!$E:$E,0))</f>
        <v>-9.1074458874458912</v>
      </c>
      <c r="J13" s="516">
        <f>INDEX(Weekly!G:G,MATCH($F13,Weekly!$E:$E,0))</f>
        <v>36</v>
      </c>
      <c r="K13" s="518">
        <f>INDEX(Weekly!H:H,MATCH($F13,Weekly!$E:$E,0))</f>
        <v>11.818803418803419</v>
      </c>
      <c r="L13" s="323">
        <f>INDEX(Weekly!I:I,MATCH($F13,Weekly!$E:$E,0))</f>
        <v>3</v>
      </c>
      <c r="M13" s="520" t="e">
        <f>INDEX(Players!F:F,MATCH($F13,Players!#REF!,0))</f>
        <v>#REF!</v>
      </c>
      <c r="N13" s="521">
        <f>INDEX(Prizes!F:F,MATCH($B13,Prizes!A:A,0))</f>
        <v>0</v>
      </c>
      <c r="O13" s="522">
        <f>INDEX(Weekly!J:J,MATCH($F13,Weekly!$E:$E,0))</f>
        <v>10</v>
      </c>
      <c r="P13" s="521">
        <f>INDEX(Weekly!K:K,MATCH($F13,Weekly!$E:$E,0))</f>
        <v>0</v>
      </c>
      <c r="Q13" s="521">
        <f>INDEX(Weekly!M:M,MATCH($F13,Weekly!$E:$E,0))</f>
        <v>10</v>
      </c>
      <c r="R13" s="684" t="e">
        <f t="shared" si="1"/>
        <v>#REF!</v>
      </c>
      <c r="S13" s="82"/>
      <c r="T13" s="82"/>
      <c r="U13" s="82"/>
      <c r="V13" s="82"/>
      <c r="W13" s="82"/>
      <c r="X13" s="82"/>
      <c r="Y13" s="82"/>
      <c r="Z13" s="82"/>
      <c r="AA13" s="82"/>
      <c r="AB13" s="82"/>
    </row>
    <row r="14" spans="1:28" ht="14" customHeight="1">
      <c r="A14" s="722"/>
      <c r="B14" s="1" t="str">
        <f t="shared" si="0"/>
        <v>A13</v>
      </c>
      <c r="C14" s="289" t="s">
        <v>274</v>
      </c>
      <c r="D14" s="1">
        <v>13</v>
      </c>
      <c r="E14" s="576" t="s">
        <v>240</v>
      </c>
      <c r="F14" s="514" t="s">
        <v>307</v>
      </c>
      <c r="G14" s="670"/>
      <c r="H14" s="576"/>
      <c r="I14" s="292">
        <f>INDEX(Weekly!F:F,MATCH($F14,Weekly!$E:$E,0))</f>
        <v>-21.882575757575747</v>
      </c>
      <c r="J14" s="516">
        <f>INDEX(Weekly!G:G,MATCH($F14,Weekly!$E:$E,0))</f>
        <v>28</v>
      </c>
      <c r="K14" s="518">
        <f>INDEX(Weekly!H:H,MATCH($F14,Weekly!$E:$E,0))</f>
        <v>14.680000000000003</v>
      </c>
      <c r="L14" s="323">
        <f>INDEX(Weekly!I:I,MATCH($F14,Weekly!$E:$E,0))</f>
        <v>2</v>
      </c>
      <c r="M14" s="520" t="e">
        <f>INDEX(Players!F:F,MATCH($F14,Players!#REF!,0))</f>
        <v>#REF!</v>
      </c>
      <c r="N14" s="521">
        <f>INDEX(Prizes!F:F,MATCH($B14,Prizes!A:A,0))</f>
        <v>0</v>
      </c>
      <c r="O14" s="522">
        <f>INDEX(Weekly!J:J,MATCH($F14,Weekly!$E:$E,0))</f>
        <v>5</v>
      </c>
      <c r="P14" s="521">
        <f>INDEX(Weekly!K:K,MATCH($F14,Weekly!$E:$E,0))</f>
        <v>0</v>
      </c>
      <c r="Q14" s="521">
        <f>INDEX(Weekly!M:M,MATCH($F14,Weekly!$E:$E,0))</f>
        <v>5</v>
      </c>
      <c r="R14" s="684" t="e">
        <f t="shared" si="1"/>
        <v>#REF!</v>
      </c>
      <c r="S14" s="82"/>
      <c r="T14" s="82"/>
      <c r="U14" s="82"/>
      <c r="V14" s="82"/>
      <c r="W14" s="82"/>
      <c r="X14" s="82"/>
      <c r="Y14" s="82"/>
      <c r="Z14" s="82"/>
      <c r="AA14" s="82"/>
      <c r="AB14" s="82"/>
    </row>
    <row r="15" spans="1:28" ht="14" customHeight="1">
      <c r="A15" s="722"/>
      <c r="B15" s="1" t="str">
        <f t="shared" si="0"/>
        <v>A14</v>
      </c>
      <c r="C15" s="289" t="s">
        <v>274</v>
      </c>
      <c r="D15" s="1">
        <v>14</v>
      </c>
      <c r="E15" s="576" t="s">
        <v>240</v>
      </c>
      <c r="F15" s="514" t="s">
        <v>388</v>
      </c>
      <c r="G15" s="670"/>
      <c r="H15" s="576"/>
      <c r="I15" s="292">
        <f>INDEX(Weekly!F:F,MATCH($F15,Weekly!$E:$E,0))</f>
        <v>-31.12591288341288</v>
      </c>
      <c r="J15" s="516">
        <f>INDEX(Weekly!G:G,MATCH($F15,Weekly!$E:$E,0))</f>
        <v>27</v>
      </c>
      <c r="K15" s="518">
        <f>INDEX(Weekly!H:H,MATCH($F15,Weekly!$E:$E,0))</f>
        <v>-1.6068376068376065</v>
      </c>
      <c r="L15" s="323">
        <f>INDEX(Weekly!I:I,MATCH($F15,Weekly!$E:$E,0))</f>
        <v>2</v>
      </c>
      <c r="M15" s="520" t="e">
        <f>INDEX(Players!F:F,MATCH($F15,Players!#REF!,0))</f>
        <v>#REF!</v>
      </c>
      <c r="N15" s="521">
        <f>INDEX(Prizes!F:F,MATCH($B15,Prizes!A:A,0))</f>
        <v>0</v>
      </c>
      <c r="O15" s="522">
        <f>INDEX(Weekly!J:J,MATCH($F15,Weekly!$E:$E,0))</f>
        <v>10</v>
      </c>
      <c r="P15" s="521">
        <f>INDEX(Weekly!K:K,MATCH($F15,Weekly!$E:$E,0))</f>
        <v>0</v>
      </c>
      <c r="Q15" s="521">
        <f>INDEX(Weekly!M:M,MATCH($F15,Weekly!$E:$E,0))</f>
        <v>10</v>
      </c>
      <c r="R15" s="684" t="e">
        <f t="shared" si="1"/>
        <v>#REF!</v>
      </c>
      <c r="S15" s="82"/>
      <c r="T15" s="82"/>
      <c r="U15" s="82"/>
      <c r="V15" s="82"/>
      <c r="W15" s="82"/>
      <c r="X15" s="82"/>
      <c r="Y15" s="82"/>
      <c r="Z15" s="82"/>
      <c r="AA15" s="82"/>
      <c r="AB15" s="82"/>
    </row>
    <row r="16" spans="1:28" ht="14" customHeight="1">
      <c r="A16" s="722"/>
      <c r="B16" s="1" t="str">
        <f t="shared" si="0"/>
        <v>A15</v>
      </c>
      <c r="C16" s="289" t="s">
        <v>274</v>
      </c>
      <c r="D16" s="1">
        <v>15</v>
      </c>
      <c r="E16" s="576" t="s">
        <v>240</v>
      </c>
      <c r="F16" s="514" t="s">
        <v>299</v>
      </c>
      <c r="G16" s="670"/>
      <c r="H16" s="576"/>
      <c r="I16" s="292">
        <f>INDEX(Weekly!F:F,MATCH($F16,Weekly!$E:$E,0))</f>
        <v>-62.134999999999998</v>
      </c>
      <c r="J16" s="516">
        <f>INDEX(Weekly!G:G,MATCH($F16,Weekly!$E:$E,0))</f>
        <v>20</v>
      </c>
      <c r="K16" s="518">
        <f>INDEX(Weekly!H:H,MATCH($F16,Weekly!$E:$E,0))</f>
        <v>-7</v>
      </c>
      <c r="L16" s="323">
        <f>INDEX(Weekly!I:I,MATCH($F16,Weekly!$E:$E,0))</f>
        <v>0</v>
      </c>
      <c r="M16" s="520" t="e">
        <f>INDEX(Players!F:F,MATCH($F16,Players!#REF!,0))</f>
        <v>#REF!</v>
      </c>
      <c r="N16" s="521">
        <f>INDEX(Prizes!F:F,MATCH($B16,Prizes!A:A,0))</f>
        <v>0</v>
      </c>
      <c r="O16" s="522">
        <f>INDEX(Weekly!J:J,MATCH($F16,Weekly!$E:$E,0))</f>
        <v>0</v>
      </c>
      <c r="P16" s="521">
        <f>INDEX(Weekly!K:K,MATCH($F16,Weekly!$E:$E,0))</f>
        <v>0</v>
      </c>
      <c r="Q16" s="521">
        <f>INDEX(Weekly!M:M,MATCH($F16,Weekly!$E:$E,0))</f>
        <v>0</v>
      </c>
      <c r="R16" s="684" t="e">
        <f t="shared" si="1"/>
        <v>#REF!</v>
      </c>
      <c r="S16" s="82"/>
      <c r="T16" s="82"/>
      <c r="U16" s="82"/>
      <c r="V16" s="82"/>
      <c r="W16" s="82"/>
      <c r="X16" s="82"/>
      <c r="Y16" s="82"/>
      <c r="Z16" s="82"/>
      <c r="AA16" s="82"/>
      <c r="AB16" s="82"/>
    </row>
    <row r="17" spans="1:28" ht="14" customHeight="1" thickBot="1">
      <c r="A17" s="722"/>
      <c r="B17" s="1" t="str">
        <f t="shared" si="0"/>
        <v>A16</v>
      </c>
      <c r="C17" s="291" t="s">
        <v>274</v>
      </c>
      <c r="D17" s="285">
        <v>16</v>
      </c>
      <c r="E17" s="667" t="s">
        <v>240</v>
      </c>
      <c r="F17" s="286" t="s">
        <v>303</v>
      </c>
      <c r="G17" s="672"/>
      <c r="H17" s="667"/>
      <c r="I17" s="294">
        <f>INDEX(Weekly!F:F,MATCH($F17,Weekly!$E:$E,0))</f>
        <v>-63.754659090909087</v>
      </c>
      <c r="J17" s="320">
        <f>INDEX(Weekly!G:G,MATCH($F17,Weekly!$E:$E,0))</f>
        <v>15</v>
      </c>
      <c r="K17" s="165">
        <f>INDEX(Weekly!H:H,MATCH($F17,Weekly!$E:$E,0))</f>
        <v>-7</v>
      </c>
      <c r="L17" s="325">
        <f>INDEX(Weekly!I:I,MATCH($F17,Weekly!$E:$E,0))</f>
        <v>0</v>
      </c>
      <c r="M17" s="475" t="e">
        <f>INDEX(Players!F:F,MATCH($F17,Players!#REF!,0))</f>
        <v>#REF!</v>
      </c>
      <c r="N17" s="301">
        <f>INDEX(Prizes!F:F,MATCH($B17,Prizes!A:A,0))</f>
        <v>0</v>
      </c>
      <c r="O17" s="302">
        <f>INDEX(Weekly!J:J,MATCH($F17,Weekly!$E:$E,0))</f>
        <v>5</v>
      </c>
      <c r="P17" s="301">
        <f>INDEX(Weekly!K:K,MATCH($F17,Weekly!$E:$E,0))</f>
        <v>0</v>
      </c>
      <c r="Q17" s="302">
        <f>INDEX(Weekly!M:M,MATCH($F17,Weekly!$E:$E,0))</f>
        <v>5</v>
      </c>
      <c r="R17" s="686" t="e">
        <f t="shared" si="1"/>
        <v>#REF!</v>
      </c>
      <c r="S17" s="82"/>
      <c r="T17" s="82"/>
      <c r="U17" s="82"/>
      <c r="V17" s="82"/>
      <c r="W17" s="82"/>
      <c r="X17" s="82"/>
      <c r="Y17" s="82"/>
      <c r="Z17" s="82"/>
      <c r="AA17" s="82"/>
      <c r="AB17" s="82"/>
    </row>
    <row r="18" spans="1:28" ht="14" customHeight="1">
      <c r="A18" s="721" t="s">
        <v>233</v>
      </c>
      <c r="B18" s="1" t="str">
        <f t="shared" si="0"/>
        <v>B1</v>
      </c>
      <c r="C18" s="288" t="s">
        <v>275</v>
      </c>
      <c r="D18" s="1">
        <v>1</v>
      </c>
      <c r="E18" s="576" t="s">
        <v>241</v>
      </c>
      <c r="F18" s="514" t="s">
        <v>385</v>
      </c>
      <c r="G18" s="670"/>
      <c r="H18" s="576"/>
      <c r="I18" s="292">
        <f>INDEX(Weekly!F:F,MATCH($F18,Weekly!$E:$E,0))</f>
        <v>47.911267676767679</v>
      </c>
      <c r="J18" s="516">
        <f>INDEX(Weekly!G:G,MATCH($F18,Weekly!$E:$E,0))</f>
        <v>25</v>
      </c>
      <c r="K18" s="518">
        <f>INDEX(Weekly!H:H,MATCH($F18,Weekly!$E:$E,0))</f>
        <v>-5.2777777777777777</v>
      </c>
      <c r="L18" s="323">
        <f>INDEX(Weekly!I:I,MATCH($F18,Weekly!$E:$E,0))</f>
        <v>1</v>
      </c>
      <c r="M18" s="520" t="e">
        <f>INDEX(Players!F:F,MATCH($F18,Players!#REF!,0))</f>
        <v>#REF!</v>
      </c>
      <c r="N18" s="521">
        <f>INDEX(Prizes!F:F,MATCH($B18,Prizes!A:A,0))</f>
        <v>72.45</v>
      </c>
      <c r="O18" s="522">
        <f>INDEX(Weekly!J:J,MATCH($F18,Weekly!$E:$E,0))</f>
        <v>25</v>
      </c>
      <c r="P18" s="521">
        <f>INDEX(Weekly!K:K,MATCH($F18,Weekly!$E:$E,0))</f>
        <v>0</v>
      </c>
      <c r="Q18" s="521">
        <f>INDEX(Weekly!M:M,MATCH($F18,Weekly!$E:$E,0))</f>
        <v>97.45</v>
      </c>
      <c r="R18" s="684" t="e">
        <f t="shared" si="1"/>
        <v>#REF!</v>
      </c>
      <c r="S18" s="82"/>
      <c r="T18" s="82"/>
      <c r="U18" s="82"/>
      <c r="V18" s="82"/>
      <c r="W18" s="82"/>
      <c r="X18" s="82"/>
      <c r="Y18" s="82"/>
      <c r="Z18" s="82"/>
      <c r="AA18" s="82"/>
      <c r="AB18" s="82"/>
    </row>
    <row r="19" spans="1:28" ht="14" customHeight="1">
      <c r="A19" s="722"/>
      <c r="B19" s="1" t="str">
        <f t="shared" si="0"/>
        <v>B2</v>
      </c>
      <c r="C19" s="287" t="s">
        <v>275</v>
      </c>
      <c r="D19" s="1">
        <v>2</v>
      </c>
      <c r="E19" s="576" t="s">
        <v>241</v>
      </c>
      <c r="F19" s="514" t="s">
        <v>381</v>
      </c>
      <c r="G19" s="670"/>
      <c r="H19" s="576"/>
      <c r="I19" s="292">
        <f>INDEX(Weekly!F:F,MATCH($F19,Weekly!$E:$E,0))</f>
        <v>19.671818160472007</v>
      </c>
      <c r="J19" s="516">
        <f>INDEX(Weekly!G:G,MATCH($F19,Weekly!$E:$E,0))</f>
        <v>32</v>
      </c>
      <c r="K19" s="518">
        <f>INDEX(Weekly!H:H,MATCH($F19,Weekly!$E:$E,0))</f>
        <v>-1.1709401709401703</v>
      </c>
      <c r="L19" s="323">
        <f>INDEX(Weekly!I:I,MATCH($F19,Weekly!$E:$E,0))</f>
        <v>2</v>
      </c>
      <c r="M19" s="520" t="e">
        <f>INDEX(Players!F:F,MATCH($F19,Players!#REF!,0))</f>
        <v>#REF!</v>
      </c>
      <c r="N19" s="521">
        <f>INDEX(Prizes!F:F,MATCH($B19,Prizes!A:A,0))</f>
        <v>51.75</v>
      </c>
      <c r="O19" s="522">
        <f>INDEX(Weekly!J:J,MATCH($F19,Weekly!$E:$E,0))</f>
        <v>10</v>
      </c>
      <c r="P19" s="521">
        <f>INDEX(Weekly!K:K,MATCH($F19,Weekly!$E:$E,0))</f>
        <v>5</v>
      </c>
      <c r="Q19" s="521">
        <f>INDEX(Weekly!M:M,MATCH($F19,Weekly!$E:$E,0))</f>
        <v>66.75</v>
      </c>
      <c r="R19" s="684" t="e">
        <f t="shared" si="1"/>
        <v>#REF!</v>
      </c>
      <c r="S19" s="82"/>
      <c r="T19" s="82"/>
      <c r="U19" s="82"/>
      <c r="V19" s="82"/>
      <c r="W19" s="82"/>
      <c r="X19" s="82"/>
      <c r="Y19" s="82"/>
      <c r="Z19" s="82"/>
      <c r="AA19" s="82"/>
      <c r="AB19" s="82"/>
    </row>
    <row r="20" spans="1:28" ht="14" customHeight="1">
      <c r="A20" s="722"/>
      <c r="B20" s="1" t="str">
        <f t="shared" si="0"/>
        <v>B3</v>
      </c>
      <c r="C20" s="287" t="s">
        <v>275</v>
      </c>
      <c r="D20" s="1">
        <v>3</v>
      </c>
      <c r="E20" s="576" t="s">
        <v>241</v>
      </c>
      <c r="F20" s="514" t="s">
        <v>319</v>
      </c>
      <c r="G20" s="670"/>
      <c r="H20" s="576"/>
      <c r="I20" s="292">
        <f>INDEX(Weekly!F:F,MATCH($F20,Weekly!$E:$E,0))</f>
        <v>14.139742479742479</v>
      </c>
      <c r="J20" s="516">
        <f>INDEX(Weekly!G:G,MATCH($F20,Weekly!$E:$E,0))</f>
        <v>36</v>
      </c>
      <c r="K20" s="518">
        <f>INDEX(Weekly!H:H,MATCH($F20,Weekly!$E:$E,0))</f>
        <v>-0.40404040404040309</v>
      </c>
      <c r="L20" s="323">
        <f>INDEX(Weekly!I:I,MATCH($F20,Weekly!$E:$E,0))</f>
        <v>2</v>
      </c>
      <c r="M20" s="520" t="e">
        <f>INDEX(Players!F:F,MATCH($F20,Players!#REF!,0))</f>
        <v>#REF!</v>
      </c>
      <c r="N20" s="521">
        <f>INDEX(Prizes!F:F,MATCH($B20,Prizes!A:A,0))</f>
        <v>37.26</v>
      </c>
      <c r="O20" s="522">
        <f>INDEX(Weekly!J:J,MATCH($F20,Weekly!$E:$E,0))</f>
        <v>0</v>
      </c>
      <c r="P20" s="521">
        <f>INDEX(Weekly!K:K,MATCH($F20,Weekly!$E:$E,0))</f>
        <v>0</v>
      </c>
      <c r="Q20" s="521">
        <f>INDEX(Weekly!M:M,MATCH($F20,Weekly!$E:$E,0))</f>
        <v>37.26</v>
      </c>
      <c r="R20" s="684" t="e">
        <f t="shared" si="1"/>
        <v>#REF!</v>
      </c>
      <c r="S20" s="82"/>
      <c r="T20" s="82"/>
      <c r="U20" s="82"/>
      <c r="V20" s="82"/>
      <c r="W20" s="82"/>
      <c r="X20" s="82"/>
      <c r="Y20" s="82"/>
      <c r="Z20" s="82"/>
      <c r="AA20" s="82"/>
      <c r="AB20" s="82"/>
    </row>
    <row r="21" spans="1:28" ht="14" customHeight="1">
      <c r="A21" s="722"/>
      <c r="B21" s="1" t="str">
        <f t="shared" si="0"/>
        <v>B4</v>
      </c>
      <c r="C21" s="287" t="s">
        <v>275</v>
      </c>
      <c r="D21" s="1">
        <v>4</v>
      </c>
      <c r="E21" s="576" t="s">
        <v>241</v>
      </c>
      <c r="F21" s="514" t="s">
        <v>311</v>
      </c>
      <c r="G21" s="670"/>
      <c r="H21" s="576"/>
      <c r="I21" s="292">
        <f>INDEX(Weekly!F:F,MATCH($F21,Weekly!$E:$E,0))</f>
        <v>12.59226519159853</v>
      </c>
      <c r="J21" s="516">
        <f>INDEX(Weekly!G:G,MATCH($F21,Weekly!$E:$E,0))</f>
        <v>30</v>
      </c>
      <c r="K21" s="518">
        <f>INDEX(Weekly!H:H,MATCH($F21,Weekly!$E:$E,0))</f>
        <v>-5.5555555555555554</v>
      </c>
      <c r="L21" s="323">
        <f>INDEX(Weekly!I:I,MATCH($F21,Weekly!$E:$E,0))</f>
        <v>1</v>
      </c>
      <c r="M21" s="520" t="e">
        <f>INDEX(Players!F:F,MATCH($F21,Players!#REF!,0))</f>
        <v>#REF!</v>
      </c>
      <c r="N21" s="521">
        <f>INDEX(Prizes!F:F,MATCH($B21,Prizes!A:A,0))</f>
        <v>24.84</v>
      </c>
      <c r="O21" s="522">
        <f>INDEX(Weekly!J:J,MATCH($F21,Weekly!$E:$E,0))</f>
        <v>5</v>
      </c>
      <c r="P21" s="521">
        <f>INDEX(Weekly!K:K,MATCH($F21,Weekly!$E:$E,0))</f>
        <v>0</v>
      </c>
      <c r="Q21" s="521">
        <f>INDEX(Weekly!M:M,MATCH($F21,Weekly!$E:$E,0))</f>
        <v>29.84</v>
      </c>
      <c r="R21" s="684" t="e">
        <f t="shared" si="1"/>
        <v>#REF!</v>
      </c>
      <c r="S21" s="82"/>
      <c r="T21" s="82"/>
      <c r="U21" s="82"/>
      <c r="V21" s="82"/>
      <c r="W21" s="82"/>
      <c r="X21" s="82"/>
      <c r="Y21" s="82"/>
      <c r="Z21" s="82"/>
      <c r="AA21" s="82"/>
      <c r="AB21" s="82"/>
    </row>
    <row r="22" spans="1:28" ht="14" customHeight="1">
      <c r="A22" s="722"/>
      <c r="B22" s="1" t="str">
        <f t="shared" si="0"/>
        <v>B5</v>
      </c>
      <c r="C22" s="287" t="s">
        <v>275</v>
      </c>
      <c r="D22" s="575">
        <v>5</v>
      </c>
      <c r="E22" s="576" t="s">
        <v>241</v>
      </c>
      <c r="F22" s="514" t="s">
        <v>328</v>
      </c>
      <c r="G22" s="670"/>
      <c r="H22" s="576"/>
      <c r="I22" s="292">
        <f>INDEX(Weekly!F:F,MATCH($F22,Weekly!$E:$E,0))</f>
        <v>-7.418289590526431</v>
      </c>
      <c r="J22" s="516">
        <f>INDEX(Weekly!G:G,MATCH($F22,Weekly!$E:$E,0))</f>
        <v>33</v>
      </c>
      <c r="K22" s="518">
        <f>INDEX(Weekly!H:H,MATCH($F22,Weekly!$E:$E,0))</f>
        <v>-7</v>
      </c>
      <c r="L22" s="323">
        <f>INDEX(Weekly!I:I,MATCH($F22,Weekly!$E:$E,0))</f>
        <v>0</v>
      </c>
      <c r="M22" s="520" t="e">
        <f>INDEX(Players!F:F,MATCH($F22,Players!#REF!,0))</f>
        <v>#REF!</v>
      </c>
      <c r="N22" s="521">
        <f>INDEX(Prizes!F:F,MATCH($B22,Prizes!A:A,0))</f>
        <v>14.49</v>
      </c>
      <c r="O22" s="522">
        <f>INDEX(Weekly!J:J,MATCH($F22,Weekly!$E:$E,0))</f>
        <v>0</v>
      </c>
      <c r="P22" s="521">
        <f>INDEX(Weekly!K:K,MATCH($F22,Weekly!$E:$E,0))</f>
        <v>0</v>
      </c>
      <c r="Q22" s="521">
        <f>INDEX(Weekly!M:M,MATCH($F22,Weekly!$E:$E,0))</f>
        <v>14.49</v>
      </c>
      <c r="R22" s="684" t="e">
        <f t="shared" si="1"/>
        <v>#REF!</v>
      </c>
      <c r="S22" s="82"/>
      <c r="T22" s="82"/>
      <c r="U22" s="82"/>
      <c r="V22" s="82"/>
      <c r="W22" s="82"/>
      <c r="X22" s="82"/>
      <c r="Y22" s="82"/>
      <c r="Z22" s="82"/>
      <c r="AA22" s="82"/>
      <c r="AB22" s="82"/>
    </row>
    <row r="23" spans="1:28" ht="14" customHeight="1">
      <c r="A23" s="722"/>
      <c r="B23" s="11" t="str">
        <f t="shared" si="0"/>
        <v>B6</v>
      </c>
      <c r="C23" s="369" t="s">
        <v>275</v>
      </c>
      <c r="D23" s="387">
        <v>6</v>
      </c>
      <c r="E23" s="668" t="s">
        <v>241</v>
      </c>
      <c r="F23" s="716" t="s">
        <v>327</v>
      </c>
      <c r="G23" s="673"/>
      <c r="H23" s="668"/>
      <c r="I23" s="717">
        <f>INDEX(Weekly!F:F,MATCH($F23,Weekly!$E:$E,0))</f>
        <v>-8.0069230769230764</v>
      </c>
      <c r="J23" s="718">
        <f>INDEX(Weekly!G:G,MATCH($F23,Weekly!$E:$E,0))</f>
        <v>23</v>
      </c>
      <c r="K23" s="719">
        <f>INDEX(Weekly!H:H,MATCH($F23,Weekly!$E:$E,0))</f>
        <v>-1</v>
      </c>
      <c r="L23" s="720">
        <f>INDEX(Weekly!I:I,MATCH($F23,Weekly!$E:$E,0))</f>
        <v>2</v>
      </c>
      <c r="M23" s="476" t="e">
        <f>INDEX(Players!F:F,MATCH($F23,Players!#REF!,0))</f>
        <v>#REF!</v>
      </c>
      <c r="N23" s="376">
        <f>INDEX(Prizes!F:F,MATCH($B23,Prizes!A:A,0))</f>
        <v>6.21</v>
      </c>
      <c r="O23" s="376">
        <f>INDEX(Weekly!J:J,MATCH($F23,Weekly!$E:$E,0))</f>
        <v>5</v>
      </c>
      <c r="P23" s="376">
        <f>INDEX(Weekly!K:K,MATCH($F23,Weekly!$E:$E,0))</f>
        <v>0</v>
      </c>
      <c r="Q23" s="375">
        <f>INDEX(Weekly!M:M,MATCH($F23,Weekly!$E:$E,0))</f>
        <v>11.21</v>
      </c>
      <c r="R23" s="687" t="e">
        <f t="shared" si="1"/>
        <v>#REF!</v>
      </c>
      <c r="S23" s="82"/>
      <c r="T23" s="82"/>
      <c r="U23" s="82"/>
      <c r="V23" s="82"/>
      <c r="W23" s="82"/>
      <c r="X23" s="82"/>
      <c r="Y23" s="82"/>
      <c r="Z23" s="82"/>
      <c r="AA23" s="82"/>
      <c r="AB23" s="82"/>
    </row>
    <row r="24" spans="1:28" ht="14" customHeight="1">
      <c r="A24" s="722"/>
      <c r="B24" s="1" t="str">
        <f t="shared" si="0"/>
        <v>B7</v>
      </c>
      <c r="C24" s="547" t="s">
        <v>273</v>
      </c>
      <c r="D24" s="575">
        <v>7</v>
      </c>
      <c r="E24" s="576" t="s">
        <v>241</v>
      </c>
      <c r="F24" s="514" t="s">
        <v>304</v>
      </c>
      <c r="G24" s="673"/>
      <c r="H24" s="576"/>
      <c r="I24" s="292">
        <f>INDEX(Weekly!F:F,MATCH($F24,Weekly!$E:$E,0))</f>
        <v>-8.5038636363636364</v>
      </c>
      <c r="J24" s="516">
        <f>INDEX(Weekly!G:G,MATCH($F24,Weekly!$E:$E,0))</f>
        <v>25</v>
      </c>
      <c r="K24" s="518">
        <f>INDEX(Weekly!H:H,MATCH($F24,Weekly!$E:$E,0))</f>
        <v>6.666666666666643E-2</v>
      </c>
      <c r="L24" s="323">
        <f>INDEX(Weekly!I:I,MATCH($F24,Weekly!$E:$E,0))</f>
        <v>2</v>
      </c>
      <c r="M24" s="520" t="e">
        <f>INDEX(Players!F:F,MATCH($F24,Players!#REF!,0))</f>
        <v>#REF!</v>
      </c>
      <c r="N24" s="521">
        <f>INDEX(Prizes!F:F,MATCH($B24,Prizes!A:A,0))</f>
        <v>0</v>
      </c>
      <c r="O24" s="522">
        <f>INDEX(Weekly!J:J,MATCH($F24,Weekly!$E:$E,0))</f>
        <v>10</v>
      </c>
      <c r="P24" s="521">
        <f>INDEX(Weekly!K:K,MATCH($F24,Weekly!$E:$E,0))</f>
        <v>0</v>
      </c>
      <c r="Q24" s="521">
        <f>INDEX(Weekly!M:M,MATCH($F24,Weekly!$E:$E,0))</f>
        <v>10</v>
      </c>
      <c r="R24" s="684" t="e">
        <f t="shared" si="1"/>
        <v>#REF!</v>
      </c>
      <c r="S24" s="82"/>
      <c r="T24" s="82"/>
      <c r="U24" s="82"/>
      <c r="V24" s="82"/>
      <c r="W24" s="82"/>
      <c r="X24" s="82"/>
      <c r="Y24" s="82"/>
      <c r="Z24" s="82"/>
      <c r="AA24" s="82"/>
      <c r="AB24" s="82"/>
    </row>
    <row r="25" spans="1:28" ht="14" customHeight="1">
      <c r="A25" s="722"/>
      <c r="B25" s="1" t="str">
        <f t="shared" si="0"/>
        <v>B8</v>
      </c>
      <c r="C25" s="547" t="s">
        <v>273</v>
      </c>
      <c r="D25" s="575">
        <v>8</v>
      </c>
      <c r="E25" s="576" t="s">
        <v>241</v>
      </c>
      <c r="F25" s="514" t="s">
        <v>306</v>
      </c>
      <c r="G25" s="670"/>
      <c r="H25" s="576"/>
      <c r="I25" s="292">
        <f>INDEX(Weekly!F:F,MATCH($F25,Weekly!$E:$E,0))</f>
        <v>-13.170058823529418</v>
      </c>
      <c r="J25" s="516">
        <f>INDEX(Weekly!G:G,MATCH($F25,Weekly!$E:$E,0))</f>
        <v>17</v>
      </c>
      <c r="K25" s="518">
        <f>INDEX(Weekly!H:H,MATCH($F25,Weekly!$E:$E,0))</f>
        <v>-3</v>
      </c>
      <c r="L25" s="323">
        <f>INDEX(Weekly!I:I,MATCH($F25,Weekly!$E:$E,0))</f>
        <v>0</v>
      </c>
      <c r="M25" s="520" t="e">
        <f>INDEX(Players!F:F,MATCH($F25,Players!#REF!,0))</f>
        <v>#REF!</v>
      </c>
      <c r="N25" s="521">
        <f>INDEX(Prizes!F:F,MATCH($B25,Prizes!A:A,0))</f>
        <v>0</v>
      </c>
      <c r="O25" s="522">
        <f>INDEX(Weekly!J:J,MATCH($F25,Weekly!$E:$E,0))</f>
        <v>5</v>
      </c>
      <c r="P25" s="521">
        <f>INDEX(Weekly!K:K,MATCH($F25,Weekly!$E:$E,0))</f>
        <v>0</v>
      </c>
      <c r="Q25" s="521">
        <f>INDEX(Weekly!M:M,MATCH($F25,Weekly!$E:$E,0))</f>
        <v>5</v>
      </c>
      <c r="R25" s="684" t="e">
        <f t="shared" si="1"/>
        <v>#REF!</v>
      </c>
      <c r="S25" s="82"/>
      <c r="T25" s="82"/>
      <c r="U25" s="82"/>
      <c r="V25" s="82"/>
      <c r="W25" s="82"/>
      <c r="X25" s="82"/>
      <c r="Y25" s="82"/>
      <c r="Z25" s="82"/>
      <c r="AA25" s="82"/>
      <c r="AB25" s="82"/>
    </row>
    <row r="26" spans="1:28" ht="14" customHeight="1">
      <c r="A26" s="722"/>
      <c r="B26" s="1" t="str">
        <f t="shared" si="0"/>
        <v>B9</v>
      </c>
      <c r="C26" s="307" t="s">
        <v>273</v>
      </c>
      <c r="D26" s="11">
        <v>9</v>
      </c>
      <c r="E26" s="576" t="s">
        <v>241</v>
      </c>
      <c r="F26" s="514" t="s">
        <v>308</v>
      </c>
      <c r="G26" s="670"/>
      <c r="H26" s="576"/>
      <c r="I26" s="292">
        <f>INDEX(Weekly!F:F,MATCH($F26,Weekly!$E:$E,0))</f>
        <v>-34.777481060606057</v>
      </c>
      <c r="J26" s="516">
        <f>INDEX(Weekly!G:G,MATCH($F26,Weekly!$E:$E,0))</f>
        <v>24</v>
      </c>
      <c r="K26" s="518">
        <f>INDEX(Weekly!H:H,MATCH($F26,Weekly!$E:$E,0))</f>
        <v>1.163636363636364</v>
      </c>
      <c r="L26" s="323">
        <f>INDEX(Weekly!I:I,MATCH($F26,Weekly!$E:$E,0))</f>
        <v>2</v>
      </c>
      <c r="M26" s="520" t="e">
        <f>INDEX(Players!F:F,MATCH($F26,Players!#REF!,0))</f>
        <v>#REF!</v>
      </c>
      <c r="N26" s="521">
        <f>INDEX(Prizes!F:F,MATCH($B26,Prizes!A:A,0))</f>
        <v>0</v>
      </c>
      <c r="O26" s="522">
        <f>INDEX(Weekly!J:J,MATCH($F26,Weekly!$E:$E,0))</f>
        <v>5</v>
      </c>
      <c r="P26" s="521">
        <f>INDEX(Weekly!K:K,MATCH($F26,Weekly!$E:$E,0))</f>
        <v>0</v>
      </c>
      <c r="Q26" s="522">
        <f>INDEX(Weekly!M:M,MATCH($F26,Weekly!$E:$E,0))</f>
        <v>5</v>
      </c>
      <c r="R26" s="684" t="e">
        <f t="shared" si="1"/>
        <v>#REF!</v>
      </c>
      <c r="S26" s="82"/>
      <c r="T26" s="82"/>
      <c r="U26" s="82"/>
      <c r="V26" s="82"/>
      <c r="W26" s="82"/>
      <c r="X26" s="82"/>
      <c r="Y26" s="82"/>
      <c r="Z26" s="82"/>
      <c r="AA26" s="82"/>
      <c r="AB26" s="82"/>
    </row>
    <row r="27" spans="1:28" ht="14" customHeight="1">
      <c r="A27" s="722"/>
      <c r="B27" s="1" t="str">
        <f t="shared" si="0"/>
        <v>B10</v>
      </c>
      <c r="C27" s="307" t="s">
        <v>273</v>
      </c>
      <c r="D27" s="1">
        <v>10</v>
      </c>
      <c r="E27" s="576" t="s">
        <v>241</v>
      </c>
      <c r="F27" s="514" t="s">
        <v>317</v>
      </c>
      <c r="G27" s="670"/>
      <c r="H27" s="576"/>
      <c r="I27" s="292">
        <f>INDEX(Weekly!F:F,MATCH($F27,Weekly!$E:$E,0))</f>
        <v>-45.011874999999996</v>
      </c>
      <c r="J27" s="516">
        <f>INDEX(Weekly!G:G,MATCH($F27,Weekly!$E:$E,0))</f>
        <v>19</v>
      </c>
      <c r="K27" s="518">
        <f>INDEX(Weekly!H:H,MATCH($F27,Weekly!$E:$E,0))</f>
        <v>1.1000000000000001</v>
      </c>
      <c r="L27" s="323">
        <f>INDEX(Weekly!I:I,MATCH($F27,Weekly!$E:$E,0))</f>
        <v>1</v>
      </c>
      <c r="M27" s="520" t="e">
        <f>INDEX(Players!F:F,MATCH($F27,Players!#REF!,0))</f>
        <v>#REF!</v>
      </c>
      <c r="N27" s="521">
        <f>INDEX(Prizes!F:F,MATCH($B27,Prizes!A:A,0))</f>
        <v>0</v>
      </c>
      <c r="O27" s="522">
        <f>INDEX(Weekly!J:J,MATCH($F27,Weekly!$E:$E,0))</f>
        <v>5</v>
      </c>
      <c r="P27" s="521">
        <f>INDEX(Weekly!K:K,MATCH($F27,Weekly!$E:$E,0))</f>
        <v>0</v>
      </c>
      <c r="Q27" s="521">
        <f>INDEX(Weekly!M:M,MATCH($F27,Weekly!$E:$E,0))</f>
        <v>5</v>
      </c>
      <c r="R27" s="684" t="e">
        <f t="shared" si="1"/>
        <v>#REF!</v>
      </c>
      <c r="S27" s="82"/>
      <c r="T27" s="82"/>
      <c r="U27" s="82"/>
      <c r="V27" s="82"/>
      <c r="W27" s="82"/>
      <c r="X27" s="82"/>
      <c r="Y27" s="82"/>
      <c r="Z27" s="82"/>
      <c r="AA27" s="82"/>
      <c r="AB27" s="82"/>
    </row>
    <row r="28" spans="1:28" ht="14" customHeight="1">
      <c r="A28" s="722"/>
      <c r="B28" s="11" t="str">
        <f t="shared" si="0"/>
        <v>B11</v>
      </c>
      <c r="C28" s="290" t="s">
        <v>274</v>
      </c>
      <c r="D28" s="385">
        <v>11</v>
      </c>
      <c r="E28" s="666" t="s">
        <v>241</v>
      </c>
      <c r="F28" s="377" t="s">
        <v>322</v>
      </c>
      <c r="G28" s="670"/>
      <c r="H28" s="666"/>
      <c r="I28" s="378">
        <f>INDEX(Weekly!F:F,MATCH($F28,Weekly!$E:$E,0))</f>
        <v>-52.403234567901229</v>
      </c>
      <c r="J28" s="379">
        <f>INDEX(Weekly!G:G,MATCH($F28,Weekly!$E:$E,0))</f>
        <v>16</v>
      </c>
      <c r="K28" s="380">
        <f>INDEX(Weekly!H:H,MATCH($F28,Weekly!$E:$E,0))</f>
        <v>-7</v>
      </c>
      <c r="L28" s="381">
        <f>INDEX(Weekly!I:I,MATCH($F28,Weekly!$E:$E,0))</f>
        <v>0</v>
      </c>
      <c r="M28" s="474" t="e">
        <f>INDEX(Players!F:F,MATCH($F28,Players!#REF!,0))</f>
        <v>#REF!</v>
      </c>
      <c r="N28" s="382">
        <f>INDEX(Prizes!F:F,MATCH($B28,Prizes!A:A,0))</f>
        <v>0</v>
      </c>
      <c r="O28" s="383">
        <f>INDEX(Weekly!J:J,MATCH($F28,Weekly!$E:$E,0))</f>
        <v>5</v>
      </c>
      <c r="P28" s="382">
        <f>INDEX(Weekly!K:K,MATCH($F28,Weekly!$E:$E,0))</f>
        <v>0</v>
      </c>
      <c r="Q28" s="382">
        <f>INDEX(Weekly!M:M,MATCH($F28,Weekly!$E:$E,0))</f>
        <v>5</v>
      </c>
      <c r="R28" s="685" t="e">
        <f t="shared" si="1"/>
        <v>#REF!</v>
      </c>
      <c r="S28" s="82"/>
      <c r="T28" s="82"/>
      <c r="U28" s="82"/>
      <c r="V28" s="82"/>
      <c r="W28" s="82"/>
      <c r="X28" s="82"/>
      <c r="Y28" s="82"/>
      <c r="Z28" s="82"/>
      <c r="AA28" s="82"/>
      <c r="AB28" s="82"/>
    </row>
    <row r="29" spans="1:28" ht="14" customHeight="1">
      <c r="A29" s="722"/>
      <c r="B29" s="1" t="str">
        <f t="shared" si="0"/>
        <v>B12</v>
      </c>
      <c r="C29" s="289" t="s">
        <v>274</v>
      </c>
      <c r="D29" s="1">
        <v>12</v>
      </c>
      <c r="E29" s="576" t="s">
        <v>241</v>
      </c>
      <c r="F29" s="514" t="s">
        <v>315</v>
      </c>
      <c r="G29" s="670"/>
      <c r="H29" s="576"/>
      <c r="I29" s="292">
        <f>INDEX(Weekly!F:F,MATCH($F29,Weekly!$E:$E,0))</f>
        <v>-54.267499999999984</v>
      </c>
      <c r="J29" s="516">
        <f>INDEX(Weekly!G:G,MATCH($F29,Weekly!$E:$E,0))</f>
        <v>22</v>
      </c>
      <c r="K29" s="518">
        <f>INDEX(Weekly!H:H,MATCH($F29,Weekly!$E:$E,0))</f>
        <v>2.3949999999999996</v>
      </c>
      <c r="L29" s="323">
        <f>INDEX(Weekly!I:I,MATCH($F29,Weekly!$E:$E,0))</f>
        <v>2</v>
      </c>
      <c r="M29" s="520" t="e">
        <f>INDEX(Players!F:F,MATCH($F29,Players!#REF!,0))</f>
        <v>#REF!</v>
      </c>
      <c r="N29" s="521">
        <f>INDEX(Prizes!F:F,MATCH($B29,Prizes!A:A,0))</f>
        <v>0</v>
      </c>
      <c r="O29" s="522">
        <f>INDEX(Weekly!J:J,MATCH($F29,Weekly!$E:$E,0))</f>
        <v>5</v>
      </c>
      <c r="P29" s="521">
        <f>INDEX(Weekly!K:K,MATCH($F29,Weekly!$E:$E,0))</f>
        <v>0</v>
      </c>
      <c r="Q29" s="521">
        <f>INDEX(Weekly!M:M,MATCH($F29,Weekly!$E:$E,0))</f>
        <v>5</v>
      </c>
      <c r="R29" s="684" t="e">
        <f t="shared" si="1"/>
        <v>#REF!</v>
      </c>
      <c r="S29" s="82"/>
      <c r="T29" s="82"/>
      <c r="U29" s="82"/>
      <c r="V29" s="82"/>
      <c r="W29" s="82"/>
      <c r="X29" s="82"/>
      <c r="Y29" s="82"/>
      <c r="Z29" s="82"/>
      <c r="AA29" s="82"/>
      <c r="AB29" s="82"/>
    </row>
    <row r="30" spans="1:28" ht="14" customHeight="1">
      <c r="A30" s="722"/>
      <c r="B30" s="1" t="str">
        <f t="shared" si="0"/>
        <v>B13</v>
      </c>
      <c r="C30" s="289" t="s">
        <v>274</v>
      </c>
      <c r="D30" s="1">
        <v>13</v>
      </c>
      <c r="E30" s="576" t="s">
        <v>241</v>
      </c>
      <c r="F30" s="514" t="s">
        <v>295</v>
      </c>
      <c r="G30" s="670"/>
      <c r="H30" s="576"/>
      <c r="I30" s="292">
        <f>INDEX(Weekly!F:F,MATCH($F30,Weekly!$E:$E,0))</f>
        <v>-55.06498737373736</v>
      </c>
      <c r="J30" s="516">
        <f>INDEX(Weekly!G:G,MATCH($F30,Weekly!$E:$E,0))</f>
        <v>25</v>
      </c>
      <c r="K30" s="518">
        <f>INDEX(Weekly!H:H,MATCH($F30,Weekly!$E:$E,0))</f>
        <v>0.83500000000000085</v>
      </c>
      <c r="L30" s="323">
        <f>INDEX(Weekly!I:I,MATCH($F30,Weekly!$E:$E,0))</f>
        <v>2</v>
      </c>
      <c r="M30" s="473" t="e">
        <f>INDEX(Players!F:F,MATCH($F30,Players!#REF!,0))</f>
        <v>#REF!</v>
      </c>
      <c r="N30" s="521">
        <f>INDEX(Prizes!F:F,MATCH($B30,Prizes!A:A,0))</f>
        <v>0</v>
      </c>
      <c r="O30" s="522">
        <f>INDEX(Weekly!J:J,MATCH($F30,Weekly!$E:$E,0))</f>
        <v>0</v>
      </c>
      <c r="P30" s="521">
        <f>INDEX(Weekly!K:K,MATCH($F30,Weekly!$E:$E,0))</f>
        <v>0</v>
      </c>
      <c r="Q30" s="521">
        <f>INDEX(Weekly!M:M,MATCH($F30,Weekly!$E:$E,0))</f>
        <v>0</v>
      </c>
      <c r="R30" s="684" t="e">
        <f t="shared" si="1"/>
        <v>#REF!</v>
      </c>
      <c r="S30" s="82"/>
      <c r="T30" s="82"/>
      <c r="U30" s="82"/>
      <c r="V30" s="82"/>
      <c r="W30" s="82"/>
      <c r="X30" s="82"/>
      <c r="Y30" s="82"/>
      <c r="Z30" s="82"/>
      <c r="AA30" s="82"/>
      <c r="AB30" s="82"/>
    </row>
    <row r="31" spans="1:28" ht="14" customHeight="1">
      <c r="A31" s="722"/>
      <c r="B31" s="1" t="str">
        <f t="shared" si="0"/>
        <v>B14</v>
      </c>
      <c r="C31" s="289" t="s">
        <v>274</v>
      </c>
      <c r="D31" s="1">
        <v>14</v>
      </c>
      <c r="E31" s="576" t="s">
        <v>241</v>
      </c>
      <c r="F31" s="515" t="s">
        <v>288</v>
      </c>
      <c r="G31" s="670"/>
      <c r="H31" s="576"/>
      <c r="I31" s="293">
        <f>INDEX(Weekly!F:F,MATCH($F31,Weekly!$E:$E,0))</f>
        <v>-58.936531100478469</v>
      </c>
      <c r="J31" s="517">
        <f>INDEX(Weekly!G:G,MATCH($F31,Weekly!$E:$E,0))</f>
        <v>25</v>
      </c>
      <c r="K31" s="519">
        <f>INDEX(Weekly!H:H,MATCH($F31,Weekly!$E:$E,0))</f>
        <v>-1.4000000000000004</v>
      </c>
      <c r="L31" s="324">
        <f>INDEX(Weekly!I:I,MATCH($F31,Weekly!$E:$E,0))</f>
        <v>2</v>
      </c>
      <c r="M31" s="520" t="e">
        <f>INDEX(Players!F:F,MATCH($F31,Players!#REF!,0))</f>
        <v>#REF!</v>
      </c>
      <c r="N31" s="521">
        <f>INDEX(Prizes!F:F,MATCH($B31,Prizes!A:A,0))</f>
        <v>0</v>
      </c>
      <c r="O31" s="522">
        <f>INDEX(Weekly!J:J,MATCH($F31,Weekly!$E:$E,0))</f>
        <v>0</v>
      </c>
      <c r="P31" s="521">
        <f>INDEX(Weekly!K:K,MATCH($F31,Weekly!$E:$E,0))</f>
        <v>0</v>
      </c>
      <c r="Q31" s="521">
        <f>INDEX(Weekly!M:M,MATCH($F31,Weekly!$E:$E,0))</f>
        <v>0</v>
      </c>
      <c r="R31" s="684" t="e">
        <f t="shared" si="1"/>
        <v>#REF!</v>
      </c>
      <c r="S31" s="82"/>
      <c r="T31" s="82"/>
      <c r="U31" s="82"/>
      <c r="V31" s="82"/>
      <c r="W31" s="82"/>
      <c r="X31" s="82"/>
      <c r="Y31" s="82"/>
      <c r="Z31" s="82"/>
      <c r="AA31" s="82"/>
      <c r="AB31" s="82"/>
    </row>
    <row r="32" spans="1:28" ht="14" customHeight="1">
      <c r="A32" s="722"/>
      <c r="B32" s="1" t="str">
        <f t="shared" si="0"/>
        <v>B15</v>
      </c>
      <c r="C32" s="289" t="s">
        <v>274</v>
      </c>
      <c r="D32" s="11">
        <v>15</v>
      </c>
      <c r="E32" s="576" t="s">
        <v>241</v>
      </c>
      <c r="F32" s="514" t="s">
        <v>336</v>
      </c>
      <c r="G32" s="670"/>
      <c r="H32" s="576"/>
      <c r="I32" s="292">
        <f>INDEX(Weekly!F:F,MATCH($F32,Weekly!$E:$E,0))</f>
        <v>-66.910800865800866</v>
      </c>
      <c r="J32" s="516">
        <f>INDEX(Weekly!G:G,MATCH($F32,Weekly!$E:$E,0))</f>
        <v>17</v>
      </c>
      <c r="K32" s="518">
        <f>INDEX(Weekly!H:H,MATCH($F32,Weekly!$E:$E,0))</f>
        <v>-7</v>
      </c>
      <c r="L32" s="323">
        <f>INDEX(Weekly!I:I,MATCH($F32,Weekly!$E:$E,0))</f>
        <v>0</v>
      </c>
      <c r="M32" s="520" t="e">
        <f>INDEX(Players!F:F,MATCH($F32,Players!#REF!,0))</f>
        <v>#REF!</v>
      </c>
      <c r="N32" s="521">
        <f>INDEX(Prizes!F:F,MATCH($B32,Prizes!A:A,0))</f>
        <v>0</v>
      </c>
      <c r="O32" s="522">
        <f>INDEX(Weekly!J:J,MATCH($F32,Weekly!$E:$E,0))</f>
        <v>0</v>
      </c>
      <c r="P32" s="521">
        <f>INDEX(Weekly!K:K,MATCH($F32,Weekly!$E:$E,0))</f>
        <v>0</v>
      </c>
      <c r="Q32" s="521">
        <f>INDEX(Weekly!M:M,MATCH($F32,Weekly!$E:$E,0))</f>
        <v>0</v>
      </c>
      <c r="R32" s="684" t="e">
        <f t="shared" si="1"/>
        <v>#REF!</v>
      </c>
      <c r="S32" s="82"/>
      <c r="T32" s="82"/>
      <c r="U32" s="82"/>
      <c r="V32" s="82"/>
      <c r="W32" s="82"/>
      <c r="X32" s="82"/>
      <c r="Y32" s="82"/>
      <c r="Z32" s="82"/>
      <c r="AA32" s="82"/>
      <c r="AB32" s="82"/>
    </row>
    <row r="33" spans="1:28" ht="14" customHeight="1" thickBot="1">
      <c r="A33" s="722"/>
      <c r="B33" s="1" t="str">
        <f t="shared" si="0"/>
        <v>B16</v>
      </c>
      <c r="C33" s="291" t="s">
        <v>274</v>
      </c>
      <c r="D33" s="285">
        <v>16</v>
      </c>
      <c r="E33" s="667" t="s">
        <v>241</v>
      </c>
      <c r="F33" s="286" t="s">
        <v>324</v>
      </c>
      <c r="G33" s="672"/>
      <c r="H33" s="667"/>
      <c r="I33" s="294">
        <f>INDEX(Weekly!F:F,MATCH($F33,Weekly!$E:$E,0))</f>
        <v>-82.536249999999995</v>
      </c>
      <c r="J33" s="320">
        <f>INDEX(Weekly!G:G,MATCH($F33,Weekly!$E:$E,0))</f>
        <v>15</v>
      </c>
      <c r="K33" s="165">
        <f>INDEX(Weekly!H:H,MATCH($F33,Weekly!$E:$E,0))</f>
        <v>-7</v>
      </c>
      <c r="L33" s="325">
        <f>INDEX(Weekly!I:I,MATCH($F33,Weekly!$E:$E,0))</f>
        <v>0</v>
      </c>
      <c r="M33" s="475" t="e">
        <f>INDEX(Players!F:F,MATCH($F33,Players!#REF!,0))</f>
        <v>#REF!</v>
      </c>
      <c r="N33" s="302">
        <f>INDEX(Prizes!F:F,MATCH($B33,Prizes!A:A,0))</f>
        <v>0</v>
      </c>
      <c r="O33" s="302">
        <f>INDEX(Weekly!J:J,MATCH($F33,Weekly!$E:$E,0))</f>
        <v>0</v>
      </c>
      <c r="P33" s="302">
        <f>INDEX(Weekly!K:K,MATCH($F33,Weekly!$E:$E,0))</f>
        <v>0</v>
      </c>
      <c r="Q33" s="301">
        <f>INDEX(Weekly!M:M,MATCH($F33,Weekly!$E:$E,0))</f>
        <v>0</v>
      </c>
      <c r="R33" s="686" t="e">
        <f t="shared" si="1"/>
        <v>#REF!</v>
      </c>
      <c r="S33" s="82"/>
      <c r="T33" s="82"/>
      <c r="U33" s="82"/>
      <c r="V33" s="82"/>
      <c r="W33" s="82"/>
      <c r="X33" s="82"/>
      <c r="Y33" s="82"/>
      <c r="Z33" s="82"/>
      <c r="AA33" s="82"/>
      <c r="AB33" s="82"/>
    </row>
    <row r="34" spans="1:28" ht="14" customHeight="1">
      <c r="A34" s="721" t="s">
        <v>234</v>
      </c>
      <c r="B34" s="1" t="str">
        <f t="shared" ref="B34:B59" si="2">CONCATENATE(E34,D34)</f>
        <v>C1</v>
      </c>
      <c r="C34" s="287" t="s">
        <v>275</v>
      </c>
      <c r="D34" s="1">
        <v>1</v>
      </c>
      <c r="E34" s="576" t="s">
        <v>242</v>
      </c>
      <c r="F34" s="514" t="s">
        <v>313</v>
      </c>
      <c r="G34" s="670"/>
      <c r="H34" s="576"/>
      <c r="I34" s="292">
        <f>INDEX(Weekly!F:F,MATCH($F34,Weekly!$E:$E,0))</f>
        <v>81.989544230342304</v>
      </c>
      <c r="J34" s="516">
        <f>INDEX(Weekly!G:G,MATCH($F34,Weekly!$E:$E,0))</f>
        <v>39</v>
      </c>
      <c r="K34" s="518">
        <f>INDEX(Weekly!H:H,MATCH($F34,Weekly!$E:$E,0))</f>
        <v>15.466666666666669</v>
      </c>
      <c r="L34" s="323">
        <f>INDEX(Weekly!I:I,MATCH($F34,Weekly!$E:$E,0))</f>
        <v>3</v>
      </c>
      <c r="M34" s="520" t="e">
        <f>INDEX(Players!F:F,MATCH($F34,Players!#REF!,0))</f>
        <v>#REF!</v>
      </c>
      <c r="N34" s="521">
        <f>INDEX(Prizes!F:F,MATCH($B34,Prizes!A:A,0))</f>
        <v>36.225000000000001</v>
      </c>
      <c r="O34" s="522">
        <f>INDEX(Weekly!J:J,MATCH($F34,Weekly!$E:$E,0))</f>
        <v>25</v>
      </c>
      <c r="P34" s="521">
        <f>INDEX(Weekly!K:K,MATCH($F34,Weekly!$E:$E,0))</f>
        <v>0</v>
      </c>
      <c r="Q34" s="521">
        <f>INDEX(Weekly!M:M,MATCH($F34,Weekly!$E:$E,0))</f>
        <v>61.225000000000001</v>
      </c>
      <c r="R34" s="684" t="e">
        <f t="shared" si="1"/>
        <v>#REF!</v>
      </c>
      <c r="S34" s="82"/>
      <c r="T34" s="82"/>
      <c r="U34" s="82"/>
      <c r="V34" s="82"/>
      <c r="W34" s="82"/>
      <c r="X34" s="82"/>
      <c r="Y34" s="82"/>
      <c r="Z34" s="82"/>
      <c r="AA34" s="82"/>
      <c r="AB34" s="82"/>
    </row>
    <row r="35" spans="1:28" ht="14" customHeight="1">
      <c r="A35" s="722"/>
      <c r="B35" s="1" t="str">
        <f t="shared" si="2"/>
        <v>C2</v>
      </c>
      <c r="C35" s="287" t="s">
        <v>275</v>
      </c>
      <c r="D35" s="1">
        <v>2</v>
      </c>
      <c r="E35" s="576" t="s">
        <v>242</v>
      </c>
      <c r="F35" s="514" t="s">
        <v>386</v>
      </c>
      <c r="G35" s="670"/>
      <c r="H35" s="576"/>
      <c r="I35" s="292">
        <f>INDEX(Weekly!F:F,MATCH($F35,Weekly!$E:$E,0))</f>
        <v>19.261527777777779</v>
      </c>
      <c r="J35" s="516">
        <f>INDEX(Weekly!G:G,MATCH($F35,Weekly!$E:$E,0))</f>
        <v>29</v>
      </c>
      <c r="K35" s="518">
        <f>INDEX(Weekly!H:H,MATCH($F35,Weekly!$E:$E,0))</f>
        <v>-2.6222222222222218</v>
      </c>
      <c r="L35" s="323">
        <f>INDEX(Weekly!I:I,MATCH($F35,Weekly!$E:$E,0))</f>
        <v>2</v>
      </c>
      <c r="M35" s="520" t="e">
        <f>INDEX(Players!F:F,MATCH($F35,Players!#REF!,0))</f>
        <v>#REF!</v>
      </c>
      <c r="N35" s="521">
        <f>INDEX(Prizes!F:F,MATCH($B35,Prizes!A:A,0))</f>
        <v>25.875</v>
      </c>
      <c r="O35" s="522">
        <f>INDEX(Weekly!J:J,MATCH($F35,Weekly!$E:$E,0))</f>
        <v>15</v>
      </c>
      <c r="P35" s="521">
        <f>INDEX(Weekly!K:K,MATCH($F35,Weekly!$E:$E,0))</f>
        <v>0</v>
      </c>
      <c r="Q35" s="521">
        <f>INDEX(Weekly!M:M,MATCH($F35,Weekly!$E:$E,0))</f>
        <v>40.875</v>
      </c>
      <c r="R35" s="684" t="e">
        <f t="shared" si="1"/>
        <v>#REF!</v>
      </c>
      <c r="S35" s="82"/>
      <c r="T35" s="82"/>
      <c r="U35" s="82"/>
      <c r="V35" s="82"/>
      <c r="W35" s="82"/>
      <c r="X35" s="82"/>
      <c r="Y35" s="82"/>
      <c r="Z35" s="82"/>
      <c r="AA35" s="82"/>
      <c r="AB35" s="82"/>
    </row>
    <row r="36" spans="1:28" ht="14" customHeight="1">
      <c r="A36" s="722"/>
      <c r="B36" s="11" t="str">
        <f t="shared" si="2"/>
        <v>C3</v>
      </c>
      <c r="C36" s="288" t="s">
        <v>275</v>
      </c>
      <c r="D36" s="1">
        <v>3</v>
      </c>
      <c r="E36" s="576" t="s">
        <v>242</v>
      </c>
      <c r="F36" s="514" t="s">
        <v>297</v>
      </c>
      <c r="G36" s="670"/>
      <c r="H36" s="576"/>
      <c r="I36" s="292">
        <f>INDEX(Weekly!F:F,MATCH($F36,Weekly!$E:$E,0))</f>
        <v>2.4150762987012921</v>
      </c>
      <c r="J36" s="516">
        <f>INDEX(Weekly!G:G,MATCH($F36,Weekly!$E:$E,0))</f>
        <v>29</v>
      </c>
      <c r="K36" s="518">
        <f>INDEX(Weekly!H:H,MATCH($F36,Weekly!$E:$E,0))</f>
        <v>-1.4000000000000004</v>
      </c>
      <c r="L36" s="323">
        <f>INDEX(Weekly!I:I,MATCH($F36,Weekly!$E:$E,0))</f>
        <v>2</v>
      </c>
      <c r="M36" s="520" t="e">
        <f>INDEX(Players!F:F,MATCH($F36,Players!#REF!,0))</f>
        <v>#REF!</v>
      </c>
      <c r="N36" s="521">
        <f>INDEX(Prizes!F:F,MATCH($B36,Prizes!A:A,0))</f>
        <v>18.63</v>
      </c>
      <c r="O36" s="522">
        <f>INDEX(Weekly!J:J,MATCH($F36,Weekly!$E:$E,0))</f>
        <v>10</v>
      </c>
      <c r="P36" s="521">
        <f>INDEX(Weekly!K:K,MATCH($F36,Weekly!$E:$E,0))</f>
        <v>0</v>
      </c>
      <c r="Q36" s="522">
        <f>INDEX(Weekly!M:M,MATCH($F36,Weekly!$E:$E,0))</f>
        <v>28.63</v>
      </c>
      <c r="R36" s="684" t="e">
        <f t="shared" si="1"/>
        <v>#REF!</v>
      </c>
      <c r="S36" s="82"/>
      <c r="T36" s="82"/>
      <c r="U36" s="82"/>
      <c r="V36" s="82"/>
      <c r="W36" s="82"/>
      <c r="X36" s="82"/>
      <c r="Y36" s="82"/>
      <c r="Z36" s="82"/>
      <c r="AA36" s="82"/>
      <c r="AB36" s="82"/>
    </row>
    <row r="37" spans="1:28" ht="14" customHeight="1">
      <c r="A37" s="722"/>
      <c r="B37" s="1" t="str">
        <f t="shared" si="2"/>
        <v>C4</v>
      </c>
      <c r="C37" s="287" t="s">
        <v>275</v>
      </c>
      <c r="D37" s="1">
        <v>4</v>
      </c>
      <c r="E37" s="576" t="s">
        <v>242</v>
      </c>
      <c r="F37" s="514" t="s">
        <v>292</v>
      </c>
      <c r="G37" s="670"/>
      <c r="H37" s="576"/>
      <c r="I37" s="292">
        <f>INDEX(Weekly!F:F,MATCH($F37,Weekly!$E:$E,0))</f>
        <v>2.1630538277511988</v>
      </c>
      <c r="J37" s="516">
        <f>INDEX(Weekly!G:G,MATCH($F37,Weekly!$E:$E,0))</f>
        <v>30</v>
      </c>
      <c r="K37" s="518">
        <f>INDEX(Weekly!H:H,MATCH($F37,Weekly!$E:$E,0))</f>
        <v>16.239249999999998</v>
      </c>
      <c r="L37" s="323">
        <f>INDEX(Weekly!I:I,MATCH($F37,Weekly!$E:$E,0))</f>
        <v>3</v>
      </c>
      <c r="M37" s="520" t="e">
        <f>INDEX(Players!F:F,MATCH($F37,Players!#REF!,0))</f>
        <v>#REF!</v>
      </c>
      <c r="N37" s="521">
        <f>INDEX(Prizes!F:F,MATCH($B37,Prizes!A:A,0))</f>
        <v>12.42</v>
      </c>
      <c r="O37" s="522">
        <f>INDEX(Weekly!J:J,MATCH($F37,Weekly!$E:$E,0))</f>
        <v>5</v>
      </c>
      <c r="P37" s="521">
        <f>INDEX(Weekly!K:K,MATCH($F37,Weekly!$E:$E,0))</f>
        <v>0</v>
      </c>
      <c r="Q37" s="521">
        <f>INDEX(Weekly!M:M,MATCH($F37,Weekly!$E:$E,0))</f>
        <v>17.420000000000002</v>
      </c>
      <c r="R37" s="684" t="e">
        <f t="shared" si="1"/>
        <v>#REF!</v>
      </c>
      <c r="S37" s="82"/>
      <c r="T37" s="82"/>
      <c r="U37" s="82"/>
      <c r="V37" s="82"/>
      <c r="W37" s="82"/>
      <c r="X37" s="82"/>
      <c r="Y37" s="82"/>
      <c r="Z37" s="82"/>
      <c r="AA37" s="82"/>
      <c r="AB37" s="82"/>
    </row>
    <row r="38" spans="1:28" ht="14" customHeight="1">
      <c r="A38" s="722"/>
      <c r="B38" s="1" t="str">
        <f t="shared" si="2"/>
        <v>C5</v>
      </c>
      <c r="C38" s="287" t="s">
        <v>275</v>
      </c>
      <c r="D38" s="1">
        <v>5</v>
      </c>
      <c r="E38" s="576" t="s">
        <v>242</v>
      </c>
      <c r="F38" s="514" t="s">
        <v>291</v>
      </c>
      <c r="G38" s="670"/>
      <c r="H38" s="576"/>
      <c r="I38" s="292">
        <f>INDEX(Weekly!F:F,MATCH($F38,Weekly!$E:$E,0))</f>
        <v>-3.3833078780194183</v>
      </c>
      <c r="J38" s="516">
        <f>INDEX(Weekly!G:G,MATCH($F38,Weekly!$E:$E,0))</f>
        <v>32</v>
      </c>
      <c r="K38" s="518">
        <f>INDEX(Weekly!H:H,MATCH($F38,Weekly!$E:$E,0))</f>
        <v>-1.4000000000000004</v>
      </c>
      <c r="L38" s="323">
        <f>INDEX(Weekly!I:I,MATCH($F38,Weekly!$E:$E,0))</f>
        <v>2</v>
      </c>
      <c r="M38" s="520" t="e">
        <f>INDEX(Players!F:F,MATCH($F38,Players!#REF!,0))</f>
        <v>#REF!</v>
      </c>
      <c r="N38" s="521">
        <f>INDEX(Prizes!F:F,MATCH($B38,Prizes!A:A,0))</f>
        <v>7.2450000000000001</v>
      </c>
      <c r="O38" s="522">
        <f>INDEX(Weekly!J:J,MATCH($F38,Weekly!$E:$E,0))</f>
        <v>10</v>
      </c>
      <c r="P38" s="521">
        <f>INDEX(Weekly!K:K,MATCH($F38,Weekly!$E:$E,0))</f>
        <v>15</v>
      </c>
      <c r="Q38" s="521">
        <f>INDEX(Weekly!M:M,MATCH($F38,Weekly!$E:$E,0))</f>
        <v>32.244999999999997</v>
      </c>
      <c r="R38" s="684" t="e">
        <f t="shared" si="1"/>
        <v>#REF!</v>
      </c>
      <c r="S38" s="82"/>
      <c r="T38" s="82"/>
      <c r="U38" s="82"/>
      <c r="V38" s="82"/>
      <c r="W38" s="82"/>
      <c r="X38" s="82"/>
      <c r="Y38" s="82"/>
      <c r="Z38" s="82"/>
      <c r="AA38" s="82"/>
      <c r="AB38" s="82"/>
    </row>
    <row r="39" spans="1:28" ht="14" customHeight="1">
      <c r="A39" s="722"/>
      <c r="B39" s="1" t="str">
        <f t="shared" si="2"/>
        <v>C6</v>
      </c>
      <c r="C39" s="386" t="s">
        <v>275</v>
      </c>
      <c r="D39" s="387">
        <v>6</v>
      </c>
      <c r="E39" s="668" t="s">
        <v>242</v>
      </c>
      <c r="F39" s="370" t="s">
        <v>382</v>
      </c>
      <c r="G39" s="673"/>
      <c r="H39" s="668"/>
      <c r="I39" s="371">
        <f>INDEX(Weekly!F:F,MATCH($F39,Weekly!$E:$E,0))</f>
        <v>-11.522113095238101</v>
      </c>
      <c r="J39" s="372">
        <f>INDEX(Weekly!G:G,MATCH($F39,Weekly!$E:$E,0))</f>
        <v>28</v>
      </c>
      <c r="K39" s="373">
        <f>INDEX(Weekly!H:H,MATCH($F39,Weekly!$E:$E,0))</f>
        <v>-3</v>
      </c>
      <c r="L39" s="374">
        <f>INDEX(Weekly!I:I,MATCH($F39,Weekly!$E:$E,0))</f>
        <v>1</v>
      </c>
      <c r="M39" s="476" t="e">
        <f>INDEX(Players!F:F,MATCH($F39,Players!#REF!,0))</f>
        <v>#REF!</v>
      </c>
      <c r="N39" s="375">
        <f>INDEX(Prizes!F:F,MATCH($B39,Prizes!A:A,0))</f>
        <v>3.105</v>
      </c>
      <c r="O39" s="376">
        <f>INDEX(Weekly!J:J,MATCH($F39,Weekly!$E:$E,0))</f>
        <v>5</v>
      </c>
      <c r="P39" s="375">
        <f>INDEX(Weekly!K:K,MATCH($F39,Weekly!$E:$E,0))</f>
        <v>0</v>
      </c>
      <c r="Q39" s="375">
        <f>INDEX(Weekly!M:M,MATCH($F39,Weekly!$E:$E,0))</f>
        <v>8.1050000000000004</v>
      </c>
      <c r="R39" s="687" t="e">
        <f t="shared" si="1"/>
        <v>#REF!</v>
      </c>
      <c r="S39" s="82"/>
      <c r="T39" s="82"/>
      <c r="U39" s="82"/>
      <c r="V39" s="82"/>
      <c r="W39" s="82"/>
      <c r="X39" s="82"/>
      <c r="Y39" s="82"/>
      <c r="Z39" s="82"/>
      <c r="AA39" s="82"/>
      <c r="AB39" s="82"/>
    </row>
    <row r="40" spans="1:28" ht="14" customHeight="1">
      <c r="A40" s="722"/>
      <c r="B40" s="1" t="str">
        <f t="shared" si="2"/>
        <v>C7</v>
      </c>
      <c r="C40" s="307" t="s">
        <v>273</v>
      </c>
      <c r="D40" s="11">
        <v>7</v>
      </c>
      <c r="E40" s="576" t="s">
        <v>242</v>
      </c>
      <c r="F40" s="514" t="s">
        <v>316</v>
      </c>
      <c r="G40" s="670"/>
      <c r="H40" s="576"/>
      <c r="I40" s="292">
        <f>INDEX(Weekly!F:F,MATCH($F40,Weekly!$E:$E,0))</f>
        <v>-16.968784826284825</v>
      </c>
      <c r="J40" s="516">
        <f>INDEX(Weekly!G:G,MATCH($F40,Weekly!$E:$E,0))</f>
        <v>30</v>
      </c>
      <c r="K40" s="518">
        <f>INDEX(Weekly!H:H,MATCH($F40,Weekly!$E:$E,0))</f>
        <v>-4.8499999999999996</v>
      </c>
      <c r="L40" s="323">
        <f>INDEX(Weekly!I:I,MATCH($F40,Weekly!$E:$E,0))</f>
        <v>1</v>
      </c>
      <c r="M40" s="520" t="e">
        <f>INDEX(Players!F:F,MATCH($F40,Players!#REF!,0))</f>
        <v>#REF!</v>
      </c>
      <c r="N40" s="521">
        <f>INDEX(Prizes!F:F,MATCH($B40,Prizes!A:A,0))</f>
        <v>0</v>
      </c>
      <c r="O40" s="522">
        <f>INDEX(Weekly!J:J,MATCH($F40,Weekly!$E:$E,0))</f>
        <v>5</v>
      </c>
      <c r="P40" s="521">
        <f>INDEX(Weekly!K:K,MATCH($F40,Weekly!$E:$E,0))</f>
        <v>0</v>
      </c>
      <c r="Q40" s="521">
        <f>INDEX(Weekly!M:M,MATCH($F40,Weekly!$E:$E,0))</f>
        <v>5</v>
      </c>
      <c r="R40" s="684" t="e">
        <f t="shared" si="1"/>
        <v>#REF!</v>
      </c>
      <c r="S40" s="82"/>
      <c r="T40" s="82"/>
      <c r="U40" s="82"/>
      <c r="V40" s="82"/>
      <c r="W40" s="82"/>
      <c r="X40" s="82"/>
      <c r="Y40" s="82"/>
      <c r="Z40" s="82"/>
      <c r="AA40" s="82"/>
      <c r="AB40" s="82"/>
    </row>
    <row r="41" spans="1:28" ht="14" customHeight="1">
      <c r="A41" s="722"/>
      <c r="B41" s="1" t="str">
        <f t="shared" si="2"/>
        <v>C8</v>
      </c>
      <c r="C41" s="307" t="s">
        <v>273</v>
      </c>
      <c r="D41" s="1">
        <v>8</v>
      </c>
      <c r="E41" s="576" t="s">
        <v>242</v>
      </c>
      <c r="F41" s="514" t="s">
        <v>287</v>
      </c>
      <c r="G41" s="670"/>
      <c r="H41" s="576"/>
      <c r="I41" s="292">
        <f>INDEX(Weekly!F:F,MATCH($F41,Weekly!$E:$E,0))</f>
        <v>-18.029573204573211</v>
      </c>
      <c r="J41" s="516">
        <f>INDEX(Weekly!G:G,MATCH($F41,Weekly!$E:$E,0))</f>
        <v>29</v>
      </c>
      <c r="K41" s="518">
        <f>INDEX(Weekly!H:H,MATCH($F41,Weekly!$E:$E,0))</f>
        <v>-0.30499999999999972</v>
      </c>
      <c r="L41" s="323">
        <f>INDEX(Weekly!I:I,MATCH($F41,Weekly!$E:$E,0))</f>
        <v>2</v>
      </c>
      <c r="M41" s="520" t="e">
        <f>INDEX(Players!F:F,MATCH($F41,Players!#REF!,0))</f>
        <v>#REF!</v>
      </c>
      <c r="N41" s="521">
        <f>INDEX(Prizes!F:F,MATCH($B41,Prizes!A:A,0))</f>
        <v>0</v>
      </c>
      <c r="O41" s="522">
        <f>INDEX(Weekly!J:J,MATCH($F41,Weekly!$E:$E,0))</f>
        <v>5</v>
      </c>
      <c r="P41" s="521">
        <f>INDEX(Weekly!K:K,MATCH($F41,Weekly!$E:$E,0))</f>
        <v>0</v>
      </c>
      <c r="Q41" s="521">
        <f>INDEX(Weekly!M:M,MATCH($F41,Weekly!$E:$E,0))</f>
        <v>5</v>
      </c>
      <c r="R41" s="684" t="e">
        <f t="shared" si="1"/>
        <v>#REF!</v>
      </c>
      <c r="S41" s="82"/>
      <c r="T41" s="82"/>
      <c r="U41" s="82"/>
      <c r="V41" s="82"/>
      <c r="W41" s="82"/>
      <c r="X41" s="82"/>
      <c r="Y41" s="82"/>
      <c r="Z41" s="82"/>
      <c r="AA41" s="82"/>
      <c r="AB41" s="82"/>
    </row>
    <row r="42" spans="1:28" ht="14" customHeight="1">
      <c r="A42" s="722"/>
      <c r="B42" s="1" t="str">
        <f t="shared" si="2"/>
        <v>C9</v>
      </c>
      <c r="C42" s="548" t="s">
        <v>273</v>
      </c>
      <c r="D42" s="1">
        <v>9</v>
      </c>
      <c r="E42" s="576" t="s">
        <v>242</v>
      </c>
      <c r="F42" s="514" t="s">
        <v>460</v>
      </c>
      <c r="G42" s="670"/>
      <c r="H42" s="576"/>
      <c r="I42" s="292">
        <f>INDEX(Weekly!F:F,MATCH($F42,Weekly!$E:$E,0))</f>
        <v>-20.029227994227995</v>
      </c>
      <c r="J42" s="516">
        <f>INDEX(Weekly!G:G,MATCH($F42,Weekly!$E:$E,0))</f>
        <v>30</v>
      </c>
      <c r="K42" s="518">
        <f>INDEX(Weekly!H:H,MATCH($F42,Weekly!$E:$E,0))</f>
        <v>-0.4222222222222225</v>
      </c>
      <c r="L42" s="323">
        <f>INDEX(Weekly!I:I,MATCH($F42,Weekly!$E:$E,0))</f>
        <v>2</v>
      </c>
      <c r="M42" s="520" t="e">
        <f>INDEX(Players!F:F,MATCH($F42,Players!#REF!,0))</f>
        <v>#REF!</v>
      </c>
      <c r="N42" s="521">
        <f>INDEX(Prizes!F:F,MATCH($B42,Prizes!A:A,0))</f>
        <v>0</v>
      </c>
      <c r="O42" s="522">
        <f>INDEX(Weekly!J:J,MATCH($F42,Weekly!$E:$E,0))</f>
        <v>5</v>
      </c>
      <c r="P42" s="521">
        <f>INDEX(Weekly!K:K,MATCH($F42,Weekly!$E:$E,0))</f>
        <v>0</v>
      </c>
      <c r="Q42" s="521">
        <f>INDEX(Weekly!M:M,MATCH($F42,Weekly!$E:$E,0))</f>
        <v>5</v>
      </c>
      <c r="R42" s="684" t="e">
        <f t="shared" si="1"/>
        <v>#REF!</v>
      </c>
      <c r="S42" s="82"/>
      <c r="T42" s="82"/>
      <c r="U42" s="82"/>
      <c r="V42" s="82"/>
      <c r="W42" s="82"/>
      <c r="X42" s="82"/>
      <c r="Y42" s="82"/>
      <c r="Z42" s="82"/>
      <c r="AA42" s="82"/>
      <c r="AB42" s="82"/>
    </row>
    <row r="43" spans="1:28" ht="14" customHeight="1">
      <c r="A43" s="722"/>
      <c r="B43" s="1" t="str">
        <f t="shared" si="2"/>
        <v>C10</v>
      </c>
      <c r="C43" s="548" t="s">
        <v>273</v>
      </c>
      <c r="D43" s="575">
        <v>10</v>
      </c>
      <c r="E43" s="576" t="s">
        <v>242</v>
      </c>
      <c r="F43" s="514" t="s">
        <v>461</v>
      </c>
      <c r="G43" s="670"/>
      <c r="H43" s="576"/>
      <c r="I43" s="292">
        <f>INDEX(Weekly!F:F,MATCH($F43,Weekly!$E:$E,0))</f>
        <v>-27.760909090909092</v>
      </c>
      <c r="J43" s="516">
        <f>INDEX(Weekly!G:G,MATCH($F43,Weekly!$E:$E,0))</f>
        <v>24</v>
      </c>
      <c r="K43" s="518">
        <f>INDEX(Weekly!H:H,MATCH($F43,Weekly!$E:$E,0))</f>
        <v>1.163636363636364</v>
      </c>
      <c r="L43" s="323">
        <f>INDEX(Weekly!I:I,MATCH($F43,Weekly!$E:$E,0))</f>
        <v>2</v>
      </c>
      <c r="M43" s="520" t="e">
        <f>INDEX(Players!F:F,MATCH($F43,Players!#REF!,0))</f>
        <v>#REF!</v>
      </c>
      <c r="N43" s="521">
        <f>INDEX(Prizes!F:F,MATCH($B43,Prizes!A:A,0))</f>
        <v>0</v>
      </c>
      <c r="O43" s="522">
        <f>INDEX(Weekly!J:J,MATCH($F43,Weekly!$E:$E,0))</f>
        <v>5</v>
      </c>
      <c r="P43" s="521">
        <f>INDEX(Weekly!K:K,MATCH($F43,Weekly!$E:$E,0))</f>
        <v>0</v>
      </c>
      <c r="Q43" s="521">
        <f>INDEX(Weekly!M:M,MATCH($F43,Weekly!$E:$E,0))</f>
        <v>5</v>
      </c>
      <c r="R43" s="684" t="e">
        <f t="shared" si="1"/>
        <v>#REF!</v>
      </c>
      <c r="S43" s="82"/>
      <c r="T43" s="82"/>
      <c r="U43" s="82"/>
      <c r="V43" s="82"/>
      <c r="W43" s="82"/>
      <c r="X43" s="82"/>
      <c r="Y43" s="82"/>
      <c r="Z43" s="82"/>
      <c r="AA43" s="82"/>
      <c r="AB43" s="82"/>
    </row>
    <row r="44" spans="1:28" ht="14" customHeight="1">
      <c r="A44" s="722"/>
      <c r="B44" s="1" t="str">
        <f t="shared" si="2"/>
        <v>C11</v>
      </c>
      <c r="C44" s="388" t="s">
        <v>274</v>
      </c>
      <c r="D44" s="385">
        <v>11</v>
      </c>
      <c r="E44" s="666" t="s">
        <v>242</v>
      </c>
      <c r="F44" s="377" t="s">
        <v>300</v>
      </c>
      <c r="G44" s="671"/>
      <c r="H44" s="666"/>
      <c r="I44" s="378">
        <f>INDEX(Weekly!F:F,MATCH($F44,Weekly!$E:$E,0))</f>
        <v>-30.729696969696956</v>
      </c>
      <c r="J44" s="379">
        <f>INDEX(Weekly!G:G,MATCH($F44,Weekly!$E:$E,0))</f>
        <v>16</v>
      </c>
      <c r="K44" s="380">
        <f>INDEX(Weekly!H:H,MATCH($F44,Weekly!$E:$E,0))</f>
        <v>-3</v>
      </c>
      <c r="L44" s="381">
        <f>INDEX(Weekly!I:I,MATCH($F44,Weekly!$E:$E,0))</f>
        <v>1</v>
      </c>
      <c r="M44" s="474" t="e">
        <f>INDEX(Players!F:F,MATCH($F44,Players!#REF!,0))</f>
        <v>#REF!</v>
      </c>
      <c r="N44" s="382">
        <f>INDEX(Prizes!F:F,MATCH($B44,Prizes!A:A,0))</f>
        <v>0</v>
      </c>
      <c r="O44" s="383">
        <f>INDEX(Weekly!J:J,MATCH($F44,Weekly!$E:$E,0))</f>
        <v>15</v>
      </c>
      <c r="P44" s="382">
        <f>INDEX(Weekly!K:K,MATCH($F44,Weekly!$E:$E,0))</f>
        <v>0</v>
      </c>
      <c r="Q44" s="382">
        <f>INDEX(Weekly!M:M,MATCH($F44,Weekly!$E:$E,0))</f>
        <v>15</v>
      </c>
      <c r="R44" s="685" t="e">
        <f t="shared" si="1"/>
        <v>#REF!</v>
      </c>
      <c r="S44" s="82"/>
      <c r="T44" s="82"/>
      <c r="U44" s="82"/>
      <c r="V44" s="82"/>
      <c r="W44" s="82"/>
      <c r="X44" s="82"/>
      <c r="Y44" s="82"/>
      <c r="Z44" s="82"/>
      <c r="AA44" s="82"/>
      <c r="AB44" s="82"/>
    </row>
    <row r="45" spans="1:28" ht="14" customHeight="1">
      <c r="A45" s="722"/>
      <c r="B45" s="1" t="str">
        <f t="shared" si="2"/>
        <v>C12</v>
      </c>
      <c r="C45" s="289" t="s">
        <v>274</v>
      </c>
      <c r="D45" s="575">
        <v>12</v>
      </c>
      <c r="E45" s="576" t="s">
        <v>242</v>
      </c>
      <c r="F45" s="514" t="s">
        <v>335</v>
      </c>
      <c r="G45" s="670"/>
      <c r="H45" s="576"/>
      <c r="I45" s="292">
        <f>INDEX(Weekly!F:F,MATCH($F45,Weekly!$E:$E,0))</f>
        <v>-32.934463684463687</v>
      </c>
      <c r="J45" s="516">
        <f>INDEX(Weekly!G:G,MATCH($F45,Weekly!$E:$E,0))</f>
        <v>24</v>
      </c>
      <c r="K45" s="518">
        <f>INDEX(Weekly!H:H,MATCH($F45,Weekly!$E:$E,0))</f>
        <v>-0.64999999999999947</v>
      </c>
      <c r="L45" s="323">
        <f>INDEX(Weekly!I:I,MATCH($F45,Weekly!$E:$E,0))</f>
        <v>2</v>
      </c>
      <c r="M45" s="520" t="e">
        <f>INDEX(Players!F:F,MATCH($F45,Players!#REF!,0))</f>
        <v>#REF!</v>
      </c>
      <c r="N45" s="521">
        <f>INDEX(Prizes!F:F,MATCH($B45,Prizes!A:A,0))</f>
        <v>0</v>
      </c>
      <c r="O45" s="522">
        <f>INDEX(Weekly!J:J,MATCH($F45,Weekly!$E:$E,0))</f>
        <v>5</v>
      </c>
      <c r="P45" s="521">
        <f>INDEX(Weekly!K:K,MATCH($F45,Weekly!$E:$E,0))</f>
        <v>0</v>
      </c>
      <c r="Q45" s="521">
        <f>INDEX(Weekly!M:M,MATCH($F45,Weekly!$E:$E,0))</f>
        <v>5</v>
      </c>
      <c r="R45" s="684" t="e">
        <f t="shared" si="1"/>
        <v>#REF!</v>
      </c>
      <c r="S45" s="82"/>
      <c r="T45" s="82"/>
      <c r="U45" s="82"/>
      <c r="V45" s="82"/>
      <c r="W45" s="82"/>
      <c r="X45" s="82"/>
      <c r="Y45" s="82"/>
      <c r="Z45" s="82"/>
      <c r="AA45" s="82"/>
      <c r="AB45" s="82"/>
    </row>
    <row r="46" spans="1:28" ht="14" customHeight="1">
      <c r="A46" s="722"/>
      <c r="B46" s="1" t="str">
        <f t="shared" si="2"/>
        <v>C13</v>
      </c>
      <c r="C46" s="289" t="s">
        <v>274</v>
      </c>
      <c r="D46" s="1">
        <v>13</v>
      </c>
      <c r="E46" s="576" t="s">
        <v>242</v>
      </c>
      <c r="F46" s="514" t="s">
        <v>320</v>
      </c>
      <c r="G46" s="670"/>
      <c r="H46" s="576"/>
      <c r="I46" s="292">
        <f>INDEX(Weekly!F:F,MATCH($F46,Weekly!$E:$E,0))</f>
        <v>-41.166153846153847</v>
      </c>
      <c r="J46" s="516">
        <f>INDEX(Weekly!G:G,MATCH($F46,Weekly!$E:$E,0))</f>
        <v>17</v>
      </c>
      <c r="K46" s="518">
        <f>INDEX(Weekly!H:H,MATCH($F46,Weekly!$E:$E,0))</f>
        <v>-0.54615384615384599</v>
      </c>
      <c r="L46" s="323">
        <f>INDEX(Weekly!I:I,MATCH($F46,Weekly!$E:$E,0))</f>
        <v>2</v>
      </c>
      <c r="M46" s="520" t="e">
        <f>INDEX(Players!F:F,MATCH($F46,Players!#REF!,0))</f>
        <v>#REF!</v>
      </c>
      <c r="N46" s="522">
        <f>INDEX(Prizes!F:F,MATCH($B46,Prizes!A:A,0))</f>
        <v>0</v>
      </c>
      <c r="O46" s="522">
        <f>INDEX(Weekly!J:J,MATCH($F46,Weekly!$E:$E,0))</f>
        <v>5</v>
      </c>
      <c r="P46" s="522">
        <f>INDEX(Weekly!K:K,MATCH($F46,Weekly!$E:$E,0))</f>
        <v>0</v>
      </c>
      <c r="Q46" s="521">
        <f>INDEX(Weekly!M:M,MATCH($F46,Weekly!$E:$E,0))</f>
        <v>5</v>
      </c>
      <c r="R46" s="684" t="e">
        <f t="shared" si="1"/>
        <v>#REF!</v>
      </c>
      <c r="S46" s="82"/>
      <c r="T46" s="82"/>
      <c r="U46" s="82"/>
      <c r="V46" s="82"/>
      <c r="W46" s="82"/>
      <c r="X46" s="82"/>
      <c r="Y46" s="82"/>
      <c r="Z46" s="82"/>
      <c r="AA46" s="82"/>
      <c r="AB46" s="82"/>
    </row>
    <row r="47" spans="1:28" ht="14" customHeight="1">
      <c r="A47" s="722"/>
      <c r="B47" s="1" t="str">
        <f t="shared" si="2"/>
        <v>C14</v>
      </c>
      <c r="C47" s="289" t="s">
        <v>274</v>
      </c>
      <c r="D47" s="1">
        <v>14</v>
      </c>
      <c r="E47" s="576" t="s">
        <v>242</v>
      </c>
      <c r="F47" s="515" t="s">
        <v>380</v>
      </c>
      <c r="G47" s="670"/>
      <c r="H47" s="576"/>
      <c r="I47" s="293">
        <f>INDEX(Weekly!F:F,MATCH($F47,Weekly!$E:$E,0))</f>
        <v>-50.212727272727271</v>
      </c>
      <c r="J47" s="517">
        <f>INDEX(Weekly!G:G,MATCH($F47,Weekly!$E:$E,0))</f>
        <v>17</v>
      </c>
      <c r="K47" s="519">
        <f>INDEX(Weekly!H:H,MATCH($F47,Weekly!$E:$E,0))</f>
        <v>-3</v>
      </c>
      <c r="L47" s="324">
        <f>INDEX(Weekly!I:I,MATCH($F47,Weekly!$E:$E,0))</f>
        <v>1</v>
      </c>
      <c r="M47" s="520" t="e">
        <f>INDEX(Players!F:F,MATCH($F47,Players!#REF!,0))</f>
        <v>#REF!</v>
      </c>
      <c r="N47" s="521">
        <f>INDEX(Prizes!F:F,MATCH($B47,Prizes!A:A,0))</f>
        <v>0</v>
      </c>
      <c r="O47" s="522">
        <f>INDEX(Weekly!J:J,MATCH($F47,Weekly!$E:$E,0))</f>
        <v>5</v>
      </c>
      <c r="P47" s="521">
        <f>INDEX(Weekly!K:K,MATCH($F47,Weekly!$E:$E,0))</f>
        <v>0</v>
      </c>
      <c r="Q47" s="522">
        <f>INDEX(Weekly!M:M,MATCH($F47,Weekly!$E:$E,0))</f>
        <v>5</v>
      </c>
      <c r="R47" s="684" t="e">
        <f t="shared" si="1"/>
        <v>#REF!</v>
      </c>
      <c r="S47" s="82"/>
      <c r="T47" s="82"/>
      <c r="U47" s="82"/>
      <c r="V47" s="82"/>
      <c r="W47" s="82"/>
      <c r="X47" s="82"/>
      <c r="Y47" s="82"/>
      <c r="Z47" s="82"/>
      <c r="AA47" s="82"/>
      <c r="AB47" s="82"/>
    </row>
    <row r="48" spans="1:28" ht="14" customHeight="1">
      <c r="A48" s="722"/>
      <c r="B48" s="1" t="str">
        <f t="shared" si="2"/>
        <v>C15</v>
      </c>
      <c r="C48" s="289" t="s">
        <v>274</v>
      </c>
      <c r="D48" s="11">
        <v>15</v>
      </c>
      <c r="E48" s="576" t="s">
        <v>242</v>
      </c>
      <c r="F48" s="514" t="s">
        <v>321</v>
      </c>
      <c r="G48" s="670"/>
      <c r="H48" s="576"/>
      <c r="I48" s="292">
        <f>INDEX(Weekly!F:F,MATCH($F48,Weekly!$E:$E,0))</f>
        <v>-52.223883061383056</v>
      </c>
      <c r="J48" s="516">
        <f>INDEX(Weekly!G:G,MATCH($F48,Weekly!$E:$E,0))</f>
        <v>21</v>
      </c>
      <c r="K48" s="518">
        <f>INDEX(Weekly!H:H,MATCH($F48,Weekly!$E:$E,0))</f>
        <v>-1.3</v>
      </c>
      <c r="L48" s="323">
        <f>INDEX(Weekly!I:I,MATCH($F48,Weekly!$E:$E,0))</f>
        <v>2</v>
      </c>
      <c r="M48" s="520" t="e">
        <f>INDEX(Players!F:F,MATCH($F48,Players!#REF!,0))</f>
        <v>#REF!</v>
      </c>
      <c r="N48" s="521">
        <f>INDEX(Prizes!F:F,MATCH($B48,Prizes!A:A,0))</f>
        <v>0</v>
      </c>
      <c r="O48" s="522">
        <f>INDEX(Weekly!J:J,MATCH($F48,Weekly!$E:$E,0))</f>
        <v>0</v>
      </c>
      <c r="P48" s="521">
        <f>INDEX(Weekly!K:K,MATCH($F48,Weekly!$E:$E,0))</f>
        <v>0</v>
      </c>
      <c r="Q48" s="521">
        <f>INDEX(Weekly!M:M,MATCH($F48,Weekly!$E:$E,0))</f>
        <v>0</v>
      </c>
      <c r="R48" s="684" t="e">
        <f t="shared" si="1"/>
        <v>#REF!</v>
      </c>
      <c r="S48" s="82"/>
      <c r="T48" s="82"/>
      <c r="U48" s="82"/>
      <c r="V48" s="82"/>
      <c r="W48" s="82"/>
      <c r="X48" s="82"/>
      <c r="Y48" s="82"/>
      <c r="Z48" s="82"/>
      <c r="AA48" s="82"/>
      <c r="AB48" s="82"/>
    </row>
    <row r="49" spans="1:28" ht="14" customHeight="1" thickBot="1">
      <c r="A49" s="723"/>
      <c r="B49" s="1" t="str">
        <f t="shared" si="2"/>
        <v>C16</v>
      </c>
      <c r="C49" s="291" t="s">
        <v>274</v>
      </c>
      <c r="D49" s="285">
        <v>16</v>
      </c>
      <c r="E49" s="667" t="s">
        <v>242</v>
      </c>
      <c r="F49" s="286" t="s">
        <v>302</v>
      </c>
      <c r="G49" s="672"/>
      <c r="H49" s="667"/>
      <c r="I49" s="294">
        <f>INDEX(Weekly!F:F,MATCH($F49,Weekly!$E:$E,0))</f>
        <v>-108.66882783882784</v>
      </c>
      <c r="J49" s="320">
        <f>INDEX(Weekly!G:G,MATCH($F49,Weekly!$E:$E,0))</f>
        <v>10</v>
      </c>
      <c r="K49" s="165">
        <f>INDEX(Weekly!H:H,MATCH($F49,Weekly!$E:$E,0))</f>
        <v>-7</v>
      </c>
      <c r="L49" s="325">
        <f>INDEX(Weekly!I:I,MATCH($F49,Weekly!$E:$E,0))</f>
        <v>0</v>
      </c>
      <c r="M49" s="475" t="e">
        <f>INDEX(Players!F:F,MATCH($F49,Players!#REF!,0))</f>
        <v>#REF!</v>
      </c>
      <c r="N49" s="301">
        <f>INDEX(Prizes!F:F,MATCH($B49,Prizes!A:A,0))</f>
        <v>0</v>
      </c>
      <c r="O49" s="302">
        <f>INDEX(Weekly!J:J,MATCH($F49,Weekly!$E:$E,0))</f>
        <v>0</v>
      </c>
      <c r="P49" s="301">
        <f>INDEX(Weekly!K:K,MATCH($F49,Weekly!$E:$E,0))</f>
        <v>0</v>
      </c>
      <c r="Q49" s="302">
        <f>INDEX(Weekly!M:M,MATCH($F49,Weekly!$E:$E,0))</f>
        <v>0</v>
      </c>
      <c r="R49" s="686" t="e">
        <f t="shared" si="1"/>
        <v>#REF!</v>
      </c>
      <c r="S49" s="82"/>
      <c r="T49" s="82"/>
      <c r="U49" s="82"/>
      <c r="V49" s="82"/>
      <c r="W49" s="82"/>
      <c r="X49" s="82"/>
      <c r="Y49" s="82"/>
      <c r="Z49" s="82"/>
      <c r="AA49" s="82"/>
      <c r="AB49" s="82"/>
    </row>
    <row r="50" spans="1:28" ht="14" customHeight="1">
      <c r="A50" s="724" t="s">
        <v>235</v>
      </c>
      <c r="B50" s="1" t="str">
        <f t="shared" si="2"/>
        <v>D1</v>
      </c>
      <c r="C50" s="287" t="s">
        <v>275</v>
      </c>
      <c r="D50" s="1">
        <v>1</v>
      </c>
      <c r="E50" s="576" t="s">
        <v>243</v>
      </c>
      <c r="F50" s="514" t="s">
        <v>549</v>
      </c>
      <c r="G50" s="670"/>
      <c r="H50" s="576"/>
      <c r="I50" s="292">
        <f>INDEX(Weekly!F:F,MATCH($F50,Weekly!$E:$E,0))</f>
        <v>81.85363636363634</v>
      </c>
      <c r="J50" s="516">
        <f>INDEX(Weekly!G:G,MATCH($F50,Weekly!$E:$E,0))</f>
        <v>25</v>
      </c>
      <c r="K50" s="518">
        <f>INDEX(Weekly!H:H,MATCH($F50,Weekly!$E:$E,0))</f>
        <v>-5.15</v>
      </c>
      <c r="L50" s="323">
        <f>INDEX(Weekly!I:I,MATCH($F50,Weekly!$E:$E,0))</f>
        <v>1</v>
      </c>
      <c r="M50" s="520" t="e">
        <f>INDEX(Players!F:F,MATCH($F50,Players!#REF!,0))</f>
        <v>#REF!</v>
      </c>
      <c r="N50" s="521">
        <f>INDEX(Prizes!F:F,MATCH($B50,Prizes!A:A,0))</f>
        <v>24.15</v>
      </c>
      <c r="O50" s="522">
        <f>INDEX(Weekly!J:J,MATCH($F50,Weekly!$E:$E,0))</f>
        <v>20</v>
      </c>
      <c r="P50" s="521">
        <f>INDEX(Weekly!K:K,MATCH($F50,Weekly!$E:$E,0))</f>
        <v>0</v>
      </c>
      <c r="Q50" s="521">
        <f>INDEX(Weekly!M:M,MATCH($F50,Weekly!$E:$E,0))</f>
        <v>44.15</v>
      </c>
      <c r="R50" s="684" t="e">
        <f t="shared" si="1"/>
        <v>#REF!</v>
      </c>
      <c r="S50" s="82"/>
      <c r="T50" s="82"/>
      <c r="U50" s="82"/>
      <c r="V50" s="82"/>
      <c r="W50" s="82"/>
      <c r="X50" s="82"/>
      <c r="Y50" s="82"/>
      <c r="Z50" s="82"/>
      <c r="AA50" s="82"/>
      <c r="AB50" s="82"/>
    </row>
    <row r="51" spans="1:28" ht="14" customHeight="1">
      <c r="A51" s="725"/>
      <c r="B51" s="1" t="str">
        <f t="shared" si="2"/>
        <v>D2</v>
      </c>
      <c r="C51" s="287" t="s">
        <v>275</v>
      </c>
      <c r="D51" s="1">
        <v>2</v>
      </c>
      <c r="E51" s="576" t="s">
        <v>243</v>
      </c>
      <c r="F51" s="514" t="s">
        <v>552</v>
      </c>
      <c r="G51" s="670"/>
      <c r="H51" s="576"/>
      <c r="I51" s="292">
        <f>INDEX(Weekly!F:F,MATCH($F51,Weekly!$E:$E,0))</f>
        <v>66.94207459207459</v>
      </c>
      <c r="J51" s="516">
        <f>INDEX(Weekly!G:G,MATCH($F51,Weekly!$E:$E,0))</f>
        <v>25</v>
      </c>
      <c r="K51" s="518">
        <f>INDEX(Weekly!H:H,MATCH($F51,Weekly!$E:$E,0))</f>
        <v>-1.3</v>
      </c>
      <c r="L51" s="323">
        <f>INDEX(Weekly!I:I,MATCH($F51,Weekly!$E:$E,0))</f>
        <v>1</v>
      </c>
      <c r="M51" s="520" t="e">
        <f>INDEX(Players!F:F,MATCH($F51,Players!#REF!,0))</f>
        <v>#REF!</v>
      </c>
      <c r="N51" s="521">
        <f>INDEX(Prizes!F:F,MATCH($B51,Prizes!A:A,0))</f>
        <v>17.25</v>
      </c>
      <c r="O51" s="522">
        <f>INDEX(Weekly!J:J,MATCH($F51,Weekly!$E:$E,0))</f>
        <v>25</v>
      </c>
      <c r="P51" s="521">
        <f>INDEX(Weekly!K:K,MATCH($F51,Weekly!$E:$E,0))</f>
        <v>0</v>
      </c>
      <c r="Q51" s="521">
        <f>INDEX(Weekly!M:M,MATCH($F51,Weekly!$E:$E,0))</f>
        <v>42.25</v>
      </c>
      <c r="R51" s="684" t="e">
        <f t="shared" si="1"/>
        <v>#REF!</v>
      </c>
      <c r="S51" s="82"/>
      <c r="T51" s="82"/>
      <c r="U51" s="82"/>
      <c r="V51" s="82"/>
      <c r="W51" s="82"/>
      <c r="X51" s="82"/>
      <c r="Y51" s="82"/>
      <c r="Z51" s="82"/>
      <c r="AA51" s="82"/>
      <c r="AB51" s="82"/>
    </row>
    <row r="52" spans="1:28" ht="14" customHeight="1">
      <c r="A52" s="725"/>
      <c r="B52" s="1" t="str">
        <f t="shared" si="2"/>
        <v>D3</v>
      </c>
      <c r="C52" s="287" t="s">
        <v>275</v>
      </c>
      <c r="D52" s="1">
        <v>3</v>
      </c>
      <c r="E52" s="576" t="s">
        <v>243</v>
      </c>
      <c r="F52" s="515" t="s">
        <v>389</v>
      </c>
      <c r="G52" s="670"/>
      <c r="H52" s="576"/>
      <c r="I52" s="293">
        <f>INDEX(Weekly!F:F,MATCH($F52,Weekly!$E:$E,0))</f>
        <v>42.988749999999989</v>
      </c>
      <c r="J52" s="517">
        <f>INDEX(Weekly!G:G,MATCH($F52,Weekly!$E:$E,0))</f>
        <v>19</v>
      </c>
      <c r="K52" s="519">
        <f>INDEX(Weekly!H:H,MATCH($F52,Weekly!$E:$E,0))</f>
        <v>-3</v>
      </c>
      <c r="L52" s="324">
        <f>INDEX(Weekly!I:I,MATCH($F52,Weekly!$E:$E,0))</f>
        <v>0</v>
      </c>
      <c r="M52" s="520" t="e">
        <f>INDEX(Players!F:F,MATCH($F52,Players!#REF!,0))</f>
        <v>#REF!</v>
      </c>
      <c r="N52" s="521">
        <f>INDEX(Prizes!F:F,MATCH($B52,Prizes!A:A,0))</f>
        <v>12.42</v>
      </c>
      <c r="O52" s="522">
        <f>INDEX(Weekly!J:J,MATCH($F52,Weekly!$E:$E,0))</f>
        <v>20</v>
      </c>
      <c r="P52" s="521">
        <f>INDEX(Weekly!K:K,MATCH($F52,Weekly!$E:$E,0))</f>
        <v>0</v>
      </c>
      <c r="Q52" s="521">
        <f>INDEX(Weekly!M:M,MATCH($F52,Weekly!$E:$E,0))</f>
        <v>32.42</v>
      </c>
      <c r="R52" s="684" t="e">
        <f t="shared" si="1"/>
        <v>#REF!</v>
      </c>
      <c r="S52" s="82"/>
      <c r="T52" s="82"/>
      <c r="U52" s="82"/>
      <c r="V52" s="82"/>
      <c r="W52" s="82"/>
      <c r="X52" s="82"/>
      <c r="Y52" s="82"/>
      <c r="Z52" s="82"/>
      <c r="AA52" s="82"/>
      <c r="AB52" s="82"/>
    </row>
    <row r="53" spans="1:28" ht="14" customHeight="1">
      <c r="A53" s="725"/>
      <c r="B53" s="1" t="str">
        <f t="shared" si="2"/>
        <v>D4</v>
      </c>
      <c r="C53" s="287" t="s">
        <v>275</v>
      </c>
      <c r="D53" s="1">
        <v>4</v>
      </c>
      <c r="E53" s="576" t="s">
        <v>243</v>
      </c>
      <c r="F53" s="514" t="s">
        <v>553</v>
      </c>
      <c r="G53" s="670"/>
      <c r="H53" s="576"/>
      <c r="I53" s="292">
        <f>INDEX(Weekly!F:F,MATCH($F53,Weekly!$E:$E,0))</f>
        <v>22.895535256410259</v>
      </c>
      <c r="J53" s="516">
        <f>INDEX(Weekly!G:G,MATCH($F53,Weekly!$E:$E,0))</f>
        <v>32</v>
      </c>
      <c r="K53" s="518">
        <f>INDEX(Weekly!H:H,MATCH($F53,Weekly!$E:$E,0))</f>
        <v>21.781818181818181</v>
      </c>
      <c r="L53" s="323">
        <f>INDEX(Weekly!I:I,MATCH($F53,Weekly!$E:$E,0))</f>
        <v>3</v>
      </c>
      <c r="M53" s="520" t="e">
        <f>INDEX(Players!F:F,MATCH($F53,Players!#REF!,0))</f>
        <v>#REF!</v>
      </c>
      <c r="N53" s="521">
        <f>INDEX(Prizes!F:F,MATCH($B53,Prizes!A:A,0))</f>
        <v>8.2799999999999994</v>
      </c>
      <c r="O53" s="522">
        <f>INDEX(Weekly!J:J,MATCH($F53,Weekly!$E:$E,0))</f>
        <v>15</v>
      </c>
      <c r="P53" s="521">
        <f>INDEX(Weekly!K:K,MATCH($F53,Weekly!$E:$E,0))</f>
        <v>5</v>
      </c>
      <c r="Q53" s="521">
        <f>INDEX(Weekly!M:M,MATCH($F53,Weekly!$E:$E,0))</f>
        <v>28.28</v>
      </c>
      <c r="R53" s="684" t="e">
        <f t="shared" si="1"/>
        <v>#REF!</v>
      </c>
      <c r="S53" s="82"/>
      <c r="T53" s="82"/>
      <c r="U53" s="82"/>
      <c r="V53" s="82"/>
      <c r="W53" s="82"/>
      <c r="X53" s="82"/>
      <c r="Y53" s="82"/>
      <c r="Z53" s="82"/>
      <c r="AA53" s="82"/>
      <c r="AB53" s="82"/>
    </row>
    <row r="54" spans="1:28" ht="14" customHeight="1">
      <c r="A54" s="725"/>
      <c r="B54" s="11" t="str">
        <f t="shared" si="2"/>
        <v>D5</v>
      </c>
      <c r="C54" s="369" t="s">
        <v>275</v>
      </c>
      <c r="D54" s="387">
        <v>5</v>
      </c>
      <c r="E54" s="668" t="s">
        <v>243</v>
      </c>
      <c r="F54" s="370" t="s">
        <v>293</v>
      </c>
      <c r="G54" s="673"/>
      <c r="H54" s="668"/>
      <c r="I54" s="717">
        <f>INDEX(Weekly!F:F,MATCH($F54,Weekly!$E:$E,0))</f>
        <v>15.795069652569646</v>
      </c>
      <c r="J54" s="718">
        <f>INDEX(Weekly!G:G,MATCH($F54,Weekly!$E:$E,0))</f>
        <v>33</v>
      </c>
      <c r="K54" s="719">
        <f>INDEX(Weekly!H:H,MATCH($F54,Weekly!$E:$E,0))</f>
        <v>-1.4000000000000004</v>
      </c>
      <c r="L54" s="720">
        <f>INDEX(Weekly!I:I,MATCH($F54,Weekly!$E:$E,0))</f>
        <v>2</v>
      </c>
      <c r="M54" s="476" t="e">
        <f>INDEX(Players!F:F,MATCH($F54,Players!#REF!,0))</f>
        <v>#REF!</v>
      </c>
      <c r="N54" s="375">
        <f>INDEX(Prizes!F:F,MATCH($B54,Prizes!A:A,0))</f>
        <v>4.83</v>
      </c>
      <c r="O54" s="376">
        <f>INDEX(Weekly!J:J,MATCH($F54,Weekly!$E:$E,0))</f>
        <v>15</v>
      </c>
      <c r="P54" s="375">
        <f>INDEX(Weekly!K:K,MATCH($F54,Weekly!$E:$E,0))</f>
        <v>0</v>
      </c>
      <c r="Q54" s="375">
        <f>INDEX(Weekly!M:M,MATCH($F54,Weekly!$E:$E,0))</f>
        <v>19.829999999999998</v>
      </c>
      <c r="R54" s="687" t="e">
        <f t="shared" si="1"/>
        <v>#REF!</v>
      </c>
      <c r="S54" s="82"/>
      <c r="T54" s="82"/>
      <c r="U54" s="82"/>
      <c r="V54" s="82"/>
      <c r="W54" s="82"/>
      <c r="X54" s="82"/>
      <c r="Y54" s="82"/>
      <c r="Z54" s="82"/>
      <c r="AA54" s="82"/>
      <c r="AB54" s="82"/>
    </row>
    <row r="55" spans="1:28" ht="14" customHeight="1">
      <c r="A55" s="725"/>
      <c r="B55" s="1" t="str">
        <f t="shared" si="2"/>
        <v>D6</v>
      </c>
      <c r="C55" s="369" t="s">
        <v>275</v>
      </c>
      <c r="D55" s="11">
        <v>6</v>
      </c>
      <c r="E55" s="576" t="s">
        <v>243</v>
      </c>
      <c r="F55" s="514" t="s">
        <v>383</v>
      </c>
      <c r="G55" s="670"/>
      <c r="H55" s="576"/>
      <c r="I55" s="292">
        <f>INDEX(Weekly!F:F,MATCH($F55,Weekly!$E:$E,0))</f>
        <v>6.1995908826022461</v>
      </c>
      <c r="J55" s="516">
        <f>INDEX(Weekly!G:G,MATCH($F55,Weekly!$E:$E,0))</f>
        <v>26</v>
      </c>
      <c r="K55" s="518">
        <f>INDEX(Weekly!H:H,MATCH($F55,Weekly!$E:$E,0))</f>
        <v>0</v>
      </c>
      <c r="L55" s="323">
        <f>INDEX(Weekly!I:I,MATCH($F55,Weekly!$E:$E,0))</f>
        <v>0</v>
      </c>
      <c r="M55" s="520" t="e">
        <f>INDEX(Players!F:F,MATCH($F55,Players!#REF!,0))</f>
        <v>#REF!</v>
      </c>
      <c r="N55" s="521">
        <f>INDEX(Prizes!F:F,MATCH($B55,Prizes!A:A,0))</f>
        <v>2.0699999999999998</v>
      </c>
      <c r="O55" s="522">
        <f>INDEX(Weekly!J:J,MATCH($F55,Weekly!$E:$E,0))</f>
        <v>15</v>
      </c>
      <c r="P55" s="521">
        <f>INDEX(Weekly!K:K,MATCH($F55,Weekly!$E:$E,0))</f>
        <v>0</v>
      </c>
      <c r="Q55" s="521">
        <f>INDEX(Weekly!M:M,MATCH($F55,Weekly!$E:$E,0))</f>
        <v>17.07</v>
      </c>
      <c r="R55" s="684" t="e">
        <f t="shared" si="1"/>
        <v>#REF!</v>
      </c>
      <c r="S55" s="82"/>
      <c r="T55" s="82"/>
      <c r="U55" s="82"/>
      <c r="V55" s="82"/>
      <c r="W55" s="82"/>
      <c r="X55" s="82"/>
      <c r="Y55" s="82"/>
      <c r="Z55" s="82"/>
      <c r="AA55" s="82"/>
      <c r="AB55" s="82"/>
    </row>
    <row r="56" spans="1:28" ht="14" customHeight="1">
      <c r="A56" s="725"/>
      <c r="B56" s="1" t="str">
        <f t="shared" si="2"/>
        <v>D7</v>
      </c>
      <c r="C56" s="548" t="s">
        <v>273</v>
      </c>
      <c r="D56" s="1">
        <v>7</v>
      </c>
      <c r="E56" s="576" t="s">
        <v>243</v>
      </c>
      <c r="F56" s="514" t="s">
        <v>551</v>
      </c>
      <c r="G56" s="670"/>
      <c r="H56" s="576"/>
      <c r="I56" s="292">
        <f>INDEX(Weekly!F:F,MATCH($F56,Weekly!$E:$E,0))</f>
        <v>-21.450492424242423</v>
      </c>
      <c r="J56" s="516">
        <f>INDEX(Weekly!G:G,MATCH($F56,Weekly!$E:$E,0))</f>
        <v>20</v>
      </c>
      <c r="K56" s="518">
        <f>INDEX(Weekly!H:H,MATCH($F56,Weekly!$E:$E,0))</f>
        <v>-1</v>
      </c>
      <c r="L56" s="323">
        <f>INDEX(Weekly!I:I,MATCH($F56,Weekly!$E:$E,0))</f>
        <v>0</v>
      </c>
      <c r="M56" s="520" t="e">
        <f>INDEX(Players!F:F,MATCH($F56,Players!#REF!,0))</f>
        <v>#REF!</v>
      </c>
      <c r="N56" s="521">
        <f>INDEX(Prizes!F:F,MATCH($B56,Prizes!A:A,0))</f>
        <v>0</v>
      </c>
      <c r="O56" s="522">
        <f>INDEX(Weekly!J:J,MATCH($F56,Weekly!$E:$E,0))</f>
        <v>5</v>
      </c>
      <c r="P56" s="521">
        <f>INDEX(Weekly!K:K,MATCH($F56,Weekly!$E:$E,0))</f>
        <v>0</v>
      </c>
      <c r="Q56" s="521">
        <f>INDEX(Weekly!M:M,MATCH($F56,Weekly!$E:$E,0))</f>
        <v>5</v>
      </c>
      <c r="R56" s="684" t="e">
        <f t="shared" si="1"/>
        <v>#REF!</v>
      </c>
      <c r="S56" s="82"/>
      <c r="T56" s="82"/>
      <c r="U56" s="82"/>
      <c r="V56" s="82"/>
      <c r="W56" s="82"/>
      <c r="X56" s="82"/>
      <c r="Y56" s="82"/>
      <c r="Z56" s="82"/>
      <c r="AA56" s="82"/>
      <c r="AB56" s="82"/>
    </row>
    <row r="57" spans="1:28" ht="14" customHeight="1">
      <c r="A57" s="725"/>
      <c r="B57" s="1" t="str">
        <f t="shared" si="2"/>
        <v>D8</v>
      </c>
      <c r="C57" s="548" t="s">
        <v>273</v>
      </c>
      <c r="D57" s="1">
        <v>8</v>
      </c>
      <c r="E57" s="576" t="s">
        <v>243</v>
      </c>
      <c r="F57" s="514" t="s">
        <v>309</v>
      </c>
      <c r="G57" s="670"/>
      <c r="H57" s="576"/>
      <c r="I57" s="292">
        <f>INDEX(Weekly!F:F,MATCH($F57,Weekly!$E:$E,0))</f>
        <v>-34.910024087024084</v>
      </c>
      <c r="J57" s="516">
        <f>INDEX(Weekly!G:G,MATCH($F57,Weekly!$E:$E,0))</f>
        <v>19</v>
      </c>
      <c r="K57" s="518">
        <f>INDEX(Weekly!H:H,MATCH($F57,Weekly!$E:$E,0))</f>
        <v>-5.5555555555555554</v>
      </c>
      <c r="L57" s="323">
        <f>INDEX(Weekly!I:I,MATCH($F57,Weekly!$E:$E,0))</f>
        <v>1</v>
      </c>
      <c r="M57" s="520" t="e">
        <f>INDEX(Players!F:F,MATCH($F57,Players!#REF!,0))</f>
        <v>#REF!</v>
      </c>
      <c r="N57" s="522">
        <f>INDEX(Prizes!F:F,MATCH($B57,Prizes!A:A,0))</f>
        <v>0</v>
      </c>
      <c r="O57" s="522">
        <f>INDEX(Weekly!J:J,MATCH($F57,Weekly!$E:$E,0))</f>
        <v>5</v>
      </c>
      <c r="P57" s="522">
        <f>INDEX(Weekly!K:K,MATCH($F57,Weekly!$E:$E,0))</f>
        <v>25</v>
      </c>
      <c r="Q57" s="521">
        <f>INDEX(Weekly!M:M,MATCH($F57,Weekly!$E:$E,0))</f>
        <v>30</v>
      </c>
      <c r="R57" s="684" t="e">
        <f t="shared" si="1"/>
        <v>#REF!</v>
      </c>
      <c r="S57" s="82"/>
      <c r="T57" s="82"/>
      <c r="U57" s="82"/>
      <c r="V57" s="82"/>
      <c r="W57" s="82"/>
      <c r="X57" s="82"/>
      <c r="Y57" s="82"/>
      <c r="Z57" s="82"/>
      <c r="AA57" s="82"/>
      <c r="AB57" s="82"/>
    </row>
    <row r="58" spans="1:28" ht="14" customHeight="1">
      <c r="A58" s="725"/>
      <c r="B58" s="1" t="str">
        <f t="shared" si="2"/>
        <v>D9</v>
      </c>
      <c r="C58" s="303"/>
      <c r="D58" s="11">
        <v>9</v>
      </c>
      <c r="E58" s="576" t="s">
        <v>243</v>
      </c>
      <c r="F58" s="515" t="s">
        <v>387</v>
      </c>
      <c r="G58" s="670"/>
      <c r="H58" s="576"/>
      <c r="I58" s="292">
        <f>INDEX(Weekly!F:F,MATCH($F58,Weekly!$E:$E,0))</f>
        <v>-36.874810606060599</v>
      </c>
      <c r="J58" s="516">
        <f>INDEX(Weekly!G:G,MATCH($F58,Weekly!$E:$E,0))</f>
        <v>24</v>
      </c>
      <c r="K58" s="518">
        <f>INDEX(Weekly!H:H,MATCH($F58,Weekly!$E:$E,0))</f>
        <v>-3.9</v>
      </c>
      <c r="L58" s="323">
        <f>INDEX(Weekly!I:I,MATCH($F58,Weekly!$E:$E,0))</f>
        <v>1</v>
      </c>
      <c r="M58" s="520" t="e">
        <f>INDEX(Players!F:F,MATCH($F58,Players!#REF!,0))</f>
        <v>#REF!</v>
      </c>
      <c r="N58" s="521">
        <f>INDEX(Prizes!F:F,MATCH($B58,Prizes!A:A,0))</f>
        <v>0</v>
      </c>
      <c r="O58" s="522">
        <f>INDEX(Weekly!J:J,MATCH($F58,Weekly!$E:$E,0))</f>
        <v>10</v>
      </c>
      <c r="P58" s="521">
        <f>INDEX(Weekly!K:K,MATCH($F58,Weekly!$E:$E,0))</f>
        <v>0</v>
      </c>
      <c r="Q58" s="521">
        <f>INDEX(Weekly!M:M,MATCH($F58,Weekly!$E:$E,0))</f>
        <v>10</v>
      </c>
      <c r="R58" s="684" t="e">
        <f t="shared" si="1"/>
        <v>#REF!</v>
      </c>
      <c r="S58" s="82"/>
      <c r="T58" s="82"/>
      <c r="U58" s="82"/>
      <c r="V58" s="82"/>
      <c r="W58" s="82"/>
      <c r="X58" s="82"/>
      <c r="Y58" s="82"/>
      <c r="Z58" s="82"/>
      <c r="AA58" s="82"/>
      <c r="AB58" s="82"/>
    </row>
    <row r="59" spans="1:28" ht="14" customHeight="1">
      <c r="A59" s="725"/>
      <c r="B59" s="11" t="str">
        <f t="shared" si="2"/>
        <v>D10</v>
      </c>
      <c r="C59" s="304"/>
      <c r="D59" s="1">
        <v>10</v>
      </c>
      <c r="E59" s="576" t="s">
        <v>243</v>
      </c>
      <c r="F59" s="514" t="s">
        <v>305</v>
      </c>
      <c r="G59" s="670"/>
      <c r="H59" s="576"/>
      <c r="I59" s="292">
        <f>INDEX(Weekly!F:F,MATCH($F59,Weekly!$E:$E,0))</f>
        <v>-52.765000000000001</v>
      </c>
      <c r="J59" s="516">
        <f>INDEX(Weekly!G:G,MATCH($F59,Weekly!$E:$E,0))</f>
        <v>18</v>
      </c>
      <c r="K59" s="518">
        <f>INDEX(Weekly!H:H,MATCH($F59,Weekly!$E:$E,0))</f>
        <v>-7</v>
      </c>
      <c r="L59" s="323">
        <f>INDEX(Weekly!I:I,MATCH($F59,Weekly!$E:$E,0))</f>
        <v>0</v>
      </c>
      <c r="M59" s="520" t="e">
        <f>INDEX(Players!F:F,MATCH($F59,Players!#REF!,0))</f>
        <v>#REF!</v>
      </c>
      <c r="N59" s="522">
        <f>INDEX(Prizes!F:F,MATCH($B59,Prizes!A:A,0))</f>
        <v>0</v>
      </c>
      <c r="O59" s="522">
        <f>INDEX(Weekly!J:J,MATCH($F59,Weekly!$E:$E,0))</f>
        <v>0</v>
      </c>
      <c r="P59" s="522">
        <f>INDEX(Weekly!K:K,MATCH($F59,Weekly!$E:$E,0))</f>
        <v>0</v>
      </c>
      <c r="Q59" s="521">
        <f>INDEX(Weekly!M:M,MATCH($F59,Weekly!$E:$E,0))</f>
        <v>0</v>
      </c>
      <c r="R59" s="684" t="e">
        <f t="shared" si="1"/>
        <v>#REF!</v>
      </c>
      <c r="S59" s="82"/>
      <c r="T59" s="82"/>
      <c r="U59" s="82"/>
      <c r="V59" s="82"/>
      <c r="W59" s="82"/>
      <c r="X59" s="82"/>
      <c r="Y59" s="82"/>
      <c r="Z59" s="82"/>
      <c r="AA59" s="82"/>
      <c r="AB59" s="82"/>
    </row>
    <row r="60" spans="1:28" ht="14" customHeight="1">
      <c r="A60" s="725"/>
      <c r="B60" s="11" t="s">
        <v>433</v>
      </c>
      <c r="C60" s="304"/>
      <c r="D60" s="1">
        <v>11</v>
      </c>
      <c r="E60" s="576" t="s">
        <v>243</v>
      </c>
      <c r="F60" s="514" t="s">
        <v>379</v>
      </c>
      <c r="G60" s="670"/>
      <c r="H60" s="576"/>
      <c r="I60" s="292">
        <f>INDEX(Weekly!F:F,MATCH($F60,Weekly!$E:$E,0))</f>
        <v>-55.767158289241628</v>
      </c>
      <c r="J60" s="516">
        <f>INDEX(Weekly!G:G,MATCH($F60,Weekly!$E:$E,0))</f>
        <v>22</v>
      </c>
      <c r="K60" s="518">
        <f>INDEX(Weekly!H:H,MATCH($F60,Weekly!$E:$E,0))</f>
        <v>-7</v>
      </c>
      <c r="L60" s="323">
        <f>INDEX(Weekly!I:I,MATCH($F60,Weekly!$E:$E,0))</f>
        <v>0</v>
      </c>
      <c r="M60" s="520" t="e">
        <f>INDEX(Players!F:F,MATCH($F60,Players!#REF!,0))</f>
        <v>#REF!</v>
      </c>
      <c r="N60" s="522">
        <f>INDEX(Prizes!F:F,MATCH($B60,Prizes!A:A,0))</f>
        <v>0</v>
      </c>
      <c r="O60" s="522">
        <f>INDEX(Weekly!J:J,MATCH($F60,Weekly!$E:$E,0))</f>
        <v>10</v>
      </c>
      <c r="P60" s="522">
        <f>INDEX(Weekly!K:K,MATCH($F60,Weekly!$E:$E,0))</f>
        <v>0</v>
      </c>
      <c r="Q60" s="521">
        <f>INDEX(Weekly!M:M,MATCH($F60,Weekly!$E:$E,0))</f>
        <v>10</v>
      </c>
      <c r="R60" s="684" t="e">
        <f t="shared" ref="R60:R63" si="3">Q60+M60</f>
        <v>#REF!</v>
      </c>
      <c r="S60" s="160"/>
      <c r="T60" s="160"/>
      <c r="U60" s="160"/>
      <c r="V60" s="160"/>
      <c r="W60" s="160"/>
      <c r="X60" s="160"/>
      <c r="Y60" s="160"/>
      <c r="Z60" s="160"/>
      <c r="AA60" s="160"/>
      <c r="AB60" s="160"/>
    </row>
    <row r="61" spans="1:28" ht="14" customHeight="1">
      <c r="A61" s="725"/>
      <c r="B61" s="11" t="s">
        <v>434</v>
      </c>
      <c r="C61" s="304"/>
      <c r="D61" s="1">
        <v>12</v>
      </c>
      <c r="E61" s="576" t="s">
        <v>243</v>
      </c>
      <c r="F61" s="514" t="s">
        <v>550</v>
      </c>
      <c r="G61" s="670"/>
      <c r="H61" s="576"/>
      <c r="I61" s="292">
        <f>INDEX(Weekly!F:F,MATCH($F61,Weekly!$E:$E,0))</f>
        <v>-64.806262626262622</v>
      </c>
      <c r="J61" s="516">
        <f>INDEX(Weekly!G:G,MATCH($F61,Weekly!$E:$E,0))</f>
        <v>15</v>
      </c>
      <c r="K61" s="518">
        <f>INDEX(Weekly!H:H,MATCH($F61,Weekly!$E:$E,0))</f>
        <v>5.0555555555555554</v>
      </c>
      <c r="L61" s="323">
        <f>INDEX(Weekly!I:I,MATCH($F61,Weekly!$E:$E,0))</f>
        <v>2</v>
      </c>
      <c r="M61" s="520" t="e">
        <f>INDEX(Players!F:F,MATCH($F61,Players!#REF!,0))</f>
        <v>#REF!</v>
      </c>
      <c r="N61" s="522">
        <f>INDEX(Prizes!F:F,MATCH($B61,Prizes!A:A,0))</f>
        <v>0</v>
      </c>
      <c r="O61" s="522">
        <f>INDEX(Weekly!J:J,MATCH($F61,Weekly!$E:$E,0))</f>
        <v>5</v>
      </c>
      <c r="P61" s="522">
        <f>INDEX(Weekly!K:K,MATCH($F61,Weekly!$E:$E,0))</f>
        <v>0</v>
      </c>
      <c r="Q61" s="521">
        <f>INDEX(Weekly!M:M,MATCH($F61,Weekly!$E:$E,0))</f>
        <v>5</v>
      </c>
      <c r="R61" s="684" t="e">
        <f t="shared" si="3"/>
        <v>#REF!</v>
      </c>
      <c r="S61" s="160"/>
      <c r="T61" s="160"/>
      <c r="U61" s="160"/>
      <c r="V61" s="160"/>
      <c r="W61" s="160"/>
      <c r="X61" s="160"/>
      <c r="Y61" s="160"/>
      <c r="Z61" s="160"/>
      <c r="AA61" s="160"/>
      <c r="AB61" s="160"/>
    </row>
    <row r="62" spans="1:28" ht="14" customHeight="1">
      <c r="A62" s="725"/>
      <c r="B62" s="11" t="s">
        <v>435</v>
      </c>
      <c r="C62" s="304"/>
      <c r="D62" s="1">
        <v>13</v>
      </c>
      <c r="E62" s="576" t="s">
        <v>243</v>
      </c>
      <c r="F62" s="514" t="s">
        <v>390</v>
      </c>
      <c r="G62" s="670"/>
      <c r="H62" s="576"/>
      <c r="I62" s="292">
        <f>INDEX(Weekly!F:F,MATCH($F62,Weekly!$E:$E,0))</f>
        <v>-91.45</v>
      </c>
      <c r="J62" s="516">
        <f>INDEX(Weekly!G:G,MATCH($F62,Weekly!$E:$E,0))</f>
        <v>5</v>
      </c>
      <c r="K62" s="518">
        <f>INDEX(Weekly!H:H,MATCH($F62,Weekly!$E:$E,0))</f>
        <v>-7</v>
      </c>
      <c r="L62" s="323">
        <f>INDEX(Weekly!I:I,MATCH($F62,Weekly!$E:$E,0))</f>
        <v>0</v>
      </c>
      <c r="M62" s="520" t="e">
        <f>INDEX(Players!F:F,MATCH($F62,Players!#REF!,0))</f>
        <v>#REF!</v>
      </c>
      <c r="N62" s="522">
        <f>INDEX(Prizes!F:F,MATCH($B62,Prizes!A:A,0))</f>
        <v>0</v>
      </c>
      <c r="O62" s="522">
        <f>INDEX(Weekly!J:J,MATCH($F62,Weekly!$E:$E,0))</f>
        <v>0</v>
      </c>
      <c r="P62" s="522">
        <f>INDEX(Weekly!K:K,MATCH($F62,Weekly!$E:$E,0))</f>
        <v>0</v>
      </c>
      <c r="Q62" s="521">
        <f>INDEX(Weekly!M:M,MATCH($F62,Weekly!$E:$E,0))</f>
        <v>0</v>
      </c>
      <c r="R62" s="684" t="e">
        <f t="shared" si="3"/>
        <v>#REF!</v>
      </c>
      <c r="S62" s="160"/>
      <c r="T62" s="160"/>
      <c r="U62" s="160"/>
      <c r="V62" s="160"/>
      <c r="W62" s="160"/>
      <c r="X62" s="160"/>
      <c r="Y62" s="160"/>
      <c r="Z62" s="160"/>
      <c r="AA62" s="160"/>
      <c r="AB62" s="160"/>
    </row>
    <row r="63" spans="1:28" ht="14" customHeight="1">
      <c r="A63" s="725"/>
      <c r="B63" s="11" t="s">
        <v>392</v>
      </c>
      <c r="C63" s="304"/>
      <c r="D63" s="1">
        <v>14</v>
      </c>
      <c r="E63" s="576" t="s">
        <v>243</v>
      </c>
      <c r="F63" s="514" t="s">
        <v>547</v>
      </c>
      <c r="G63" s="670"/>
      <c r="H63" s="576"/>
      <c r="I63" s="292">
        <f>INDEX(Weekly!F:F,MATCH($F63,Weekly!$E:$E,0))</f>
        <v>-140</v>
      </c>
      <c r="J63" s="516">
        <f>INDEX(Weekly!G:G,MATCH($F63,Weekly!$E:$E,0))</f>
        <v>0</v>
      </c>
      <c r="K63" s="518">
        <f>INDEX(Weekly!H:H,MATCH($F63,Weekly!$E:$E,0))</f>
        <v>-7</v>
      </c>
      <c r="L63" s="323">
        <f>INDEX(Weekly!I:I,MATCH($F63,Weekly!$E:$E,0))</f>
        <v>0</v>
      </c>
      <c r="M63" s="520" t="e">
        <f>INDEX(Players!F:F,MATCH($F63,Players!#REF!,0))</f>
        <v>#REF!</v>
      </c>
      <c r="N63" s="522">
        <f>INDEX(Prizes!F:F,MATCH($B63,Prizes!A:A,0))</f>
        <v>0</v>
      </c>
      <c r="O63" s="522">
        <f>INDEX(Weekly!J:J,MATCH($F63,Weekly!$E:$E,0))</f>
        <v>0</v>
      </c>
      <c r="P63" s="522">
        <f>INDEX(Weekly!K:K,MATCH($F63,Weekly!$E:$E,0))</f>
        <v>0</v>
      </c>
      <c r="Q63" s="521">
        <f>INDEX(Weekly!M:M,MATCH($F63,Weekly!$E:$E,0))</f>
        <v>0</v>
      </c>
      <c r="R63" s="684" t="e">
        <f t="shared" si="3"/>
        <v>#REF!</v>
      </c>
      <c r="S63" s="160"/>
      <c r="T63" s="160"/>
      <c r="U63" s="160"/>
      <c r="V63" s="160"/>
      <c r="W63" s="160"/>
      <c r="X63" s="160"/>
      <c r="Y63" s="160"/>
      <c r="Z63" s="160"/>
      <c r="AA63" s="160"/>
      <c r="AB63" s="160"/>
    </row>
    <row r="64" spans="1:28" ht="14" customHeight="1" thickBot="1">
      <c r="A64" s="725"/>
      <c r="B64" s="446"/>
      <c r="C64" s="305"/>
      <c r="D64" s="285"/>
      <c r="E64" s="667"/>
      <c r="F64" s="286"/>
      <c r="G64" s="672"/>
      <c r="H64" s="667"/>
      <c r="I64" s="294"/>
      <c r="J64" s="320"/>
      <c r="K64" s="165"/>
      <c r="L64" s="325"/>
      <c r="M64" s="477"/>
      <c r="N64" s="301"/>
      <c r="O64" s="302"/>
      <c r="P64" s="301"/>
      <c r="Q64" s="301"/>
      <c r="R64" s="688"/>
    </row>
    <row r="65" spans="3:18">
      <c r="C65" s="1"/>
      <c r="D65" s="1"/>
      <c r="E65" s="11"/>
      <c r="G65" s="233"/>
      <c r="H65" s="11"/>
      <c r="I65" s="143"/>
      <c r="J65" s="318"/>
      <c r="K65" s="143"/>
      <c r="L65" s="318"/>
      <c r="M65" s="3"/>
      <c r="N65" s="59"/>
      <c r="O65" s="20"/>
      <c r="P65" s="59"/>
      <c r="Q65" s="59"/>
      <c r="R65" s="144"/>
    </row>
    <row r="66" spans="3:18">
      <c r="C66" s="9"/>
      <c r="D66" s="9"/>
      <c r="F66" s="15"/>
      <c r="M66" s="441"/>
      <c r="N66" s="298">
        <f>SUM(N2:N64)</f>
        <v>690</v>
      </c>
      <c r="O66" s="299">
        <f>SUM(O2:O64)</f>
        <v>500</v>
      </c>
      <c r="P66" s="299">
        <f>SUM(P2:P64)</f>
        <v>50</v>
      </c>
      <c r="Q66" s="299">
        <f>SUM(Q2:Q64)</f>
        <v>1240</v>
      </c>
      <c r="R66" s="299"/>
    </row>
  </sheetData>
  <sortState xmlns:xlrd2="http://schemas.microsoft.com/office/spreadsheetml/2017/richdata2" ref="E2:L63">
    <sortCondition ref="E2:E63"/>
    <sortCondition descending="1" ref="I2:I63"/>
    <sortCondition descending="1" ref="J2:J63"/>
  </sortState>
  <mergeCells count="4">
    <mergeCell ref="A2:A17"/>
    <mergeCell ref="A18:A33"/>
    <mergeCell ref="A34:A49"/>
    <mergeCell ref="A50:A64"/>
  </mergeCells>
  <conditionalFormatting sqref="M2:R59 M64:R64">
    <cfRule type="cellIs" dxfId="228" priority="4" stopIfTrue="1" operator="equal">
      <formula>0</formula>
    </cfRule>
  </conditionalFormatting>
  <conditionalFormatting sqref="M60:R63">
    <cfRule type="cellIs" dxfId="227" priority="1" stopIfTrue="1" operator="equal">
      <formula>0</formula>
    </cfRule>
  </conditionalFormatting>
  <printOptions gridLines="1"/>
  <pageMargins left="0.70866141732283472" right="0.70866141732283472" top="0.74803149606299213" bottom="0.74803149606299213" header="0.31496062992125984" footer="0.31496062992125984"/>
  <pageSetup paperSize="9" scale="55" orientation="portrait" horizontalDpi="360" verticalDpi="360" r:id="rId1"/>
  <headerFooter>
    <oddHeader>&amp;L&amp;G&amp;R&amp;24&amp;K7030A0Latest Table</oddHeader>
  </headerFooter>
  <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7030A0"/>
    <pageSetUpPr fitToPage="1"/>
  </sheetPr>
  <dimension ref="A1:EG76"/>
  <sheetViews>
    <sheetView workbookViewId="0">
      <pane xSplit="5" ySplit="1" topLeftCell="BN9" activePane="bottomRight" state="frozen"/>
      <selection pane="topRight" activeCell="G1" sqref="G1"/>
      <selection pane="bottomLeft" activeCell="A2" sqref="A2"/>
      <selection pane="bottomRight" activeCell="BU66" sqref="BU66"/>
    </sheetView>
  </sheetViews>
  <sheetFormatPr defaultColWidth="9.1328125" defaultRowHeight="11.65"/>
  <cols>
    <col min="1" max="1" width="11.3984375" style="283" customWidth="1"/>
    <col min="2" max="2" width="10.3984375" style="283" customWidth="1"/>
    <col min="3" max="3" width="11" style="283" customWidth="1"/>
    <col min="4" max="4" width="6" style="329" customWidth="1"/>
    <col min="5" max="5" width="20.265625" style="269" bestFit="1" customWidth="1"/>
    <col min="6" max="6" width="10.1328125" style="281" customWidth="1"/>
    <col min="7" max="7" width="9.265625" style="52" customWidth="1"/>
    <col min="8" max="8" width="8.265625" style="281" customWidth="1"/>
    <col min="9" max="9" width="8.59765625" style="149" customWidth="1"/>
    <col min="10" max="10" width="8.86328125" style="55" customWidth="1"/>
    <col min="11" max="11" width="8.3984375" style="52" customWidth="1"/>
    <col min="12" max="12" width="10.265625" style="52" customWidth="1"/>
    <col min="13" max="13" width="11" style="52" customWidth="1"/>
    <col min="14" max="14" width="9.3984375" style="56" customWidth="1"/>
    <col min="15" max="15" width="9.3984375" style="52" customWidth="1"/>
    <col min="16" max="16" width="9.3984375" style="55" customWidth="1"/>
    <col min="17" max="17" width="9.3984375" style="54" customWidth="1"/>
    <col min="18" max="18" width="9.3984375" style="52" customWidth="1"/>
    <col min="19" max="19" width="9.3984375" style="55" customWidth="1"/>
    <col min="20" max="20" width="9.3984375" style="56" customWidth="1"/>
    <col min="21" max="21" width="9.3984375" style="57" customWidth="1"/>
    <col min="22" max="22" width="9.3984375" style="55" customWidth="1"/>
    <col min="23" max="23" width="9.3984375" style="54" customWidth="1"/>
    <col min="24" max="24" width="9.3984375" style="52" customWidth="1"/>
    <col min="25" max="25" width="9.3984375" style="55" customWidth="1"/>
    <col min="26" max="26" width="9.3984375" style="56" customWidth="1"/>
    <col min="27" max="27" width="9.3984375" style="57" customWidth="1"/>
    <col min="28" max="28" width="9.3984375" style="55" customWidth="1"/>
    <col min="29" max="29" width="9.3984375" style="51" customWidth="1"/>
    <col min="30" max="30" width="9.3984375" style="52" customWidth="1"/>
    <col min="31" max="31" width="9.3984375" style="55" customWidth="1"/>
    <col min="32" max="32" width="9.3984375" style="56" customWidth="1"/>
    <col min="33" max="33" width="9.3984375" style="57" customWidth="1"/>
    <col min="34" max="34" width="9.3984375" style="55" customWidth="1"/>
    <col min="35" max="35" width="9.3984375" style="51" customWidth="1"/>
    <col min="36" max="36" width="9.3984375" style="52" customWidth="1"/>
    <col min="37" max="37" width="9.3984375" style="55" customWidth="1"/>
    <col min="38" max="38" width="9.3984375" style="56" customWidth="1"/>
    <col min="39" max="39" width="9.3984375" style="57" customWidth="1"/>
    <col min="40" max="40" width="9.3984375" style="55" customWidth="1"/>
    <col min="41" max="41" width="9.3984375" style="51" customWidth="1"/>
    <col min="42" max="42" width="9.3984375" style="52" customWidth="1"/>
    <col min="43" max="43" width="9.3984375" style="55" customWidth="1"/>
    <col min="44" max="44" width="9.3984375" style="56" customWidth="1"/>
    <col min="45" max="45" width="9.3984375" style="57" customWidth="1"/>
    <col min="46" max="46" width="9.3984375" style="55" customWidth="1"/>
    <col min="47" max="47" width="9.3984375" style="51" customWidth="1"/>
    <col min="48" max="48" width="9.3984375" style="52" customWidth="1"/>
    <col min="49" max="49" width="9.3984375" style="55" customWidth="1"/>
    <col min="50" max="50" width="9.3984375" style="56" customWidth="1"/>
    <col min="51" max="51" width="9.3984375" style="57" customWidth="1"/>
    <col min="52" max="52" width="9.3984375" style="55" customWidth="1"/>
    <col min="53" max="53" width="9.3984375" style="51" customWidth="1"/>
    <col min="54" max="54" width="9.3984375" style="52" customWidth="1"/>
    <col min="55" max="55" width="9.3984375" style="55" customWidth="1"/>
    <col min="56" max="56" width="9.3984375" style="56" customWidth="1"/>
    <col min="57" max="57" width="9.3984375" style="57" customWidth="1"/>
    <col min="58" max="58" width="9.3984375" style="55" customWidth="1"/>
    <col min="59" max="59" width="9.3984375" style="51" customWidth="1"/>
    <col min="60" max="60" width="9.3984375" style="109" customWidth="1"/>
    <col min="61" max="61" width="9.3984375" style="55" customWidth="1"/>
    <col min="62" max="62" width="9.3984375" style="56" customWidth="1"/>
    <col min="63" max="63" width="9.3984375" style="57" customWidth="1"/>
    <col min="64" max="64" width="9.3984375" style="55" customWidth="1"/>
    <col min="65" max="65" width="9.3984375" style="51" customWidth="1"/>
    <col min="66" max="66" width="9.3984375" style="109" customWidth="1"/>
    <col min="67" max="67" width="9.3984375" style="55" customWidth="1"/>
    <col min="68" max="68" width="9.3984375" style="56" customWidth="1"/>
    <col min="69" max="69" width="9.3984375" style="57" customWidth="1"/>
    <col min="70" max="70" width="9.3984375" style="55" customWidth="1"/>
    <col min="71" max="71" width="9.3984375" style="51" customWidth="1"/>
    <col min="72" max="72" width="9.3984375" style="52" customWidth="1"/>
    <col min="73" max="73" width="9.3984375" style="55" customWidth="1"/>
    <col min="74" max="74" width="9.3984375" style="54" customWidth="1"/>
    <col min="75" max="75" width="9.3984375" style="52" customWidth="1"/>
    <col min="76" max="76" width="9.3984375" style="55" customWidth="1"/>
    <col min="77" max="129" width="9.1328125" style="51" customWidth="1"/>
    <col min="130" max="137" width="9.1328125" style="53" customWidth="1"/>
    <col min="138" max="16384" width="9.1328125" style="50"/>
  </cols>
  <sheetData>
    <row r="1" spans="1:137" s="363" customFormat="1" ht="44.25" customHeight="1">
      <c r="A1" s="347" t="s">
        <v>100</v>
      </c>
      <c r="B1" s="347" t="s">
        <v>101</v>
      </c>
      <c r="C1" s="347" t="s">
        <v>365</v>
      </c>
      <c r="D1" s="348" t="s">
        <v>236</v>
      </c>
      <c r="E1" s="349" t="s">
        <v>16</v>
      </c>
      <c r="F1" s="468" t="s">
        <v>440</v>
      </c>
      <c r="G1" s="469" t="s">
        <v>284</v>
      </c>
      <c r="H1" s="468" t="s">
        <v>126</v>
      </c>
      <c r="I1" s="470" t="s">
        <v>441</v>
      </c>
      <c r="J1" s="351" t="s">
        <v>239</v>
      </c>
      <c r="K1" s="352" t="s">
        <v>173</v>
      </c>
      <c r="L1" s="352" t="s">
        <v>442</v>
      </c>
      <c r="M1" s="350" t="s">
        <v>245</v>
      </c>
      <c r="N1" s="353" t="s">
        <v>58</v>
      </c>
      <c r="O1" s="354" t="s">
        <v>59</v>
      </c>
      <c r="P1" s="355" t="s">
        <v>103</v>
      </c>
      <c r="Q1" s="356" t="s">
        <v>60</v>
      </c>
      <c r="R1" s="357" t="s">
        <v>61</v>
      </c>
      <c r="S1" s="358" t="s">
        <v>104</v>
      </c>
      <c r="T1" s="353" t="s">
        <v>62</v>
      </c>
      <c r="U1" s="359" t="s">
        <v>63</v>
      </c>
      <c r="V1" s="355" t="s">
        <v>105</v>
      </c>
      <c r="W1" s="356" t="s">
        <v>64</v>
      </c>
      <c r="X1" s="357" t="s">
        <v>65</v>
      </c>
      <c r="Y1" s="358" t="s">
        <v>106</v>
      </c>
      <c r="Z1" s="353" t="s">
        <v>66</v>
      </c>
      <c r="AA1" s="359" t="s">
        <v>67</v>
      </c>
      <c r="AB1" s="355" t="s">
        <v>107</v>
      </c>
      <c r="AC1" s="356" t="s">
        <v>68</v>
      </c>
      <c r="AD1" s="357" t="s">
        <v>69</v>
      </c>
      <c r="AE1" s="358" t="s">
        <v>108</v>
      </c>
      <c r="AF1" s="353" t="s">
        <v>70</v>
      </c>
      <c r="AG1" s="359" t="s">
        <v>71</v>
      </c>
      <c r="AH1" s="355" t="s">
        <v>109</v>
      </c>
      <c r="AI1" s="356" t="s">
        <v>72</v>
      </c>
      <c r="AJ1" s="357" t="s">
        <v>73</v>
      </c>
      <c r="AK1" s="358" t="s">
        <v>110</v>
      </c>
      <c r="AL1" s="353" t="s">
        <v>74</v>
      </c>
      <c r="AM1" s="359" t="s">
        <v>75</v>
      </c>
      <c r="AN1" s="355" t="s">
        <v>111</v>
      </c>
      <c r="AO1" s="356" t="s">
        <v>76</v>
      </c>
      <c r="AP1" s="357" t="s">
        <v>77</v>
      </c>
      <c r="AQ1" s="358" t="s">
        <v>112</v>
      </c>
      <c r="AR1" s="353" t="s">
        <v>78</v>
      </c>
      <c r="AS1" s="359" t="s">
        <v>79</v>
      </c>
      <c r="AT1" s="355" t="s">
        <v>113</v>
      </c>
      <c r="AU1" s="356" t="s">
        <v>80</v>
      </c>
      <c r="AV1" s="357" t="s">
        <v>81</v>
      </c>
      <c r="AW1" s="358" t="s">
        <v>114</v>
      </c>
      <c r="AX1" s="353" t="s">
        <v>82</v>
      </c>
      <c r="AY1" s="359" t="s">
        <v>86</v>
      </c>
      <c r="AZ1" s="355" t="s">
        <v>115</v>
      </c>
      <c r="BA1" s="356" t="s">
        <v>87</v>
      </c>
      <c r="BB1" s="357" t="s">
        <v>83</v>
      </c>
      <c r="BC1" s="358" t="s">
        <v>116</v>
      </c>
      <c r="BD1" s="353" t="s">
        <v>84</v>
      </c>
      <c r="BE1" s="359" t="s">
        <v>85</v>
      </c>
      <c r="BF1" s="355" t="s">
        <v>117</v>
      </c>
      <c r="BG1" s="356" t="s">
        <v>88</v>
      </c>
      <c r="BH1" s="360" t="s">
        <v>89</v>
      </c>
      <c r="BI1" s="358" t="s">
        <v>118</v>
      </c>
      <c r="BJ1" s="353" t="s">
        <v>90</v>
      </c>
      <c r="BK1" s="359" t="s">
        <v>91</v>
      </c>
      <c r="BL1" s="355" t="s">
        <v>119</v>
      </c>
      <c r="BM1" s="356" t="s">
        <v>92</v>
      </c>
      <c r="BN1" s="360" t="s">
        <v>93</v>
      </c>
      <c r="BO1" s="358" t="s">
        <v>120</v>
      </c>
      <c r="BP1" s="353" t="s">
        <v>94</v>
      </c>
      <c r="BQ1" s="359" t="s">
        <v>95</v>
      </c>
      <c r="BR1" s="355" t="s">
        <v>121</v>
      </c>
      <c r="BS1" s="356" t="s">
        <v>96</v>
      </c>
      <c r="BT1" s="357" t="s">
        <v>97</v>
      </c>
      <c r="BU1" s="358" t="s">
        <v>122</v>
      </c>
      <c r="BV1" s="356" t="s">
        <v>98</v>
      </c>
      <c r="BW1" s="357" t="s">
        <v>99</v>
      </c>
      <c r="BX1" s="358" t="s">
        <v>123</v>
      </c>
      <c r="BY1" s="361"/>
      <c r="BZ1" s="361"/>
      <c r="CA1" s="361"/>
      <c r="CB1" s="361"/>
      <c r="CC1" s="361"/>
      <c r="CD1" s="361"/>
      <c r="CE1" s="361"/>
      <c r="CF1" s="361"/>
      <c r="CG1" s="361"/>
      <c r="CH1" s="361"/>
      <c r="CI1" s="361"/>
      <c r="CJ1" s="361"/>
      <c r="CK1" s="361"/>
      <c r="CL1" s="361"/>
      <c r="CM1" s="361"/>
      <c r="CN1" s="361"/>
      <c r="CO1" s="361"/>
      <c r="CP1" s="361"/>
      <c r="CQ1" s="361"/>
      <c r="CR1" s="361"/>
      <c r="CS1" s="361"/>
      <c r="CT1" s="361"/>
      <c r="CU1" s="361"/>
      <c r="CV1" s="361"/>
      <c r="CW1" s="361"/>
      <c r="CX1" s="361"/>
      <c r="CY1" s="361"/>
      <c r="CZ1" s="361"/>
      <c r="DA1" s="361"/>
      <c r="DB1" s="361"/>
      <c r="DC1" s="361"/>
      <c r="DD1" s="361"/>
      <c r="DE1" s="361"/>
      <c r="DF1" s="361"/>
      <c r="DG1" s="361"/>
      <c r="DH1" s="361"/>
      <c r="DI1" s="361"/>
      <c r="DJ1" s="361"/>
      <c r="DK1" s="361"/>
      <c r="DL1" s="361"/>
      <c r="DM1" s="361"/>
      <c r="DN1" s="361"/>
      <c r="DO1" s="361"/>
      <c r="DP1" s="361"/>
      <c r="DQ1" s="361"/>
      <c r="DR1" s="361"/>
      <c r="DS1" s="361"/>
      <c r="DT1" s="361"/>
      <c r="DU1" s="361"/>
      <c r="DV1" s="361"/>
      <c r="DW1" s="361"/>
      <c r="DX1" s="362"/>
      <c r="DY1" s="362"/>
      <c r="DZ1" s="362"/>
      <c r="EA1" s="362"/>
      <c r="EB1" s="362"/>
      <c r="EC1" s="362"/>
      <c r="ED1" s="362"/>
      <c r="EE1" s="362"/>
    </row>
    <row r="2" spans="1:137">
      <c r="A2" s="282">
        <f t="shared" ref="A2:A33" si="0">_xlfn.RANK.EQ(F2,totalscores,0)</f>
        <v>3</v>
      </c>
      <c r="B2" s="282">
        <f t="shared" ref="B2:B59" si="1">_xlfn.RANK.EQ(H2,thisweekscore,0)</f>
        <v>46</v>
      </c>
      <c r="C2" s="282">
        <v>2</v>
      </c>
      <c r="D2" s="328" t="str">
        <f>INDEX(Table!E:E,MATCH(E2,Table!F:F,0))</f>
        <v>D</v>
      </c>
      <c r="E2" s="268" t="s">
        <v>549</v>
      </c>
      <c r="F2" s="280">
        <f t="shared" ref="F2:F33" si="2">+N2+Q2+T2+W2+Z2+AC2+AF2+AI2+AL2+AO2+AR2+AU2+AX2+BA2+BD2+BG2+BJ2+BM2+BP2+BS2</f>
        <v>81.85363636363634</v>
      </c>
      <c r="G2" s="58">
        <f t="shared" ref="G2:G33" si="3">+O2+R2+U2+X2+AA2+AD2+AG2+AJ2+AM2+AP2+AS2+AV2+AY2+BB2+BE2+BH2+BK2+BN2+BQ2+BT2</f>
        <v>25</v>
      </c>
      <c r="H2" s="280">
        <v>-5.15</v>
      </c>
      <c r="I2" s="148">
        <v>1</v>
      </c>
      <c r="J2" s="270">
        <f>P2+S2+V2+Y2+AB2+AE2+AH2+AK2+AN2+AQ2+AT2+AW2+AZ2+BC2+BF2+BI2+BL2+BO2+BR2+BU2</f>
        <v>20</v>
      </c>
      <c r="K2" s="271"/>
      <c r="L2" s="271">
        <f>INDEX(Table!N:N,MATCH(E2,Table!F:F,0))</f>
        <v>24.15</v>
      </c>
      <c r="M2" s="270">
        <f>K2+J2+L2</f>
        <v>44.15</v>
      </c>
      <c r="N2" s="272">
        <v>21.323636363636368</v>
      </c>
      <c r="O2" s="273">
        <v>3</v>
      </c>
      <c r="P2" s="274">
        <v>5</v>
      </c>
      <c r="Q2" s="275">
        <v>3.879999999999999</v>
      </c>
      <c r="R2" s="276">
        <v>2</v>
      </c>
      <c r="S2" s="277"/>
      <c r="T2" s="272">
        <v>-4.4000000000000004</v>
      </c>
      <c r="U2" s="278">
        <v>1</v>
      </c>
      <c r="V2" s="274"/>
      <c r="W2" s="275">
        <v>2.4</v>
      </c>
      <c r="X2" s="276">
        <v>2</v>
      </c>
      <c r="Y2" s="277"/>
      <c r="Z2" s="272">
        <v>-3.6</v>
      </c>
      <c r="AA2" s="278">
        <v>1</v>
      </c>
      <c r="AB2" s="274"/>
      <c r="AC2" s="275">
        <v>38.799999999999997</v>
      </c>
      <c r="AD2" s="276">
        <v>3</v>
      </c>
      <c r="AE2" s="277">
        <v>5</v>
      </c>
      <c r="AF2" s="272">
        <v>-7</v>
      </c>
      <c r="AG2" s="278">
        <v>0</v>
      </c>
      <c r="AH2" s="274"/>
      <c r="AI2" s="275">
        <v>-4.75</v>
      </c>
      <c r="AJ2" s="276">
        <v>1</v>
      </c>
      <c r="AK2" s="277"/>
      <c r="AL2" s="272">
        <v>-3.7</v>
      </c>
      <c r="AM2" s="278">
        <v>1</v>
      </c>
      <c r="AN2" s="274"/>
      <c r="AO2" s="275">
        <v>-4.8</v>
      </c>
      <c r="AP2" s="276">
        <v>1</v>
      </c>
      <c r="AQ2" s="277"/>
      <c r="AR2" s="272">
        <v>-5.2</v>
      </c>
      <c r="AS2" s="278">
        <v>1</v>
      </c>
      <c r="AT2" s="274"/>
      <c r="AU2" s="275">
        <v>-7</v>
      </c>
      <c r="AV2" s="276">
        <v>0</v>
      </c>
      <c r="AW2" s="277"/>
      <c r="AX2" s="272">
        <v>3.3999999999999986</v>
      </c>
      <c r="AY2" s="278">
        <v>2</v>
      </c>
      <c r="AZ2" s="274"/>
      <c r="BA2" s="275">
        <v>-7</v>
      </c>
      <c r="BB2" s="276">
        <v>0</v>
      </c>
      <c r="BC2" s="277"/>
      <c r="BD2" s="272">
        <v>1.3000000000000007</v>
      </c>
      <c r="BE2" s="278">
        <v>2</v>
      </c>
      <c r="BF2" s="274"/>
      <c r="BG2" s="275">
        <v>-7</v>
      </c>
      <c r="BH2" s="279">
        <v>0</v>
      </c>
      <c r="BI2" s="277"/>
      <c r="BJ2" s="272">
        <v>81.099999999999994</v>
      </c>
      <c r="BK2" s="278">
        <v>3</v>
      </c>
      <c r="BL2" s="274">
        <v>10</v>
      </c>
      <c r="BM2" s="275">
        <v>-3.75</v>
      </c>
      <c r="BN2" s="279">
        <v>1</v>
      </c>
      <c r="BO2" s="277"/>
      <c r="BP2" s="272">
        <v>-7</v>
      </c>
      <c r="BQ2" s="278">
        <v>0</v>
      </c>
      <c r="BR2" s="274"/>
      <c r="BS2" s="275">
        <v>-5.15</v>
      </c>
      <c r="BT2" s="276">
        <v>1</v>
      </c>
      <c r="BU2" s="277"/>
      <c r="BV2" s="275">
        <f t="shared" ref="BV2:BV33" si="4">BS2+BP2+BM2+BJ2+BG2+BD2+BA2+AX2+AU2+AR2+AO2+AL2+AI2+AF2+AC2+Z2+W2+T2+Q2+N2</f>
        <v>81.85363636363634</v>
      </c>
      <c r="BW2" s="276">
        <f t="shared" ref="BW2:BW33" si="5">BT2+BQ2+BN2+BK2+BH2+BE2+BB2+AY2+AV2+AS2+AP2+AM2+AJ2+AG2+AD2+AA2+X2+U2+R2+O2</f>
        <v>25</v>
      </c>
      <c r="BX2" s="277">
        <f t="shared" ref="BX2:BX33" si="6">BU2+BR2+BO2+BL2+BI2+BF2+BC2+AZ2+AW2+AT2+AQ2+AN2+AK2+AH2+AE2+AB2+Y2+V2+S2+P2</f>
        <v>20</v>
      </c>
      <c r="BY2" s="52"/>
      <c r="DX2" s="53"/>
      <c r="DY2" s="53"/>
      <c r="EF2" s="50"/>
      <c r="EG2" s="50"/>
    </row>
    <row r="3" spans="1:137">
      <c r="A3" s="282">
        <f t="shared" si="0"/>
        <v>32</v>
      </c>
      <c r="B3" s="282">
        <f t="shared" si="1"/>
        <v>39</v>
      </c>
      <c r="C3" s="282">
        <v>30</v>
      </c>
      <c r="D3" s="328" t="str">
        <f>INDEX(Table!E:E,MATCH(E3,Table!F:F,0))</f>
        <v>B</v>
      </c>
      <c r="E3" s="268" t="s">
        <v>306</v>
      </c>
      <c r="F3" s="280">
        <f t="shared" si="2"/>
        <v>-13.170058823529418</v>
      </c>
      <c r="G3" s="58">
        <f t="shared" si="3"/>
        <v>17</v>
      </c>
      <c r="H3" s="280">
        <v>-3</v>
      </c>
      <c r="I3" s="148">
        <v>0</v>
      </c>
      <c r="J3" s="270">
        <f t="shared" ref="J3:J59" si="7">P3+S3+V3+Y3+AB3+AE3+AH3+AK3+AN3+AQ3+AT3+AW3+AZ3+BC3+BF3+BI3+BL3+BO3+BR3+BU3</f>
        <v>5</v>
      </c>
      <c r="K3" s="271"/>
      <c r="L3" s="271">
        <f>INDEX(Table!N:N,MATCH(E3,Table!F:F,0))</f>
        <v>0</v>
      </c>
      <c r="M3" s="270">
        <f t="shared" ref="M3:M59" si="8">K3+J3+L3</f>
        <v>5</v>
      </c>
      <c r="N3" s="272">
        <v>-7</v>
      </c>
      <c r="O3" s="273">
        <v>0</v>
      </c>
      <c r="P3" s="274"/>
      <c r="Q3" s="275">
        <v>-3.3</v>
      </c>
      <c r="R3" s="276">
        <v>1</v>
      </c>
      <c r="S3" s="277"/>
      <c r="T3" s="272">
        <v>-4.5999999999999996</v>
      </c>
      <c r="U3" s="278">
        <v>1</v>
      </c>
      <c r="V3" s="274"/>
      <c r="W3" s="275">
        <v>0</v>
      </c>
      <c r="X3" s="276">
        <v>1</v>
      </c>
      <c r="Y3" s="277"/>
      <c r="Z3" s="272">
        <v>-7</v>
      </c>
      <c r="AA3" s="278">
        <v>0</v>
      </c>
      <c r="AB3" s="274"/>
      <c r="AC3" s="275">
        <v>3.6999999999999993</v>
      </c>
      <c r="AD3" s="276">
        <v>2</v>
      </c>
      <c r="AE3" s="277"/>
      <c r="AF3" s="272">
        <v>-3.6470588235294117</v>
      </c>
      <c r="AG3" s="278">
        <v>1</v>
      </c>
      <c r="AH3" s="274"/>
      <c r="AI3" s="275">
        <v>-4.55</v>
      </c>
      <c r="AJ3" s="276">
        <v>1</v>
      </c>
      <c r="AK3" s="277"/>
      <c r="AL3" s="272">
        <v>6.1750000000000007</v>
      </c>
      <c r="AM3" s="278">
        <v>2</v>
      </c>
      <c r="AN3" s="274"/>
      <c r="AO3" s="275">
        <v>-4.8</v>
      </c>
      <c r="AP3" s="276">
        <v>1</v>
      </c>
      <c r="AQ3" s="277"/>
      <c r="AR3" s="272">
        <v>-7</v>
      </c>
      <c r="AS3" s="278">
        <v>0</v>
      </c>
      <c r="AT3" s="274"/>
      <c r="AU3" s="275">
        <v>59.251999999999995</v>
      </c>
      <c r="AV3" s="276">
        <v>3</v>
      </c>
      <c r="AW3" s="277">
        <v>5</v>
      </c>
      <c r="AX3" s="272">
        <v>-7</v>
      </c>
      <c r="AY3" s="278">
        <v>0</v>
      </c>
      <c r="AZ3" s="274"/>
      <c r="BA3" s="275">
        <v>-3.8</v>
      </c>
      <c r="BB3" s="276">
        <v>1</v>
      </c>
      <c r="BC3" s="277"/>
      <c r="BD3" s="272">
        <v>-7</v>
      </c>
      <c r="BE3" s="278">
        <v>0</v>
      </c>
      <c r="BF3" s="274"/>
      <c r="BG3" s="275">
        <v>-4.8</v>
      </c>
      <c r="BH3" s="279">
        <v>1</v>
      </c>
      <c r="BI3" s="277"/>
      <c r="BJ3" s="272">
        <v>-3</v>
      </c>
      <c r="BK3" s="278">
        <v>1</v>
      </c>
      <c r="BL3" s="274"/>
      <c r="BM3" s="275">
        <v>-7</v>
      </c>
      <c r="BN3" s="279">
        <v>0</v>
      </c>
      <c r="BO3" s="277"/>
      <c r="BP3" s="272">
        <v>-4.8</v>
      </c>
      <c r="BQ3" s="278">
        <v>1</v>
      </c>
      <c r="BR3" s="274"/>
      <c r="BS3" s="275">
        <v>-3</v>
      </c>
      <c r="BT3" s="276">
        <v>0</v>
      </c>
      <c r="BU3" s="277"/>
      <c r="BV3" s="275">
        <f t="shared" si="4"/>
        <v>-13.170058823529416</v>
      </c>
      <c r="BW3" s="276">
        <f t="shared" si="5"/>
        <v>17</v>
      </c>
      <c r="BX3" s="277">
        <f t="shared" si="6"/>
        <v>5</v>
      </c>
      <c r="BY3" s="52"/>
      <c r="DX3" s="53"/>
      <c r="DY3" s="53"/>
      <c r="EF3" s="50"/>
      <c r="EG3" s="50"/>
    </row>
    <row r="4" spans="1:137">
      <c r="A4" s="282">
        <f t="shared" si="0"/>
        <v>38</v>
      </c>
      <c r="B4" s="282">
        <f t="shared" si="1"/>
        <v>13</v>
      </c>
      <c r="C4" s="282">
        <v>38</v>
      </c>
      <c r="D4" s="328" t="str">
        <f>INDEX(Table!E:E,MATCH(E4,Table!F:F,0))</f>
        <v>C</v>
      </c>
      <c r="E4" s="268" t="s">
        <v>461</v>
      </c>
      <c r="F4" s="280">
        <f t="shared" si="2"/>
        <v>-27.760909090909092</v>
      </c>
      <c r="G4" s="58">
        <f t="shared" si="3"/>
        <v>24</v>
      </c>
      <c r="H4" s="280">
        <v>1.163636363636364</v>
      </c>
      <c r="I4" s="148">
        <v>2</v>
      </c>
      <c r="J4" s="270">
        <f t="shared" si="7"/>
        <v>5</v>
      </c>
      <c r="K4" s="271"/>
      <c r="L4" s="271">
        <f>INDEX(Table!N:N,MATCH(E4,Table!F:F,0))</f>
        <v>0</v>
      </c>
      <c r="M4" s="270">
        <f t="shared" si="8"/>
        <v>5</v>
      </c>
      <c r="N4" s="272">
        <v>15.799999999999997</v>
      </c>
      <c r="O4" s="273">
        <v>3</v>
      </c>
      <c r="P4" s="274"/>
      <c r="Q4" s="275">
        <v>-4.8499999999999996</v>
      </c>
      <c r="R4" s="276">
        <v>1</v>
      </c>
      <c r="S4" s="277"/>
      <c r="T4" s="272">
        <v>-7</v>
      </c>
      <c r="U4" s="278">
        <v>0</v>
      </c>
      <c r="V4" s="274"/>
      <c r="W4" s="275">
        <v>-0.95000000000000018</v>
      </c>
      <c r="X4" s="276">
        <v>1</v>
      </c>
      <c r="Y4" s="277"/>
      <c r="Z4" s="272">
        <v>-7</v>
      </c>
      <c r="AA4" s="278">
        <v>0</v>
      </c>
      <c r="AB4" s="274"/>
      <c r="AC4" s="275">
        <v>-3.75</v>
      </c>
      <c r="AD4" s="276">
        <v>1</v>
      </c>
      <c r="AE4" s="277"/>
      <c r="AF4" s="272">
        <v>-7</v>
      </c>
      <c r="AG4" s="278">
        <v>0</v>
      </c>
      <c r="AH4" s="274"/>
      <c r="AI4" s="275">
        <v>-5.05</v>
      </c>
      <c r="AJ4" s="276">
        <v>1</v>
      </c>
      <c r="AK4" s="277"/>
      <c r="AL4" s="272">
        <v>-7</v>
      </c>
      <c r="AM4" s="278">
        <v>0</v>
      </c>
      <c r="AN4" s="274"/>
      <c r="AO4" s="275">
        <v>3.9699999999999989</v>
      </c>
      <c r="AP4" s="276">
        <v>2</v>
      </c>
      <c r="AQ4" s="277"/>
      <c r="AR4" s="272">
        <v>2.1818181818181834</v>
      </c>
      <c r="AS4" s="278">
        <v>2</v>
      </c>
      <c r="AT4" s="274"/>
      <c r="AU4" s="275">
        <v>-5.25</v>
      </c>
      <c r="AV4" s="276">
        <v>1</v>
      </c>
      <c r="AW4" s="277"/>
      <c r="AX4" s="272">
        <v>-5.05</v>
      </c>
      <c r="AY4" s="278">
        <v>1</v>
      </c>
      <c r="AZ4" s="274"/>
      <c r="BA4" s="275">
        <v>-5.25</v>
      </c>
      <c r="BB4" s="276">
        <v>1</v>
      </c>
      <c r="BC4" s="277"/>
      <c r="BD4" s="272">
        <v>0.1454545454545455</v>
      </c>
      <c r="BE4" s="278">
        <v>2</v>
      </c>
      <c r="BF4" s="274"/>
      <c r="BG4" s="275">
        <v>17.96</v>
      </c>
      <c r="BH4" s="279">
        <v>3</v>
      </c>
      <c r="BI4" s="277">
        <v>5</v>
      </c>
      <c r="BJ4" s="272">
        <v>-4.8499999999999996</v>
      </c>
      <c r="BK4" s="278">
        <v>1</v>
      </c>
      <c r="BL4" s="274"/>
      <c r="BM4" s="275">
        <v>-7</v>
      </c>
      <c r="BN4" s="279">
        <v>0</v>
      </c>
      <c r="BO4" s="277"/>
      <c r="BP4" s="272">
        <v>1.0181818181818194</v>
      </c>
      <c r="BQ4" s="278">
        <v>2</v>
      </c>
      <c r="BR4" s="274"/>
      <c r="BS4" s="275">
        <v>1.163636363636364</v>
      </c>
      <c r="BT4" s="276">
        <v>2</v>
      </c>
      <c r="BU4" s="277"/>
      <c r="BV4" s="275">
        <f t="shared" si="4"/>
        <v>-27.760909090909088</v>
      </c>
      <c r="BW4" s="276">
        <f t="shared" si="5"/>
        <v>24</v>
      </c>
      <c r="BX4" s="277">
        <f t="shared" si="6"/>
        <v>5</v>
      </c>
      <c r="BY4" s="52"/>
      <c r="DX4" s="53"/>
      <c r="DY4" s="53"/>
      <c r="EF4" s="50"/>
      <c r="EG4" s="50"/>
    </row>
    <row r="5" spans="1:137">
      <c r="A5" s="282">
        <f t="shared" si="0"/>
        <v>40</v>
      </c>
      <c r="B5" s="282">
        <f t="shared" si="1"/>
        <v>36</v>
      </c>
      <c r="C5" s="282">
        <v>40</v>
      </c>
      <c r="D5" s="328" t="str">
        <f>INDEX(Table!E:E,MATCH(E5,Table!F:F,0))</f>
        <v>A</v>
      </c>
      <c r="E5" s="268" t="s">
        <v>388</v>
      </c>
      <c r="F5" s="280">
        <f t="shared" si="2"/>
        <v>-31.12591288341288</v>
      </c>
      <c r="G5" s="58">
        <f t="shared" si="3"/>
        <v>27</v>
      </c>
      <c r="H5" s="280">
        <v>-1.6068376068376065</v>
      </c>
      <c r="I5" s="148">
        <v>2</v>
      </c>
      <c r="J5" s="270">
        <f t="shared" si="7"/>
        <v>10</v>
      </c>
      <c r="K5" s="271"/>
      <c r="L5" s="271">
        <f>INDEX(Table!N:N,MATCH(E5,Table!F:F,0))</f>
        <v>0</v>
      </c>
      <c r="M5" s="270">
        <f t="shared" si="8"/>
        <v>10</v>
      </c>
      <c r="N5" s="272">
        <v>-5.7</v>
      </c>
      <c r="O5" s="273">
        <v>1</v>
      </c>
      <c r="P5" s="274"/>
      <c r="Q5" s="275">
        <v>-3.4</v>
      </c>
      <c r="R5" s="276">
        <v>1</v>
      </c>
      <c r="S5" s="277"/>
      <c r="T5" s="272">
        <v>-5.15</v>
      </c>
      <c r="U5" s="278">
        <v>1</v>
      </c>
      <c r="V5" s="274"/>
      <c r="W5" s="275">
        <v>-3.0649999999999995</v>
      </c>
      <c r="X5" s="276">
        <v>2</v>
      </c>
      <c r="Y5" s="277"/>
      <c r="Z5" s="272">
        <v>-4.4000000000000004</v>
      </c>
      <c r="AA5" s="278">
        <v>1</v>
      </c>
      <c r="AB5" s="274"/>
      <c r="AC5" s="275">
        <v>5.1999999999999993</v>
      </c>
      <c r="AD5" s="276">
        <v>2</v>
      </c>
      <c r="AE5" s="277"/>
      <c r="AF5" s="272">
        <v>-7</v>
      </c>
      <c r="AG5" s="278">
        <v>0</v>
      </c>
      <c r="AH5" s="274"/>
      <c r="AI5" s="275">
        <v>-7</v>
      </c>
      <c r="AJ5" s="276">
        <v>0</v>
      </c>
      <c r="AK5" s="277"/>
      <c r="AL5" s="272">
        <v>11.349999999999998</v>
      </c>
      <c r="AM5" s="278">
        <v>2</v>
      </c>
      <c r="AN5" s="274"/>
      <c r="AO5" s="275">
        <v>-5.65</v>
      </c>
      <c r="AP5" s="276">
        <v>1</v>
      </c>
      <c r="AQ5" s="277"/>
      <c r="AR5" s="272">
        <v>-5.5555555555555554</v>
      </c>
      <c r="AS5" s="278">
        <v>1</v>
      </c>
      <c r="AT5" s="274"/>
      <c r="AU5" s="275">
        <v>7.3636363636363633</v>
      </c>
      <c r="AV5" s="276">
        <v>2</v>
      </c>
      <c r="AW5" s="277"/>
      <c r="AX5" s="272">
        <v>-7</v>
      </c>
      <c r="AY5" s="278">
        <v>0</v>
      </c>
      <c r="AZ5" s="274"/>
      <c r="BA5" s="275">
        <v>11.946666666666669</v>
      </c>
      <c r="BB5" s="276">
        <v>3</v>
      </c>
      <c r="BC5" s="277">
        <v>10</v>
      </c>
      <c r="BD5" s="272">
        <v>-2.7037037037037042</v>
      </c>
      <c r="BE5" s="278">
        <v>2</v>
      </c>
      <c r="BF5" s="274"/>
      <c r="BG5" s="275">
        <v>-5.7142857142857144</v>
      </c>
      <c r="BH5" s="279">
        <v>1</v>
      </c>
      <c r="BI5" s="277"/>
      <c r="BJ5" s="272">
        <v>3.1466666666666665</v>
      </c>
      <c r="BK5" s="278">
        <v>2</v>
      </c>
      <c r="BL5" s="274"/>
      <c r="BM5" s="275">
        <v>-5.5</v>
      </c>
      <c r="BN5" s="279">
        <v>1</v>
      </c>
      <c r="BO5" s="277"/>
      <c r="BP5" s="272">
        <v>-0.6875</v>
      </c>
      <c r="BQ5" s="278">
        <v>2</v>
      </c>
      <c r="BR5" s="274"/>
      <c r="BS5" s="275">
        <v>-1.6068376068376065</v>
      </c>
      <c r="BT5" s="276">
        <v>2</v>
      </c>
      <c r="BU5" s="277"/>
      <c r="BV5" s="275">
        <f t="shared" si="4"/>
        <v>-31.125912883412884</v>
      </c>
      <c r="BW5" s="276">
        <f t="shared" si="5"/>
        <v>27</v>
      </c>
      <c r="BX5" s="277">
        <f t="shared" si="6"/>
        <v>10</v>
      </c>
      <c r="BY5" s="52"/>
      <c r="DX5" s="53"/>
      <c r="DY5" s="53"/>
      <c r="EF5" s="50"/>
      <c r="EG5" s="50"/>
    </row>
    <row r="6" spans="1:137">
      <c r="A6" s="282">
        <f t="shared" si="0"/>
        <v>27</v>
      </c>
      <c r="B6" s="282">
        <f t="shared" si="1"/>
        <v>26</v>
      </c>
      <c r="C6" s="282">
        <v>27</v>
      </c>
      <c r="D6" s="328" t="str">
        <f>INDEX(Table!E:E,MATCH(E6,Table!F:F,0))</f>
        <v>B</v>
      </c>
      <c r="E6" s="268" t="s">
        <v>327</v>
      </c>
      <c r="F6" s="280">
        <f t="shared" si="2"/>
        <v>-8.0069230769230764</v>
      </c>
      <c r="G6" s="58">
        <f t="shared" si="3"/>
        <v>23</v>
      </c>
      <c r="H6" s="280">
        <v>-1</v>
      </c>
      <c r="I6" s="148">
        <v>2</v>
      </c>
      <c r="J6" s="270">
        <f t="shared" si="7"/>
        <v>5</v>
      </c>
      <c r="K6" s="271"/>
      <c r="L6" s="271">
        <f>INDEX(Table!N:N,MATCH(E6,Table!F:F,0))</f>
        <v>6.21</v>
      </c>
      <c r="M6" s="270">
        <f t="shared" si="8"/>
        <v>11.21</v>
      </c>
      <c r="N6" s="272">
        <v>2.7230769230769241</v>
      </c>
      <c r="O6" s="273">
        <v>2</v>
      </c>
      <c r="P6" s="274"/>
      <c r="Q6" s="275">
        <v>-3.9</v>
      </c>
      <c r="R6" s="276">
        <v>1</v>
      </c>
      <c r="S6" s="277"/>
      <c r="T6" s="272">
        <v>9.1999999999999993</v>
      </c>
      <c r="U6" s="278">
        <v>2</v>
      </c>
      <c r="V6" s="274"/>
      <c r="W6" s="275">
        <v>-3</v>
      </c>
      <c r="X6" s="276">
        <v>1</v>
      </c>
      <c r="Y6" s="277"/>
      <c r="Z6" s="272">
        <v>-7</v>
      </c>
      <c r="AA6" s="278">
        <v>0</v>
      </c>
      <c r="AB6" s="274"/>
      <c r="AC6" s="275">
        <v>-3.8</v>
      </c>
      <c r="AD6" s="276">
        <v>1</v>
      </c>
      <c r="AE6" s="277"/>
      <c r="AF6" s="272">
        <v>11.36</v>
      </c>
      <c r="AG6" s="278">
        <v>2</v>
      </c>
      <c r="AH6" s="274"/>
      <c r="AI6" s="275">
        <v>-7</v>
      </c>
      <c r="AJ6" s="276">
        <v>0</v>
      </c>
      <c r="AK6" s="277"/>
      <c r="AL6" s="272">
        <v>9.64</v>
      </c>
      <c r="AM6" s="278">
        <v>2</v>
      </c>
      <c r="AN6" s="274"/>
      <c r="AO6" s="275">
        <v>-3.8</v>
      </c>
      <c r="AP6" s="276">
        <v>1</v>
      </c>
      <c r="AQ6" s="277"/>
      <c r="AR6" s="272">
        <v>-3.8</v>
      </c>
      <c r="AS6" s="278">
        <v>1</v>
      </c>
      <c r="AT6" s="274"/>
      <c r="AU6" s="275">
        <v>-7</v>
      </c>
      <c r="AV6" s="276">
        <v>0</v>
      </c>
      <c r="AW6" s="277"/>
      <c r="AX6" s="272">
        <v>-3.6</v>
      </c>
      <c r="AY6" s="278">
        <v>1</v>
      </c>
      <c r="AZ6" s="274"/>
      <c r="BA6" s="275">
        <v>9.8500000000000014</v>
      </c>
      <c r="BB6" s="276">
        <v>2</v>
      </c>
      <c r="BC6" s="277">
        <v>5</v>
      </c>
      <c r="BD6" s="272">
        <v>-3.6</v>
      </c>
      <c r="BE6" s="278">
        <v>1</v>
      </c>
      <c r="BF6" s="274"/>
      <c r="BG6" s="275">
        <v>-3.6</v>
      </c>
      <c r="BH6" s="279">
        <v>1</v>
      </c>
      <c r="BI6" s="277"/>
      <c r="BJ6" s="272">
        <v>-3.6</v>
      </c>
      <c r="BK6" s="278">
        <v>1</v>
      </c>
      <c r="BL6" s="274"/>
      <c r="BM6" s="275">
        <v>-7</v>
      </c>
      <c r="BN6" s="279">
        <v>0</v>
      </c>
      <c r="BO6" s="277"/>
      <c r="BP6" s="272">
        <v>10.919999999999998</v>
      </c>
      <c r="BQ6" s="278">
        <v>2</v>
      </c>
      <c r="BR6" s="274"/>
      <c r="BS6" s="275">
        <v>-1</v>
      </c>
      <c r="BT6" s="276">
        <v>2</v>
      </c>
      <c r="BU6" s="277"/>
      <c r="BV6" s="275">
        <f t="shared" si="4"/>
        <v>-8.0069230769230781</v>
      </c>
      <c r="BW6" s="276">
        <f t="shared" si="5"/>
        <v>23</v>
      </c>
      <c r="BX6" s="277">
        <f t="shared" si="6"/>
        <v>5</v>
      </c>
      <c r="BY6" s="52"/>
      <c r="DX6" s="53"/>
      <c r="DY6" s="53"/>
      <c r="EF6" s="50"/>
      <c r="EG6" s="50"/>
    </row>
    <row r="7" spans="1:137">
      <c r="A7" s="282">
        <f t="shared" si="0"/>
        <v>39</v>
      </c>
      <c r="B7" s="282">
        <f t="shared" si="1"/>
        <v>39</v>
      </c>
      <c r="C7" s="282">
        <v>37</v>
      </c>
      <c r="D7" s="328" t="str">
        <f>INDEX(Table!E:E,MATCH(E7,Table!F:F,0))</f>
        <v>C</v>
      </c>
      <c r="E7" s="268" t="s">
        <v>300</v>
      </c>
      <c r="F7" s="280">
        <f t="shared" si="2"/>
        <v>-30.729696969696956</v>
      </c>
      <c r="G7" s="58">
        <f t="shared" si="3"/>
        <v>16</v>
      </c>
      <c r="H7" s="280">
        <v>-3</v>
      </c>
      <c r="I7" s="148">
        <v>1</v>
      </c>
      <c r="J7" s="270">
        <f t="shared" si="7"/>
        <v>15</v>
      </c>
      <c r="K7" s="271"/>
      <c r="L7" s="271">
        <f>INDEX(Table!N:N,MATCH(E7,Table!F:F,0))</f>
        <v>0</v>
      </c>
      <c r="M7" s="270">
        <f t="shared" si="8"/>
        <v>15</v>
      </c>
      <c r="N7" s="272">
        <v>-5.7</v>
      </c>
      <c r="O7" s="273">
        <v>1</v>
      </c>
      <c r="P7" s="274"/>
      <c r="Q7" s="275">
        <v>-7</v>
      </c>
      <c r="R7" s="276">
        <v>0</v>
      </c>
      <c r="S7" s="277"/>
      <c r="T7" s="272">
        <v>-5.6</v>
      </c>
      <c r="U7" s="278">
        <v>1</v>
      </c>
      <c r="V7" s="274"/>
      <c r="W7" s="275">
        <v>48.240000000000009</v>
      </c>
      <c r="X7" s="276">
        <v>3</v>
      </c>
      <c r="Y7" s="277">
        <v>10</v>
      </c>
      <c r="Z7" s="272">
        <v>-1</v>
      </c>
      <c r="AA7" s="278">
        <v>1</v>
      </c>
      <c r="AB7" s="274"/>
      <c r="AC7" s="275">
        <v>-3.8</v>
      </c>
      <c r="AD7" s="276">
        <v>1</v>
      </c>
      <c r="AE7" s="277"/>
      <c r="AF7" s="272">
        <v>-7</v>
      </c>
      <c r="AG7" s="278">
        <v>0</v>
      </c>
      <c r="AH7" s="274"/>
      <c r="AI7" s="275">
        <v>-4</v>
      </c>
      <c r="AJ7" s="276">
        <v>1</v>
      </c>
      <c r="AK7" s="277"/>
      <c r="AL7" s="272">
        <v>-4.7</v>
      </c>
      <c r="AM7" s="278">
        <v>1</v>
      </c>
      <c r="AN7" s="274"/>
      <c r="AO7" s="275">
        <v>-7</v>
      </c>
      <c r="AP7" s="276">
        <v>0</v>
      </c>
      <c r="AQ7" s="277"/>
      <c r="AR7" s="272">
        <v>-7</v>
      </c>
      <c r="AS7" s="278">
        <v>0</v>
      </c>
      <c r="AT7" s="274"/>
      <c r="AU7" s="275">
        <v>-5.6363636363636367</v>
      </c>
      <c r="AV7" s="276">
        <v>1</v>
      </c>
      <c r="AW7" s="277"/>
      <c r="AX7" s="272">
        <v>-7</v>
      </c>
      <c r="AY7" s="278">
        <v>0</v>
      </c>
      <c r="AZ7" s="274"/>
      <c r="BA7" s="275">
        <v>-7</v>
      </c>
      <c r="BB7" s="276">
        <v>0</v>
      </c>
      <c r="BC7" s="277"/>
      <c r="BD7" s="272">
        <v>-0.5</v>
      </c>
      <c r="BE7" s="278">
        <v>1</v>
      </c>
      <c r="BF7" s="274"/>
      <c r="BG7" s="275">
        <v>-4.583333333333333</v>
      </c>
      <c r="BH7" s="279">
        <v>1</v>
      </c>
      <c r="BI7" s="277"/>
      <c r="BJ7" s="272">
        <v>-7</v>
      </c>
      <c r="BK7" s="278">
        <v>0</v>
      </c>
      <c r="BL7" s="274"/>
      <c r="BM7" s="275">
        <v>12.25</v>
      </c>
      <c r="BN7" s="279">
        <v>2</v>
      </c>
      <c r="BO7" s="277">
        <v>5</v>
      </c>
      <c r="BP7" s="272">
        <v>-3.7</v>
      </c>
      <c r="BQ7" s="278">
        <v>1</v>
      </c>
      <c r="BR7" s="274"/>
      <c r="BS7" s="275">
        <v>-3</v>
      </c>
      <c r="BT7" s="276">
        <v>1</v>
      </c>
      <c r="BU7" s="277"/>
      <c r="BV7" s="275">
        <f t="shared" si="4"/>
        <v>-30.729696969696963</v>
      </c>
      <c r="BW7" s="276">
        <f t="shared" si="5"/>
        <v>16</v>
      </c>
      <c r="BX7" s="277">
        <f t="shared" si="6"/>
        <v>15</v>
      </c>
      <c r="BY7" s="52"/>
      <c r="DX7" s="53"/>
      <c r="DY7" s="53"/>
      <c r="EF7" s="50"/>
      <c r="EG7" s="50"/>
    </row>
    <row r="8" spans="1:137">
      <c r="A8" s="282">
        <f t="shared" si="0"/>
        <v>62</v>
      </c>
      <c r="B8" s="282">
        <f t="shared" si="1"/>
        <v>50</v>
      </c>
      <c r="C8" s="282">
        <v>62</v>
      </c>
      <c r="D8" s="328" t="str">
        <f>INDEX(Table!E:E,MATCH(E8,Table!F:F,0))</f>
        <v>D</v>
      </c>
      <c r="E8" s="268" t="s">
        <v>547</v>
      </c>
      <c r="F8" s="280">
        <f t="shared" si="2"/>
        <v>-140</v>
      </c>
      <c r="G8" s="58">
        <f t="shared" si="3"/>
        <v>0</v>
      </c>
      <c r="H8" s="280">
        <v>-7</v>
      </c>
      <c r="I8" s="148">
        <v>0</v>
      </c>
      <c r="J8" s="270">
        <f t="shared" si="7"/>
        <v>0</v>
      </c>
      <c r="K8" s="271"/>
      <c r="L8" s="271">
        <f>INDEX(Table!N:N,MATCH(E8,Table!F:F,0))</f>
        <v>0</v>
      </c>
      <c r="M8" s="270">
        <f t="shared" si="8"/>
        <v>0</v>
      </c>
      <c r="N8" s="272">
        <v>-7</v>
      </c>
      <c r="O8" s="273">
        <v>0</v>
      </c>
      <c r="P8" s="274"/>
      <c r="Q8" s="275">
        <v>-7</v>
      </c>
      <c r="R8" s="276">
        <v>0</v>
      </c>
      <c r="S8" s="277"/>
      <c r="T8" s="272">
        <v>-7</v>
      </c>
      <c r="U8" s="278">
        <v>0</v>
      </c>
      <c r="V8" s="274"/>
      <c r="W8" s="275">
        <v>-7</v>
      </c>
      <c r="X8" s="276">
        <v>0</v>
      </c>
      <c r="Y8" s="277"/>
      <c r="Z8" s="272">
        <v>-7</v>
      </c>
      <c r="AA8" s="278">
        <v>0</v>
      </c>
      <c r="AB8" s="274"/>
      <c r="AC8" s="275">
        <v>-7</v>
      </c>
      <c r="AD8" s="276">
        <v>0</v>
      </c>
      <c r="AE8" s="277"/>
      <c r="AF8" s="272">
        <v>-7</v>
      </c>
      <c r="AG8" s="278">
        <v>0</v>
      </c>
      <c r="AH8" s="274"/>
      <c r="AI8" s="275">
        <v>-7</v>
      </c>
      <c r="AJ8" s="276">
        <v>0</v>
      </c>
      <c r="AK8" s="277"/>
      <c r="AL8" s="272">
        <v>-7</v>
      </c>
      <c r="AM8" s="278">
        <v>0</v>
      </c>
      <c r="AN8" s="274"/>
      <c r="AO8" s="275">
        <v>-7</v>
      </c>
      <c r="AP8" s="276">
        <v>0</v>
      </c>
      <c r="AQ8" s="277"/>
      <c r="AR8" s="272">
        <v>-7</v>
      </c>
      <c r="AS8" s="278">
        <v>0</v>
      </c>
      <c r="AT8" s="274"/>
      <c r="AU8" s="275">
        <v>-7</v>
      </c>
      <c r="AV8" s="276">
        <v>0</v>
      </c>
      <c r="AW8" s="277"/>
      <c r="AX8" s="272">
        <v>-7</v>
      </c>
      <c r="AY8" s="278">
        <v>0</v>
      </c>
      <c r="AZ8" s="274"/>
      <c r="BA8" s="275">
        <v>-7</v>
      </c>
      <c r="BB8" s="276">
        <v>0</v>
      </c>
      <c r="BC8" s="277"/>
      <c r="BD8" s="272">
        <v>-7</v>
      </c>
      <c r="BE8" s="278">
        <v>0</v>
      </c>
      <c r="BF8" s="274"/>
      <c r="BG8" s="275">
        <v>-7</v>
      </c>
      <c r="BH8" s="279">
        <v>0</v>
      </c>
      <c r="BI8" s="277"/>
      <c r="BJ8" s="272">
        <v>-7</v>
      </c>
      <c r="BK8" s="278">
        <v>0</v>
      </c>
      <c r="BL8" s="274"/>
      <c r="BM8" s="275">
        <v>-7</v>
      </c>
      <c r="BN8" s="279">
        <v>0</v>
      </c>
      <c r="BO8" s="277"/>
      <c r="BP8" s="272">
        <v>-7</v>
      </c>
      <c r="BQ8" s="278">
        <v>0</v>
      </c>
      <c r="BR8" s="274"/>
      <c r="BS8" s="275">
        <v>-7</v>
      </c>
      <c r="BT8" s="276">
        <v>0</v>
      </c>
      <c r="BU8" s="277"/>
      <c r="BV8" s="275">
        <f t="shared" si="4"/>
        <v>-140</v>
      </c>
      <c r="BW8" s="276">
        <f t="shared" si="5"/>
        <v>0</v>
      </c>
      <c r="BX8" s="277">
        <f t="shared" si="6"/>
        <v>0</v>
      </c>
      <c r="BY8" s="52"/>
      <c r="DX8" s="53"/>
      <c r="DY8" s="53"/>
      <c r="EF8" s="50"/>
      <c r="EG8" s="50"/>
    </row>
    <row r="9" spans="1:137">
      <c r="A9" s="282">
        <f t="shared" si="0"/>
        <v>52</v>
      </c>
      <c r="B9" s="282">
        <f t="shared" si="1"/>
        <v>16</v>
      </c>
      <c r="C9" s="282">
        <v>53</v>
      </c>
      <c r="D9" s="328" t="str">
        <f>INDEX(Table!E:E,MATCH(E9,Table!F:F,0))</f>
        <v>B</v>
      </c>
      <c r="E9" s="268" t="s">
        <v>295</v>
      </c>
      <c r="F9" s="280">
        <f t="shared" si="2"/>
        <v>-55.06498737373736</v>
      </c>
      <c r="G9" s="58">
        <f t="shared" si="3"/>
        <v>25</v>
      </c>
      <c r="H9" s="280">
        <v>0.83500000000000085</v>
      </c>
      <c r="I9" s="148">
        <v>2</v>
      </c>
      <c r="J9" s="270">
        <f t="shared" si="7"/>
        <v>0</v>
      </c>
      <c r="K9" s="271"/>
      <c r="L9" s="271">
        <f>INDEX(Table!N:N,MATCH(E9,Table!F:F,0))</f>
        <v>0</v>
      </c>
      <c r="M9" s="270">
        <f t="shared" si="8"/>
        <v>0</v>
      </c>
      <c r="N9" s="272">
        <v>1.454545454545455</v>
      </c>
      <c r="O9" s="273">
        <v>2</v>
      </c>
      <c r="P9" s="274"/>
      <c r="Q9" s="275">
        <v>-5.2</v>
      </c>
      <c r="R9" s="276">
        <v>1</v>
      </c>
      <c r="S9" s="277"/>
      <c r="T9" s="272">
        <v>-5.2727272727272725</v>
      </c>
      <c r="U9" s="278">
        <v>1</v>
      </c>
      <c r="V9" s="274"/>
      <c r="W9" s="275">
        <v>0.64166666666666661</v>
      </c>
      <c r="X9" s="276">
        <v>2</v>
      </c>
      <c r="Y9" s="277"/>
      <c r="Z9" s="272">
        <v>-4.7</v>
      </c>
      <c r="AA9" s="278">
        <v>1</v>
      </c>
      <c r="AB9" s="274"/>
      <c r="AC9" s="275">
        <v>-4.5</v>
      </c>
      <c r="AD9" s="276">
        <v>1</v>
      </c>
      <c r="AE9" s="277"/>
      <c r="AF9" s="272">
        <v>-4.0999999999999996</v>
      </c>
      <c r="AG9" s="278">
        <v>1</v>
      </c>
      <c r="AH9" s="274"/>
      <c r="AI9" s="275">
        <v>-7</v>
      </c>
      <c r="AJ9" s="276">
        <v>0</v>
      </c>
      <c r="AK9" s="277"/>
      <c r="AL9" s="272">
        <v>-4.8</v>
      </c>
      <c r="AM9" s="278">
        <v>1</v>
      </c>
      <c r="AN9" s="274"/>
      <c r="AO9" s="275">
        <v>-4.5</v>
      </c>
      <c r="AP9" s="276">
        <v>1</v>
      </c>
      <c r="AQ9" s="277"/>
      <c r="AR9" s="272">
        <v>-4.3</v>
      </c>
      <c r="AS9" s="278">
        <v>1</v>
      </c>
      <c r="AT9" s="274"/>
      <c r="AU9" s="275">
        <v>-4.9000000000000004</v>
      </c>
      <c r="AV9" s="276">
        <v>1</v>
      </c>
      <c r="AW9" s="277"/>
      <c r="AX9" s="272">
        <v>2.8674999999999997</v>
      </c>
      <c r="AY9" s="278">
        <v>2</v>
      </c>
      <c r="AZ9" s="274"/>
      <c r="BA9" s="275">
        <v>-5.25</v>
      </c>
      <c r="BB9" s="276">
        <v>1</v>
      </c>
      <c r="BC9" s="277"/>
      <c r="BD9" s="272">
        <v>-5.2222222222222223</v>
      </c>
      <c r="BE9" s="278">
        <v>1</v>
      </c>
      <c r="BF9" s="274"/>
      <c r="BG9" s="275">
        <v>-3.7</v>
      </c>
      <c r="BH9" s="279">
        <v>1</v>
      </c>
      <c r="BI9" s="277"/>
      <c r="BJ9" s="272">
        <v>3.5500000000000007</v>
      </c>
      <c r="BK9" s="278">
        <v>2</v>
      </c>
      <c r="BL9" s="274"/>
      <c r="BM9" s="275">
        <v>-4.75</v>
      </c>
      <c r="BN9" s="279">
        <v>1</v>
      </c>
      <c r="BO9" s="277"/>
      <c r="BP9" s="272">
        <v>3.78125</v>
      </c>
      <c r="BQ9" s="278">
        <v>2</v>
      </c>
      <c r="BR9" s="274"/>
      <c r="BS9" s="275">
        <v>0.83500000000000085</v>
      </c>
      <c r="BT9" s="276">
        <v>2</v>
      </c>
      <c r="BU9" s="277"/>
      <c r="BV9" s="275">
        <f t="shared" si="4"/>
        <v>-55.064987373737381</v>
      </c>
      <c r="BW9" s="276">
        <f t="shared" si="5"/>
        <v>25</v>
      </c>
      <c r="BX9" s="277">
        <f t="shared" si="6"/>
        <v>0</v>
      </c>
      <c r="BY9" s="52"/>
      <c r="DX9" s="53"/>
      <c r="DY9" s="53"/>
      <c r="EF9" s="50"/>
      <c r="EG9" s="50"/>
    </row>
    <row r="10" spans="1:137">
      <c r="A10" s="282">
        <f t="shared" si="0"/>
        <v>20</v>
      </c>
      <c r="B10" s="282">
        <f t="shared" si="1"/>
        <v>19</v>
      </c>
      <c r="C10" s="282">
        <v>17</v>
      </c>
      <c r="D10" s="328" t="str">
        <f>INDEX(Table!E:E,MATCH(E10,Table!F:F,0))</f>
        <v>D</v>
      </c>
      <c r="E10" s="268" t="s">
        <v>383</v>
      </c>
      <c r="F10" s="280">
        <f t="shared" si="2"/>
        <v>6.1995908826022461</v>
      </c>
      <c r="G10" s="58">
        <f t="shared" si="3"/>
        <v>26</v>
      </c>
      <c r="H10" s="280">
        <v>0</v>
      </c>
      <c r="I10" s="148">
        <v>0</v>
      </c>
      <c r="J10" s="270">
        <f t="shared" si="7"/>
        <v>15</v>
      </c>
      <c r="K10" s="271"/>
      <c r="L10" s="271">
        <f>INDEX(Table!N:N,MATCH(E10,Table!F:F,0))</f>
        <v>2.0699999999999998</v>
      </c>
      <c r="M10" s="270">
        <f t="shared" si="8"/>
        <v>17.07</v>
      </c>
      <c r="N10" s="272">
        <v>-7</v>
      </c>
      <c r="O10" s="273">
        <v>0</v>
      </c>
      <c r="P10" s="274"/>
      <c r="Q10" s="275">
        <v>-7</v>
      </c>
      <c r="R10" s="276">
        <v>0</v>
      </c>
      <c r="S10" s="277"/>
      <c r="T10" s="272">
        <v>-1.2800000000000002</v>
      </c>
      <c r="U10" s="278">
        <v>2</v>
      </c>
      <c r="V10" s="274"/>
      <c r="W10" s="275">
        <v>-7</v>
      </c>
      <c r="X10" s="276">
        <v>0</v>
      </c>
      <c r="Y10" s="277"/>
      <c r="Z10" s="272">
        <v>-7</v>
      </c>
      <c r="AA10" s="278">
        <v>0</v>
      </c>
      <c r="AB10" s="274"/>
      <c r="AC10" s="275">
        <v>-7</v>
      </c>
      <c r="AD10" s="276">
        <v>0</v>
      </c>
      <c r="AE10" s="277"/>
      <c r="AF10" s="272">
        <v>-5.3333333333333339</v>
      </c>
      <c r="AG10" s="278">
        <v>1</v>
      </c>
      <c r="AH10" s="274"/>
      <c r="AI10" s="275">
        <v>21.721249999999998</v>
      </c>
      <c r="AJ10" s="276">
        <v>3</v>
      </c>
      <c r="AK10" s="277">
        <v>5</v>
      </c>
      <c r="AL10" s="272">
        <v>16.234375</v>
      </c>
      <c r="AM10" s="278">
        <v>3</v>
      </c>
      <c r="AN10" s="274"/>
      <c r="AO10" s="275">
        <v>1.75</v>
      </c>
      <c r="AP10" s="276">
        <v>2</v>
      </c>
      <c r="AQ10" s="277"/>
      <c r="AR10" s="272">
        <v>12.770909090909093</v>
      </c>
      <c r="AS10" s="278">
        <v>3</v>
      </c>
      <c r="AT10" s="274">
        <v>5</v>
      </c>
      <c r="AU10" s="275">
        <v>2.1818181818181834</v>
      </c>
      <c r="AV10" s="276">
        <v>2</v>
      </c>
      <c r="AW10" s="277"/>
      <c r="AX10" s="272">
        <v>-5.5</v>
      </c>
      <c r="AY10" s="278">
        <v>1</v>
      </c>
      <c r="AZ10" s="274"/>
      <c r="BA10" s="275">
        <v>8.1157024793388448</v>
      </c>
      <c r="BB10" s="276">
        <v>3</v>
      </c>
      <c r="BC10" s="277">
        <v>5</v>
      </c>
      <c r="BD10" s="272">
        <v>-1.0333333333333332</v>
      </c>
      <c r="BE10" s="278">
        <v>2</v>
      </c>
      <c r="BF10" s="274"/>
      <c r="BG10" s="275">
        <v>-3</v>
      </c>
      <c r="BH10" s="279">
        <v>0</v>
      </c>
      <c r="BI10" s="277"/>
      <c r="BJ10" s="272">
        <v>-4.625</v>
      </c>
      <c r="BK10" s="278">
        <v>1</v>
      </c>
      <c r="BL10" s="274"/>
      <c r="BM10" s="275">
        <v>-5.384615384615385</v>
      </c>
      <c r="BN10" s="279">
        <v>1</v>
      </c>
      <c r="BO10" s="277"/>
      <c r="BP10" s="272">
        <v>4.581818181818182</v>
      </c>
      <c r="BQ10" s="278">
        <v>2</v>
      </c>
      <c r="BR10" s="274"/>
      <c r="BS10" s="275">
        <v>0</v>
      </c>
      <c r="BT10" s="276">
        <v>0</v>
      </c>
      <c r="BU10" s="277"/>
      <c r="BV10" s="275">
        <f t="shared" si="4"/>
        <v>6.1995908826022443</v>
      </c>
      <c r="BW10" s="276">
        <f t="shared" si="5"/>
        <v>26</v>
      </c>
      <c r="BX10" s="277">
        <f t="shared" si="6"/>
        <v>15</v>
      </c>
      <c r="BY10" s="52"/>
      <c r="DX10" s="53"/>
      <c r="DY10" s="53"/>
      <c r="EF10" s="50"/>
      <c r="EG10" s="50"/>
    </row>
    <row r="11" spans="1:137">
      <c r="A11" s="282">
        <f t="shared" si="0"/>
        <v>5</v>
      </c>
      <c r="B11" s="282">
        <f t="shared" si="1"/>
        <v>7</v>
      </c>
      <c r="C11" s="282">
        <v>7</v>
      </c>
      <c r="D11" s="328" t="str">
        <f>INDEX(Table!E:E,MATCH(E11,Table!F:F,0))</f>
        <v>A</v>
      </c>
      <c r="E11" s="268" t="s">
        <v>289</v>
      </c>
      <c r="F11" s="280">
        <f t="shared" si="2"/>
        <v>52.422337662337654</v>
      </c>
      <c r="G11" s="58">
        <f t="shared" si="3"/>
        <v>30</v>
      </c>
      <c r="H11" s="280">
        <v>9.2200000000000024</v>
      </c>
      <c r="I11" s="148">
        <v>2</v>
      </c>
      <c r="J11" s="270">
        <f t="shared" si="7"/>
        <v>10</v>
      </c>
      <c r="K11" s="271"/>
      <c r="L11" s="271">
        <f>INDEX(Table!N:N,MATCH(E11,Table!F:F,0))</f>
        <v>77.625</v>
      </c>
      <c r="M11" s="270">
        <f t="shared" si="8"/>
        <v>87.625</v>
      </c>
      <c r="N11" s="272">
        <v>21.295000000000002</v>
      </c>
      <c r="O11" s="273">
        <v>3</v>
      </c>
      <c r="P11" s="274"/>
      <c r="Q11" s="275">
        <v>0.79999999999999893</v>
      </c>
      <c r="R11" s="276">
        <v>2</v>
      </c>
      <c r="S11" s="277"/>
      <c r="T11" s="272">
        <v>-5.35</v>
      </c>
      <c r="U11" s="278">
        <v>1</v>
      </c>
      <c r="V11" s="274"/>
      <c r="W11" s="275">
        <v>-3</v>
      </c>
      <c r="X11" s="276">
        <v>0</v>
      </c>
      <c r="Y11" s="277"/>
      <c r="Z11" s="272">
        <v>-7</v>
      </c>
      <c r="AA11" s="278">
        <v>0</v>
      </c>
      <c r="AB11" s="274"/>
      <c r="AC11" s="275">
        <v>-4.75</v>
      </c>
      <c r="AD11" s="276">
        <v>1</v>
      </c>
      <c r="AE11" s="277"/>
      <c r="AF11" s="272">
        <v>3.1466666666666665</v>
      </c>
      <c r="AG11" s="278">
        <v>2</v>
      </c>
      <c r="AH11" s="274"/>
      <c r="AI11" s="275">
        <v>1.204545454545455</v>
      </c>
      <c r="AJ11" s="276">
        <v>2</v>
      </c>
      <c r="AK11" s="277"/>
      <c r="AL11" s="272">
        <v>-5.5</v>
      </c>
      <c r="AM11" s="278">
        <v>1</v>
      </c>
      <c r="AN11" s="274"/>
      <c r="AO11" s="275">
        <v>0.29090909090909101</v>
      </c>
      <c r="AP11" s="276">
        <v>2</v>
      </c>
      <c r="AQ11" s="277"/>
      <c r="AR11" s="272">
        <v>-1.2424999999999997</v>
      </c>
      <c r="AS11" s="278">
        <v>2</v>
      </c>
      <c r="AT11" s="274"/>
      <c r="AU11" s="275">
        <v>-7</v>
      </c>
      <c r="AV11" s="276">
        <v>0</v>
      </c>
      <c r="AW11" s="277"/>
      <c r="AX11" s="272">
        <v>60.637500000000003</v>
      </c>
      <c r="AY11" s="278">
        <v>3</v>
      </c>
      <c r="AZ11" s="274">
        <v>10</v>
      </c>
      <c r="BA11" s="275">
        <v>4.8699999999999974</v>
      </c>
      <c r="BB11" s="276">
        <v>2</v>
      </c>
      <c r="BC11" s="277"/>
      <c r="BD11" s="272">
        <v>-3.6</v>
      </c>
      <c r="BE11" s="278">
        <v>1</v>
      </c>
      <c r="BF11" s="274"/>
      <c r="BG11" s="275">
        <v>-5.2</v>
      </c>
      <c r="BH11" s="279">
        <v>1</v>
      </c>
      <c r="BI11" s="277"/>
      <c r="BJ11" s="272">
        <v>-5.25</v>
      </c>
      <c r="BK11" s="278">
        <v>1</v>
      </c>
      <c r="BL11" s="274"/>
      <c r="BM11" s="275">
        <v>-0.63030303030303081</v>
      </c>
      <c r="BN11" s="279">
        <v>2</v>
      </c>
      <c r="BO11" s="277"/>
      <c r="BP11" s="272">
        <v>-0.51948051948051965</v>
      </c>
      <c r="BQ11" s="278">
        <v>2</v>
      </c>
      <c r="BR11" s="274"/>
      <c r="BS11" s="275">
        <v>9.2200000000000024</v>
      </c>
      <c r="BT11" s="276">
        <v>2</v>
      </c>
      <c r="BU11" s="277"/>
      <c r="BV11" s="275">
        <f t="shared" si="4"/>
        <v>52.422337662337661</v>
      </c>
      <c r="BW11" s="276">
        <f t="shared" si="5"/>
        <v>30</v>
      </c>
      <c r="BX11" s="277">
        <f t="shared" si="6"/>
        <v>10</v>
      </c>
      <c r="BY11" s="52"/>
      <c r="DX11" s="53"/>
      <c r="DY11" s="53"/>
      <c r="EF11" s="50"/>
      <c r="EG11" s="50"/>
    </row>
    <row r="12" spans="1:137">
      <c r="A12" s="282">
        <f t="shared" si="0"/>
        <v>47</v>
      </c>
      <c r="B12" s="282">
        <f t="shared" si="1"/>
        <v>39</v>
      </c>
      <c r="C12" s="282">
        <v>49</v>
      </c>
      <c r="D12" s="328" t="str">
        <f>INDEX(Table!E:E,MATCH(E12,Table!F:F,0))</f>
        <v>C</v>
      </c>
      <c r="E12" s="268" t="s">
        <v>380</v>
      </c>
      <c r="F12" s="280">
        <f t="shared" si="2"/>
        <v>-50.212727272727271</v>
      </c>
      <c r="G12" s="58">
        <f t="shared" si="3"/>
        <v>17</v>
      </c>
      <c r="H12" s="280">
        <v>-3</v>
      </c>
      <c r="I12" s="148">
        <v>1</v>
      </c>
      <c r="J12" s="270">
        <f t="shared" si="7"/>
        <v>5</v>
      </c>
      <c r="K12" s="271"/>
      <c r="L12" s="271">
        <f>INDEX(Table!N:N,MATCH(E12,Table!F:F,0))</f>
        <v>0</v>
      </c>
      <c r="M12" s="270">
        <f t="shared" si="8"/>
        <v>5</v>
      </c>
      <c r="N12" s="272">
        <v>7.1272727272727288</v>
      </c>
      <c r="O12" s="273">
        <v>2</v>
      </c>
      <c r="P12" s="274"/>
      <c r="Q12" s="275">
        <v>-7</v>
      </c>
      <c r="R12" s="276">
        <v>0</v>
      </c>
      <c r="S12" s="277"/>
      <c r="T12" s="272">
        <v>10.059999999999999</v>
      </c>
      <c r="U12" s="278">
        <v>2</v>
      </c>
      <c r="V12" s="274"/>
      <c r="W12" s="275">
        <v>-7</v>
      </c>
      <c r="X12" s="276">
        <v>0</v>
      </c>
      <c r="Y12" s="277"/>
      <c r="Z12" s="272">
        <v>-4.7</v>
      </c>
      <c r="AA12" s="278">
        <v>1</v>
      </c>
      <c r="AB12" s="274"/>
      <c r="AC12" s="275">
        <v>-7</v>
      </c>
      <c r="AD12" s="276">
        <v>0</v>
      </c>
      <c r="AE12" s="277"/>
      <c r="AF12" s="272">
        <v>-7</v>
      </c>
      <c r="AG12" s="278">
        <v>0</v>
      </c>
      <c r="AH12" s="274"/>
      <c r="AI12" s="275">
        <v>-3.4</v>
      </c>
      <c r="AJ12" s="276">
        <v>1</v>
      </c>
      <c r="AK12" s="277"/>
      <c r="AL12" s="272">
        <v>-3.9</v>
      </c>
      <c r="AM12" s="278">
        <v>1</v>
      </c>
      <c r="AN12" s="274"/>
      <c r="AO12" s="275">
        <v>-4.5</v>
      </c>
      <c r="AP12" s="276">
        <v>1</v>
      </c>
      <c r="AQ12" s="277"/>
      <c r="AR12" s="272">
        <v>-4.3</v>
      </c>
      <c r="AS12" s="278">
        <v>1</v>
      </c>
      <c r="AT12" s="274"/>
      <c r="AU12" s="275">
        <v>-4.625</v>
      </c>
      <c r="AV12" s="276">
        <v>1</v>
      </c>
      <c r="AW12" s="277"/>
      <c r="AX12" s="272">
        <v>-7</v>
      </c>
      <c r="AY12" s="278">
        <v>0</v>
      </c>
      <c r="AZ12" s="274"/>
      <c r="BA12" s="275">
        <v>-3.3</v>
      </c>
      <c r="BB12" s="276">
        <v>1</v>
      </c>
      <c r="BC12" s="277"/>
      <c r="BD12" s="272">
        <v>-7</v>
      </c>
      <c r="BE12" s="278">
        <v>0</v>
      </c>
      <c r="BF12" s="274"/>
      <c r="BG12" s="275">
        <v>-3</v>
      </c>
      <c r="BH12" s="279">
        <v>1</v>
      </c>
      <c r="BI12" s="277"/>
      <c r="BJ12" s="272">
        <v>17.199999999999996</v>
      </c>
      <c r="BK12" s="278">
        <v>2</v>
      </c>
      <c r="BL12" s="274">
        <v>5</v>
      </c>
      <c r="BM12" s="275">
        <v>-3.5</v>
      </c>
      <c r="BN12" s="279">
        <v>1</v>
      </c>
      <c r="BO12" s="277"/>
      <c r="BP12" s="272">
        <v>-4.375</v>
      </c>
      <c r="BQ12" s="278">
        <v>1</v>
      </c>
      <c r="BR12" s="274"/>
      <c r="BS12" s="275">
        <v>-3</v>
      </c>
      <c r="BT12" s="276">
        <v>1</v>
      </c>
      <c r="BU12" s="277"/>
      <c r="BV12" s="275">
        <f t="shared" si="4"/>
        <v>-50.212727272727278</v>
      </c>
      <c r="BW12" s="276">
        <f t="shared" si="5"/>
        <v>17</v>
      </c>
      <c r="BX12" s="277">
        <f t="shared" si="6"/>
        <v>5</v>
      </c>
      <c r="BY12" s="52"/>
      <c r="DX12" s="53"/>
      <c r="DY12" s="53"/>
      <c r="EF12" s="50"/>
      <c r="EG12" s="50"/>
    </row>
    <row r="13" spans="1:137">
      <c r="A13" s="282">
        <f t="shared" si="0"/>
        <v>36</v>
      </c>
      <c r="B13" s="282">
        <f t="shared" si="1"/>
        <v>26</v>
      </c>
      <c r="C13" s="282">
        <v>35</v>
      </c>
      <c r="D13" s="328" t="str">
        <f>INDEX(Table!E:E,MATCH(E13,Table!F:F,0))</f>
        <v>D</v>
      </c>
      <c r="E13" s="268" t="s">
        <v>551</v>
      </c>
      <c r="F13" s="280">
        <f t="shared" si="2"/>
        <v>-21.450492424242423</v>
      </c>
      <c r="G13" s="58">
        <f t="shared" si="3"/>
        <v>20</v>
      </c>
      <c r="H13" s="280">
        <v>-1</v>
      </c>
      <c r="I13" s="148">
        <v>0</v>
      </c>
      <c r="J13" s="270">
        <f t="shared" si="7"/>
        <v>5</v>
      </c>
      <c r="K13" s="271"/>
      <c r="L13" s="271">
        <f>INDEX(Table!N:N,MATCH(E13,Table!F:F,0))</f>
        <v>0</v>
      </c>
      <c r="M13" s="270">
        <f t="shared" si="8"/>
        <v>5</v>
      </c>
      <c r="N13" s="272">
        <v>-4.625</v>
      </c>
      <c r="O13" s="273">
        <v>1</v>
      </c>
      <c r="P13" s="274"/>
      <c r="Q13" s="275">
        <v>1.9000000000000004</v>
      </c>
      <c r="R13" s="276">
        <v>2</v>
      </c>
      <c r="S13" s="277"/>
      <c r="T13" s="272">
        <v>-7</v>
      </c>
      <c r="U13" s="278">
        <v>0</v>
      </c>
      <c r="V13" s="274"/>
      <c r="W13" s="275">
        <v>-1</v>
      </c>
      <c r="X13" s="276">
        <v>1</v>
      </c>
      <c r="Y13" s="277"/>
      <c r="Z13" s="272">
        <v>-5.3333333333333339</v>
      </c>
      <c r="AA13" s="278">
        <v>1</v>
      </c>
      <c r="AB13" s="274"/>
      <c r="AC13" s="275">
        <v>-7</v>
      </c>
      <c r="AD13" s="276">
        <v>0</v>
      </c>
      <c r="AE13" s="277"/>
      <c r="AF13" s="272">
        <v>14.950000000000003</v>
      </c>
      <c r="AG13" s="278">
        <v>2</v>
      </c>
      <c r="AH13" s="274"/>
      <c r="AI13" s="275">
        <v>-5.05</v>
      </c>
      <c r="AJ13" s="276">
        <v>1</v>
      </c>
      <c r="AK13" s="277"/>
      <c r="AL13" s="272">
        <v>3.8125</v>
      </c>
      <c r="AM13" s="278">
        <v>2</v>
      </c>
      <c r="AN13" s="274"/>
      <c r="AO13" s="275">
        <v>-7</v>
      </c>
      <c r="AP13" s="276">
        <v>0</v>
      </c>
      <c r="AQ13" s="277"/>
      <c r="AR13" s="272">
        <v>-4.8</v>
      </c>
      <c r="AS13" s="278">
        <v>1</v>
      </c>
      <c r="AT13" s="274"/>
      <c r="AU13" s="275">
        <v>-7</v>
      </c>
      <c r="AV13" s="276">
        <v>0</v>
      </c>
      <c r="AW13" s="277"/>
      <c r="AX13" s="272">
        <v>-4.95</v>
      </c>
      <c r="AY13" s="278">
        <v>1</v>
      </c>
      <c r="AZ13" s="274"/>
      <c r="BA13" s="275">
        <v>-0.79999999999999982</v>
      </c>
      <c r="BB13" s="276">
        <v>1</v>
      </c>
      <c r="BC13" s="277"/>
      <c r="BD13" s="272">
        <v>-4.9000000000000004</v>
      </c>
      <c r="BE13" s="278">
        <v>1</v>
      </c>
      <c r="BF13" s="274"/>
      <c r="BG13" s="275">
        <v>-3.75</v>
      </c>
      <c r="BH13" s="279">
        <v>1</v>
      </c>
      <c r="BI13" s="277"/>
      <c r="BJ13" s="272">
        <v>20.586249999999996</v>
      </c>
      <c r="BK13" s="278">
        <v>3</v>
      </c>
      <c r="BL13" s="274">
        <v>5</v>
      </c>
      <c r="BM13" s="275">
        <v>-7</v>
      </c>
      <c r="BN13" s="279">
        <v>0</v>
      </c>
      <c r="BO13" s="277"/>
      <c r="BP13" s="272">
        <v>8.5090909090909079</v>
      </c>
      <c r="BQ13" s="278">
        <v>2</v>
      </c>
      <c r="BR13" s="274"/>
      <c r="BS13" s="275">
        <v>-1</v>
      </c>
      <c r="BT13" s="276">
        <v>0</v>
      </c>
      <c r="BU13" s="277"/>
      <c r="BV13" s="275">
        <f t="shared" si="4"/>
        <v>-21.450492424242427</v>
      </c>
      <c r="BW13" s="276">
        <f t="shared" si="5"/>
        <v>20</v>
      </c>
      <c r="BX13" s="277">
        <f t="shared" si="6"/>
        <v>5</v>
      </c>
      <c r="BY13" s="52"/>
      <c r="DX13" s="53"/>
      <c r="DY13" s="53"/>
      <c r="EF13" s="50"/>
      <c r="EG13" s="50"/>
    </row>
    <row r="14" spans="1:137">
      <c r="A14" s="282">
        <f t="shared" si="0"/>
        <v>46</v>
      </c>
      <c r="B14" s="282">
        <f t="shared" si="1"/>
        <v>15</v>
      </c>
      <c r="C14" s="282">
        <v>48</v>
      </c>
      <c r="D14" s="328" t="str">
        <f>INDEX(Table!E:E,MATCH(E14,Table!F:F,0))</f>
        <v>B</v>
      </c>
      <c r="E14" s="268" t="s">
        <v>317</v>
      </c>
      <c r="F14" s="280">
        <f t="shared" si="2"/>
        <v>-45.011874999999996</v>
      </c>
      <c r="G14" s="58">
        <f t="shared" si="3"/>
        <v>19</v>
      </c>
      <c r="H14" s="280">
        <v>1.1000000000000001</v>
      </c>
      <c r="I14" s="148">
        <v>1</v>
      </c>
      <c r="J14" s="270">
        <f t="shared" si="7"/>
        <v>5</v>
      </c>
      <c r="K14" s="271"/>
      <c r="L14" s="271">
        <f>INDEX(Table!N:N,MATCH(E14,Table!F:F,0))</f>
        <v>0</v>
      </c>
      <c r="M14" s="270">
        <f t="shared" si="8"/>
        <v>5</v>
      </c>
      <c r="N14" s="272">
        <v>24.956875000000004</v>
      </c>
      <c r="O14" s="273">
        <v>3</v>
      </c>
      <c r="P14" s="274">
        <v>5</v>
      </c>
      <c r="Q14" s="275">
        <v>-4.4000000000000004</v>
      </c>
      <c r="R14" s="276">
        <v>1</v>
      </c>
      <c r="S14" s="277"/>
      <c r="T14" s="272">
        <v>-7</v>
      </c>
      <c r="U14" s="278">
        <v>0</v>
      </c>
      <c r="V14" s="274"/>
      <c r="W14" s="275">
        <v>-7</v>
      </c>
      <c r="X14" s="276">
        <v>0</v>
      </c>
      <c r="Y14" s="277"/>
      <c r="Z14" s="272">
        <v>-3.9</v>
      </c>
      <c r="AA14" s="278">
        <v>1</v>
      </c>
      <c r="AB14" s="274"/>
      <c r="AC14" s="275">
        <v>-4.375</v>
      </c>
      <c r="AD14" s="276">
        <v>1</v>
      </c>
      <c r="AE14" s="277"/>
      <c r="AF14" s="272">
        <v>1.75</v>
      </c>
      <c r="AG14" s="278">
        <v>2</v>
      </c>
      <c r="AH14" s="274"/>
      <c r="AI14" s="275">
        <v>-2.5</v>
      </c>
      <c r="AJ14" s="276">
        <v>1</v>
      </c>
      <c r="AK14" s="277"/>
      <c r="AL14" s="272">
        <v>-4.5999999999999996</v>
      </c>
      <c r="AM14" s="278">
        <v>1</v>
      </c>
      <c r="AN14" s="274"/>
      <c r="AO14" s="275">
        <v>-4.2</v>
      </c>
      <c r="AP14" s="276">
        <v>1</v>
      </c>
      <c r="AQ14" s="277"/>
      <c r="AR14" s="272">
        <v>-4.625</v>
      </c>
      <c r="AS14" s="278">
        <v>1</v>
      </c>
      <c r="AT14" s="274"/>
      <c r="AU14" s="275">
        <v>-7</v>
      </c>
      <c r="AV14" s="276">
        <v>0</v>
      </c>
      <c r="AW14" s="277"/>
      <c r="AX14" s="272">
        <v>-7</v>
      </c>
      <c r="AY14" s="278">
        <v>0</v>
      </c>
      <c r="AZ14" s="274"/>
      <c r="BA14" s="275">
        <v>-7</v>
      </c>
      <c r="BB14" s="276">
        <v>0</v>
      </c>
      <c r="BC14" s="277"/>
      <c r="BD14" s="272">
        <v>-3.5</v>
      </c>
      <c r="BE14" s="278">
        <v>1</v>
      </c>
      <c r="BF14" s="274"/>
      <c r="BG14" s="275">
        <v>-4.8499999999999996</v>
      </c>
      <c r="BH14" s="279">
        <v>1</v>
      </c>
      <c r="BI14" s="277"/>
      <c r="BJ14" s="272">
        <v>2.6312499999999996</v>
      </c>
      <c r="BK14" s="278">
        <v>2</v>
      </c>
      <c r="BL14" s="274"/>
      <c r="BM14" s="275">
        <v>-3.9</v>
      </c>
      <c r="BN14" s="279">
        <v>1</v>
      </c>
      <c r="BO14" s="277"/>
      <c r="BP14" s="272">
        <v>0.39999999999999991</v>
      </c>
      <c r="BQ14" s="278">
        <v>1</v>
      </c>
      <c r="BR14" s="274"/>
      <c r="BS14" s="275">
        <v>1.1000000000000001</v>
      </c>
      <c r="BT14" s="276">
        <v>1</v>
      </c>
      <c r="BU14" s="277"/>
      <c r="BV14" s="275">
        <f t="shared" si="4"/>
        <v>-45.011874999999996</v>
      </c>
      <c r="BW14" s="276">
        <f t="shared" si="5"/>
        <v>19</v>
      </c>
      <c r="BX14" s="277">
        <f t="shared" si="6"/>
        <v>5</v>
      </c>
      <c r="BY14" s="52"/>
      <c r="DX14" s="53"/>
      <c r="DY14" s="53"/>
      <c r="EF14" s="50"/>
      <c r="EG14" s="50"/>
    </row>
    <row r="15" spans="1:137">
      <c r="A15" s="282">
        <f t="shared" si="0"/>
        <v>8</v>
      </c>
      <c r="B15" s="282">
        <f t="shared" si="1"/>
        <v>8</v>
      </c>
      <c r="C15" s="282">
        <v>9</v>
      </c>
      <c r="D15" s="328" t="str">
        <f>INDEX(Table!E:E,MATCH(E15,Table!F:F,0))</f>
        <v>A</v>
      </c>
      <c r="E15" s="268" t="s">
        <v>323</v>
      </c>
      <c r="F15" s="280">
        <f t="shared" si="2"/>
        <v>36.199999999999996</v>
      </c>
      <c r="G15" s="58">
        <f t="shared" si="3"/>
        <v>21</v>
      </c>
      <c r="H15" s="280">
        <v>7.75</v>
      </c>
      <c r="I15" s="148">
        <v>2</v>
      </c>
      <c r="J15" s="270">
        <f t="shared" si="7"/>
        <v>10</v>
      </c>
      <c r="K15" s="271"/>
      <c r="L15" s="271">
        <f>INDEX(Table!N:N,MATCH(E15,Table!F:F,0))</f>
        <v>55.89</v>
      </c>
      <c r="M15" s="270">
        <f t="shared" si="8"/>
        <v>65.89</v>
      </c>
      <c r="N15" s="272">
        <v>10.719999999999999</v>
      </c>
      <c r="O15" s="273">
        <v>2</v>
      </c>
      <c r="P15" s="274"/>
      <c r="Q15" s="275">
        <v>-3.9</v>
      </c>
      <c r="R15" s="276">
        <v>1</v>
      </c>
      <c r="S15" s="277"/>
      <c r="T15" s="272">
        <v>2.8000000000000007</v>
      </c>
      <c r="U15" s="278">
        <v>2</v>
      </c>
      <c r="V15" s="274"/>
      <c r="W15" s="275">
        <v>-4.75</v>
      </c>
      <c r="X15" s="276">
        <v>1</v>
      </c>
      <c r="Y15" s="277"/>
      <c r="Z15" s="272">
        <v>-7</v>
      </c>
      <c r="AA15" s="278">
        <v>0</v>
      </c>
      <c r="AB15" s="274"/>
      <c r="AC15" s="275">
        <v>-7</v>
      </c>
      <c r="AD15" s="276">
        <v>0</v>
      </c>
      <c r="AE15" s="277"/>
      <c r="AF15" s="272">
        <v>21.7</v>
      </c>
      <c r="AG15" s="278">
        <v>2</v>
      </c>
      <c r="AH15" s="274">
        <v>5</v>
      </c>
      <c r="AI15" s="275">
        <v>-5</v>
      </c>
      <c r="AJ15" s="276">
        <v>1</v>
      </c>
      <c r="AK15" s="277"/>
      <c r="AL15" s="272">
        <v>-4.7</v>
      </c>
      <c r="AM15" s="278">
        <v>1</v>
      </c>
      <c r="AN15" s="274"/>
      <c r="AO15" s="275">
        <v>-3.25</v>
      </c>
      <c r="AP15" s="276">
        <v>1</v>
      </c>
      <c r="AQ15" s="277"/>
      <c r="AR15" s="272">
        <v>2.08</v>
      </c>
      <c r="AS15" s="278">
        <v>2</v>
      </c>
      <c r="AT15" s="274"/>
      <c r="AU15" s="275">
        <v>61</v>
      </c>
      <c r="AV15" s="276">
        <v>2</v>
      </c>
      <c r="AW15" s="277">
        <v>5</v>
      </c>
      <c r="AX15" s="272">
        <v>-3.75</v>
      </c>
      <c r="AY15" s="278">
        <v>1</v>
      </c>
      <c r="AZ15" s="274"/>
      <c r="BA15" s="275">
        <v>-4.25</v>
      </c>
      <c r="BB15" s="276">
        <v>1</v>
      </c>
      <c r="BC15" s="277"/>
      <c r="BD15" s="272">
        <v>-7</v>
      </c>
      <c r="BE15" s="278">
        <v>0</v>
      </c>
      <c r="BF15" s="274"/>
      <c r="BG15" s="275">
        <v>-7</v>
      </c>
      <c r="BH15" s="279">
        <v>0</v>
      </c>
      <c r="BI15" s="277"/>
      <c r="BJ15" s="272">
        <v>1.75</v>
      </c>
      <c r="BK15" s="278">
        <v>2</v>
      </c>
      <c r="BL15" s="274"/>
      <c r="BM15" s="275">
        <v>-7</v>
      </c>
      <c r="BN15" s="279">
        <v>0</v>
      </c>
      <c r="BO15" s="277"/>
      <c r="BP15" s="272">
        <v>-7</v>
      </c>
      <c r="BQ15" s="278">
        <v>0</v>
      </c>
      <c r="BR15" s="274"/>
      <c r="BS15" s="275">
        <v>7.75</v>
      </c>
      <c r="BT15" s="276">
        <v>2</v>
      </c>
      <c r="BU15" s="277"/>
      <c r="BV15" s="275">
        <f t="shared" si="4"/>
        <v>36.200000000000003</v>
      </c>
      <c r="BW15" s="276">
        <f t="shared" si="5"/>
        <v>21</v>
      </c>
      <c r="BX15" s="277">
        <f t="shared" si="6"/>
        <v>10</v>
      </c>
      <c r="BY15" s="52"/>
      <c r="DX15" s="53"/>
      <c r="DY15" s="53"/>
      <c r="EF15" s="50"/>
      <c r="EG15" s="50"/>
    </row>
    <row r="16" spans="1:137">
      <c r="A16" s="282">
        <f t="shared" si="0"/>
        <v>33</v>
      </c>
      <c r="B16" s="282">
        <f t="shared" si="1"/>
        <v>45</v>
      </c>
      <c r="C16" s="282">
        <v>31</v>
      </c>
      <c r="D16" s="328" t="str">
        <f>INDEX(Table!E:E,MATCH(E16,Table!F:F,0))</f>
        <v>C</v>
      </c>
      <c r="E16" s="268" t="s">
        <v>316</v>
      </c>
      <c r="F16" s="280">
        <f t="shared" si="2"/>
        <v>-16.968784826284825</v>
      </c>
      <c r="G16" s="58">
        <f t="shared" si="3"/>
        <v>30</v>
      </c>
      <c r="H16" s="280">
        <v>-4.8499999999999996</v>
      </c>
      <c r="I16" s="148">
        <v>1</v>
      </c>
      <c r="J16" s="270">
        <f t="shared" si="7"/>
        <v>5</v>
      </c>
      <c r="K16" s="271"/>
      <c r="L16" s="271">
        <f>INDEX(Table!N:N,MATCH(E16,Table!F:F,0))</f>
        <v>0</v>
      </c>
      <c r="M16" s="270">
        <f t="shared" si="8"/>
        <v>5</v>
      </c>
      <c r="N16" s="272">
        <v>9.1188811188811201</v>
      </c>
      <c r="O16" s="273">
        <v>3</v>
      </c>
      <c r="P16" s="274"/>
      <c r="Q16" s="275">
        <v>8.2909090909090928</v>
      </c>
      <c r="R16" s="276">
        <v>3</v>
      </c>
      <c r="S16" s="277">
        <v>5</v>
      </c>
      <c r="T16" s="272">
        <v>-3.7</v>
      </c>
      <c r="U16" s="278">
        <v>1</v>
      </c>
      <c r="V16" s="274"/>
      <c r="W16" s="275">
        <v>-4.95</v>
      </c>
      <c r="X16" s="276">
        <v>1</v>
      </c>
      <c r="Y16" s="277"/>
      <c r="Z16" s="272">
        <v>-2.2857142857142865</v>
      </c>
      <c r="AA16" s="278">
        <v>2</v>
      </c>
      <c r="AB16" s="274"/>
      <c r="AC16" s="275">
        <v>-7</v>
      </c>
      <c r="AD16" s="276">
        <v>0</v>
      </c>
      <c r="AE16" s="277"/>
      <c r="AF16" s="272">
        <v>-7</v>
      </c>
      <c r="AG16" s="278">
        <v>0</v>
      </c>
      <c r="AH16" s="274"/>
      <c r="AI16" s="275">
        <v>-1.0674999999999999</v>
      </c>
      <c r="AJ16" s="276">
        <v>2</v>
      </c>
      <c r="AK16" s="277"/>
      <c r="AL16" s="272">
        <v>-0.44642857142857206</v>
      </c>
      <c r="AM16" s="278">
        <v>2</v>
      </c>
      <c r="AN16" s="274"/>
      <c r="AO16" s="275">
        <v>-5.0909090909090908</v>
      </c>
      <c r="AP16" s="276">
        <v>1</v>
      </c>
      <c r="AQ16" s="277"/>
      <c r="AR16" s="272">
        <v>-5.5555555555555554</v>
      </c>
      <c r="AS16" s="278">
        <v>1</v>
      </c>
      <c r="AT16" s="274"/>
      <c r="AU16" s="275">
        <v>-7</v>
      </c>
      <c r="AV16" s="276">
        <v>0</v>
      </c>
      <c r="AW16" s="277"/>
      <c r="AX16" s="272">
        <v>-5.05</v>
      </c>
      <c r="AY16" s="278">
        <v>1</v>
      </c>
      <c r="AZ16" s="274"/>
      <c r="BA16" s="275">
        <v>-5.25</v>
      </c>
      <c r="BB16" s="276">
        <v>1</v>
      </c>
      <c r="BC16" s="277"/>
      <c r="BD16" s="272">
        <v>1.5833333333333339</v>
      </c>
      <c r="BE16" s="278">
        <v>2</v>
      </c>
      <c r="BF16" s="274"/>
      <c r="BG16" s="275">
        <v>-2.8</v>
      </c>
      <c r="BH16" s="279">
        <v>1</v>
      </c>
      <c r="BI16" s="277"/>
      <c r="BJ16" s="272">
        <v>14.18333333333333</v>
      </c>
      <c r="BK16" s="278">
        <v>3</v>
      </c>
      <c r="BL16" s="274"/>
      <c r="BM16" s="275">
        <v>-2.166666666666667</v>
      </c>
      <c r="BN16" s="279">
        <v>2</v>
      </c>
      <c r="BO16" s="277"/>
      <c r="BP16" s="272">
        <v>14.067532467532466</v>
      </c>
      <c r="BQ16" s="278">
        <v>3</v>
      </c>
      <c r="BR16" s="274"/>
      <c r="BS16" s="275">
        <v>-4.8499999999999996</v>
      </c>
      <c r="BT16" s="276">
        <v>1</v>
      </c>
      <c r="BU16" s="277"/>
      <c r="BV16" s="275">
        <f t="shared" si="4"/>
        <v>-16.968784826284828</v>
      </c>
      <c r="BW16" s="276">
        <f t="shared" si="5"/>
        <v>30</v>
      </c>
      <c r="BX16" s="277">
        <f t="shared" si="6"/>
        <v>5</v>
      </c>
      <c r="BY16" s="52"/>
      <c r="DX16" s="53"/>
      <c r="DY16" s="53"/>
      <c r="EF16" s="50"/>
      <c r="EG16" s="50"/>
    </row>
    <row r="17" spans="1:137">
      <c r="A17" s="282">
        <f t="shared" si="0"/>
        <v>59</v>
      </c>
      <c r="B17" s="282">
        <f t="shared" si="1"/>
        <v>50</v>
      </c>
      <c r="C17" s="282">
        <v>59</v>
      </c>
      <c r="D17" s="328" t="str">
        <f>INDEX(Table!E:E,MATCH(E17,Table!F:F,0))</f>
        <v>B</v>
      </c>
      <c r="E17" s="268" t="s">
        <v>324</v>
      </c>
      <c r="F17" s="280">
        <f t="shared" si="2"/>
        <v>-82.536249999999995</v>
      </c>
      <c r="G17" s="58">
        <f t="shared" si="3"/>
        <v>15</v>
      </c>
      <c r="H17" s="280">
        <v>-7</v>
      </c>
      <c r="I17" s="148">
        <v>0</v>
      </c>
      <c r="J17" s="270">
        <f t="shared" si="7"/>
        <v>0</v>
      </c>
      <c r="K17" s="271"/>
      <c r="L17" s="271">
        <f>INDEX(Table!N:N,MATCH(E17,Table!F:F,0))</f>
        <v>0</v>
      </c>
      <c r="M17" s="270">
        <f t="shared" si="8"/>
        <v>0</v>
      </c>
      <c r="N17" s="272">
        <v>3.0500000000000007</v>
      </c>
      <c r="O17" s="273">
        <v>2</v>
      </c>
      <c r="P17" s="274"/>
      <c r="Q17" s="275">
        <v>-4.7</v>
      </c>
      <c r="R17" s="276">
        <v>1</v>
      </c>
      <c r="S17" s="277"/>
      <c r="T17" s="272">
        <v>-3.8</v>
      </c>
      <c r="U17" s="278">
        <v>1</v>
      </c>
      <c r="V17" s="274"/>
      <c r="W17" s="275">
        <v>1.25</v>
      </c>
      <c r="X17" s="276">
        <v>1</v>
      </c>
      <c r="Y17" s="277"/>
      <c r="Z17" s="272">
        <v>-7</v>
      </c>
      <c r="AA17" s="278">
        <v>0</v>
      </c>
      <c r="AB17" s="274"/>
      <c r="AC17" s="275">
        <v>-3.6</v>
      </c>
      <c r="AD17" s="276">
        <v>1</v>
      </c>
      <c r="AE17" s="277"/>
      <c r="AF17" s="272">
        <v>-7</v>
      </c>
      <c r="AG17" s="278">
        <v>0</v>
      </c>
      <c r="AH17" s="274"/>
      <c r="AI17" s="275">
        <v>-7</v>
      </c>
      <c r="AJ17" s="276">
        <v>0</v>
      </c>
      <c r="AK17" s="277"/>
      <c r="AL17" s="272">
        <v>1.9200000000000017</v>
      </c>
      <c r="AM17" s="278">
        <v>2</v>
      </c>
      <c r="AN17" s="274"/>
      <c r="AO17" s="275">
        <v>-4.5</v>
      </c>
      <c r="AP17" s="276">
        <v>1</v>
      </c>
      <c r="AQ17" s="277"/>
      <c r="AR17" s="272">
        <v>-4.625</v>
      </c>
      <c r="AS17" s="278">
        <v>1</v>
      </c>
      <c r="AT17" s="274"/>
      <c r="AU17" s="275">
        <v>-7</v>
      </c>
      <c r="AV17" s="276">
        <v>0</v>
      </c>
      <c r="AW17" s="277"/>
      <c r="AX17" s="272">
        <v>-4.75</v>
      </c>
      <c r="AY17" s="278">
        <v>1</v>
      </c>
      <c r="AZ17" s="274"/>
      <c r="BA17" s="275">
        <v>-7</v>
      </c>
      <c r="BB17" s="276">
        <v>0</v>
      </c>
      <c r="BC17" s="277"/>
      <c r="BD17" s="272">
        <v>-7</v>
      </c>
      <c r="BE17" s="278">
        <v>0</v>
      </c>
      <c r="BF17" s="274"/>
      <c r="BG17" s="275">
        <v>-7</v>
      </c>
      <c r="BH17" s="279">
        <v>0</v>
      </c>
      <c r="BI17" s="277"/>
      <c r="BJ17" s="272">
        <v>-4.8499999999999996</v>
      </c>
      <c r="BK17" s="278">
        <v>1</v>
      </c>
      <c r="BL17" s="274"/>
      <c r="BM17" s="275">
        <v>-4.625</v>
      </c>
      <c r="BN17" s="279">
        <v>1</v>
      </c>
      <c r="BO17" s="277"/>
      <c r="BP17" s="272">
        <v>2.6937499999999996</v>
      </c>
      <c r="BQ17" s="278">
        <v>2</v>
      </c>
      <c r="BR17" s="274"/>
      <c r="BS17" s="275">
        <v>-7</v>
      </c>
      <c r="BT17" s="276">
        <v>0</v>
      </c>
      <c r="BU17" s="277"/>
      <c r="BV17" s="275">
        <f t="shared" si="4"/>
        <v>-82.536249999999995</v>
      </c>
      <c r="BW17" s="276">
        <f t="shared" si="5"/>
        <v>15</v>
      </c>
      <c r="BX17" s="277">
        <f t="shared" si="6"/>
        <v>0</v>
      </c>
      <c r="BY17" s="52"/>
      <c r="DX17" s="53"/>
      <c r="DY17" s="53"/>
      <c r="EF17" s="50"/>
      <c r="EG17" s="50"/>
    </row>
    <row r="18" spans="1:137">
      <c r="A18" s="282">
        <f t="shared" si="0"/>
        <v>45</v>
      </c>
      <c r="B18" s="282">
        <f t="shared" si="1"/>
        <v>23</v>
      </c>
      <c r="C18" s="282">
        <v>45</v>
      </c>
      <c r="D18" s="328" t="str">
        <f>INDEX(Table!E:E,MATCH(E18,Table!F:F,0))</f>
        <v>C</v>
      </c>
      <c r="E18" s="268" t="s">
        <v>320</v>
      </c>
      <c r="F18" s="280">
        <f t="shared" si="2"/>
        <v>-41.166153846153847</v>
      </c>
      <c r="G18" s="58">
        <f t="shared" si="3"/>
        <v>17</v>
      </c>
      <c r="H18" s="280">
        <v>-0.54615384615384599</v>
      </c>
      <c r="I18" s="148">
        <v>2</v>
      </c>
      <c r="J18" s="270">
        <f t="shared" si="7"/>
        <v>5</v>
      </c>
      <c r="K18" s="271"/>
      <c r="L18" s="271">
        <f>INDEX(Table!N:N,MATCH(E18,Table!F:F,0))</f>
        <v>0</v>
      </c>
      <c r="M18" s="270">
        <f t="shared" si="8"/>
        <v>5</v>
      </c>
      <c r="N18" s="272">
        <v>-3.6</v>
      </c>
      <c r="O18" s="273">
        <v>1</v>
      </c>
      <c r="P18" s="274"/>
      <c r="Q18" s="275">
        <v>20.6</v>
      </c>
      <c r="R18" s="276">
        <v>2</v>
      </c>
      <c r="S18" s="277">
        <v>5</v>
      </c>
      <c r="T18" s="272">
        <v>-7</v>
      </c>
      <c r="U18" s="278">
        <v>0</v>
      </c>
      <c r="V18" s="274"/>
      <c r="W18" s="275">
        <v>0.39999999999999991</v>
      </c>
      <c r="X18" s="276">
        <v>1</v>
      </c>
      <c r="Y18" s="277"/>
      <c r="Z18" s="272">
        <v>-7</v>
      </c>
      <c r="AA18" s="278">
        <v>0</v>
      </c>
      <c r="AB18" s="274"/>
      <c r="AC18" s="275">
        <v>-3.6</v>
      </c>
      <c r="AD18" s="276">
        <v>1</v>
      </c>
      <c r="AE18" s="277"/>
      <c r="AF18" s="272">
        <v>1</v>
      </c>
      <c r="AG18" s="278">
        <v>1</v>
      </c>
      <c r="AH18" s="274"/>
      <c r="AI18" s="275">
        <v>-5.3</v>
      </c>
      <c r="AJ18" s="276">
        <v>1</v>
      </c>
      <c r="AK18" s="277"/>
      <c r="AL18" s="272">
        <v>12.280000000000001</v>
      </c>
      <c r="AM18" s="278">
        <v>2</v>
      </c>
      <c r="AN18" s="274"/>
      <c r="AO18" s="275">
        <v>-7</v>
      </c>
      <c r="AP18" s="276">
        <v>0</v>
      </c>
      <c r="AQ18" s="277"/>
      <c r="AR18" s="272">
        <v>-7</v>
      </c>
      <c r="AS18" s="278">
        <v>0</v>
      </c>
      <c r="AT18" s="274"/>
      <c r="AU18" s="275">
        <v>-4.25</v>
      </c>
      <c r="AV18" s="276">
        <v>1</v>
      </c>
      <c r="AW18" s="277"/>
      <c r="AX18" s="272">
        <v>-7</v>
      </c>
      <c r="AY18" s="278">
        <v>0</v>
      </c>
      <c r="AZ18" s="274"/>
      <c r="BA18" s="275">
        <v>-4.3</v>
      </c>
      <c r="BB18" s="276">
        <v>1</v>
      </c>
      <c r="BC18" s="277"/>
      <c r="BD18" s="272">
        <v>-0.5</v>
      </c>
      <c r="BE18" s="278">
        <v>1</v>
      </c>
      <c r="BF18" s="274"/>
      <c r="BG18" s="275">
        <v>-3.4</v>
      </c>
      <c r="BH18" s="279">
        <v>1</v>
      </c>
      <c r="BI18" s="277"/>
      <c r="BJ18" s="272">
        <v>-7</v>
      </c>
      <c r="BK18" s="278">
        <v>0</v>
      </c>
      <c r="BL18" s="274"/>
      <c r="BM18" s="275">
        <v>-2.2000000000000002</v>
      </c>
      <c r="BN18" s="279">
        <v>1</v>
      </c>
      <c r="BO18" s="277"/>
      <c r="BP18" s="272">
        <v>-5.75</v>
      </c>
      <c r="BQ18" s="278">
        <v>1</v>
      </c>
      <c r="BR18" s="274"/>
      <c r="BS18" s="275">
        <v>-0.54615384615384599</v>
      </c>
      <c r="BT18" s="276">
        <v>2</v>
      </c>
      <c r="BU18" s="277"/>
      <c r="BV18" s="275">
        <f t="shared" si="4"/>
        <v>-41.166153846153847</v>
      </c>
      <c r="BW18" s="276">
        <f t="shared" si="5"/>
        <v>17</v>
      </c>
      <c r="BX18" s="277">
        <f t="shared" si="6"/>
        <v>5</v>
      </c>
      <c r="BY18" s="52"/>
      <c r="DX18" s="53"/>
      <c r="DY18" s="53"/>
      <c r="EF18" s="50"/>
      <c r="EG18" s="50"/>
    </row>
    <row r="19" spans="1:137">
      <c r="A19" s="282">
        <f t="shared" si="0"/>
        <v>4</v>
      </c>
      <c r="B19" s="282">
        <f t="shared" si="1"/>
        <v>30</v>
      </c>
      <c r="C19" s="282">
        <v>3</v>
      </c>
      <c r="D19" s="328" t="str">
        <f>INDEX(Table!E:E,MATCH(E19,Table!F:F,0))</f>
        <v>D</v>
      </c>
      <c r="E19" s="268" t="s">
        <v>552</v>
      </c>
      <c r="F19" s="280">
        <f t="shared" si="2"/>
        <v>66.94207459207459</v>
      </c>
      <c r="G19" s="58">
        <f t="shared" si="3"/>
        <v>25</v>
      </c>
      <c r="H19" s="280">
        <v>-1.3</v>
      </c>
      <c r="I19" s="148">
        <v>1</v>
      </c>
      <c r="J19" s="270">
        <f t="shared" si="7"/>
        <v>25</v>
      </c>
      <c r="K19" s="271"/>
      <c r="L19" s="271">
        <f>INDEX(Table!N:N,MATCH(E19,Table!F:F,0))</f>
        <v>17.25</v>
      </c>
      <c r="M19" s="270">
        <f t="shared" si="8"/>
        <v>42.25</v>
      </c>
      <c r="N19" s="272">
        <v>3.0250000000000004</v>
      </c>
      <c r="O19" s="273">
        <v>2</v>
      </c>
      <c r="P19" s="274"/>
      <c r="Q19" s="275">
        <v>-3.4181818181818175</v>
      </c>
      <c r="R19" s="276">
        <v>2</v>
      </c>
      <c r="S19" s="277"/>
      <c r="T19" s="272">
        <v>22.476249999999997</v>
      </c>
      <c r="U19" s="278">
        <v>3</v>
      </c>
      <c r="V19" s="274">
        <v>5</v>
      </c>
      <c r="W19" s="275">
        <v>-7</v>
      </c>
      <c r="X19" s="276">
        <v>0</v>
      </c>
      <c r="Y19" s="277"/>
      <c r="Z19" s="272">
        <v>-7</v>
      </c>
      <c r="AA19" s="278">
        <v>0</v>
      </c>
      <c r="AB19" s="274"/>
      <c r="AC19" s="275">
        <v>-7</v>
      </c>
      <c r="AD19" s="276">
        <v>0</v>
      </c>
      <c r="AE19" s="277"/>
      <c r="AF19" s="272">
        <v>24.431923076923077</v>
      </c>
      <c r="AG19" s="278">
        <v>3</v>
      </c>
      <c r="AH19" s="274">
        <v>5</v>
      </c>
      <c r="AI19" s="275">
        <v>67.96875</v>
      </c>
      <c r="AJ19" s="276">
        <v>3</v>
      </c>
      <c r="AK19" s="277">
        <v>10</v>
      </c>
      <c r="AL19" s="272">
        <v>-3.4</v>
      </c>
      <c r="AM19" s="278">
        <v>1</v>
      </c>
      <c r="AN19" s="274"/>
      <c r="AO19" s="275">
        <v>-3.8</v>
      </c>
      <c r="AP19" s="276">
        <v>1</v>
      </c>
      <c r="AQ19" s="277"/>
      <c r="AR19" s="272">
        <v>-4.75</v>
      </c>
      <c r="AS19" s="278">
        <v>1</v>
      </c>
      <c r="AT19" s="274"/>
      <c r="AU19" s="275">
        <v>-5</v>
      </c>
      <c r="AV19" s="276">
        <v>1</v>
      </c>
      <c r="AW19" s="277"/>
      <c r="AX19" s="272">
        <v>-7</v>
      </c>
      <c r="AY19" s="278">
        <v>0</v>
      </c>
      <c r="AZ19" s="274"/>
      <c r="BA19" s="275">
        <v>-7</v>
      </c>
      <c r="BB19" s="276">
        <v>0</v>
      </c>
      <c r="BC19" s="277"/>
      <c r="BD19" s="272">
        <v>20.875</v>
      </c>
      <c r="BE19" s="278">
        <v>3</v>
      </c>
      <c r="BF19" s="274">
        <v>5</v>
      </c>
      <c r="BG19" s="275">
        <v>-7</v>
      </c>
      <c r="BH19" s="279">
        <v>0</v>
      </c>
      <c r="BI19" s="277"/>
      <c r="BJ19" s="272">
        <v>2.5</v>
      </c>
      <c r="BK19" s="278">
        <v>2</v>
      </c>
      <c r="BL19" s="274"/>
      <c r="BM19" s="275">
        <v>-5.666666666666667</v>
      </c>
      <c r="BN19" s="279">
        <v>1</v>
      </c>
      <c r="BO19" s="277"/>
      <c r="BP19" s="272">
        <v>-5</v>
      </c>
      <c r="BQ19" s="278">
        <v>1</v>
      </c>
      <c r="BR19" s="274"/>
      <c r="BS19" s="275">
        <v>-1.3</v>
      </c>
      <c r="BT19" s="276">
        <v>1</v>
      </c>
      <c r="BU19" s="277"/>
      <c r="BV19" s="275">
        <f t="shared" si="4"/>
        <v>66.942074592074576</v>
      </c>
      <c r="BW19" s="276">
        <f t="shared" si="5"/>
        <v>25</v>
      </c>
      <c r="BX19" s="277">
        <f t="shared" si="6"/>
        <v>25</v>
      </c>
      <c r="BY19" s="52"/>
      <c r="DX19" s="53"/>
      <c r="DY19" s="53"/>
      <c r="EF19" s="50"/>
      <c r="EG19" s="50"/>
    </row>
    <row r="20" spans="1:137">
      <c r="A20" s="282">
        <f t="shared" si="0"/>
        <v>60</v>
      </c>
      <c r="B20" s="282">
        <f t="shared" si="1"/>
        <v>50</v>
      </c>
      <c r="C20" s="282">
        <v>60</v>
      </c>
      <c r="D20" s="328" t="str">
        <f>INDEX(Table!E:E,MATCH(E20,Table!F:F,0))</f>
        <v>D</v>
      </c>
      <c r="E20" s="268" t="s">
        <v>390</v>
      </c>
      <c r="F20" s="280">
        <f t="shared" si="2"/>
        <v>-91.45</v>
      </c>
      <c r="G20" s="58">
        <f t="shared" si="3"/>
        <v>5</v>
      </c>
      <c r="H20" s="280">
        <v>-7</v>
      </c>
      <c r="I20" s="148">
        <v>0</v>
      </c>
      <c r="J20" s="270">
        <f t="shared" si="7"/>
        <v>0</v>
      </c>
      <c r="K20" s="271"/>
      <c r="L20" s="271">
        <f>INDEX(Table!N:N,MATCH(E20,Table!F:F,0))</f>
        <v>0</v>
      </c>
      <c r="M20" s="270">
        <f t="shared" si="8"/>
        <v>0</v>
      </c>
      <c r="N20" s="272">
        <v>-7</v>
      </c>
      <c r="O20" s="273">
        <v>0</v>
      </c>
      <c r="P20" s="274"/>
      <c r="Q20" s="275">
        <v>-7</v>
      </c>
      <c r="R20" s="276">
        <v>0</v>
      </c>
      <c r="S20" s="277"/>
      <c r="T20" s="272">
        <v>-7</v>
      </c>
      <c r="U20" s="278">
        <v>0</v>
      </c>
      <c r="V20" s="274"/>
      <c r="W20" s="275">
        <v>-7</v>
      </c>
      <c r="X20" s="276">
        <v>0</v>
      </c>
      <c r="Y20" s="277"/>
      <c r="Z20" s="272">
        <v>-7</v>
      </c>
      <c r="AA20" s="278">
        <v>0</v>
      </c>
      <c r="AB20" s="274"/>
      <c r="AC20" s="275">
        <v>-7</v>
      </c>
      <c r="AD20" s="276">
        <v>0</v>
      </c>
      <c r="AE20" s="277"/>
      <c r="AF20" s="272">
        <v>1</v>
      </c>
      <c r="AG20" s="278">
        <v>1</v>
      </c>
      <c r="AH20" s="274"/>
      <c r="AI20" s="275">
        <v>-7</v>
      </c>
      <c r="AJ20" s="276">
        <v>0</v>
      </c>
      <c r="AK20" s="277"/>
      <c r="AL20" s="272">
        <v>-7</v>
      </c>
      <c r="AM20" s="278">
        <v>0</v>
      </c>
      <c r="AN20" s="274"/>
      <c r="AO20" s="275">
        <v>-7</v>
      </c>
      <c r="AP20" s="276">
        <v>0</v>
      </c>
      <c r="AQ20" s="277"/>
      <c r="AR20" s="272">
        <v>-1.2000000000000002</v>
      </c>
      <c r="AS20" s="278">
        <v>1</v>
      </c>
      <c r="AT20" s="274"/>
      <c r="AU20" s="275">
        <v>12</v>
      </c>
      <c r="AV20" s="276">
        <v>1</v>
      </c>
      <c r="AW20" s="277"/>
      <c r="AX20" s="272">
        <v>-1.75</v>
      </c>
      <c r="AY20" s="278">
        <v>1</v>
      </c>
      <c r="AZ20" s="274"/>
      <c r="BA20" s="275">
        <v>-7</v>
      </c>
      <c r="BB20" s="276">
        <v>0</v>
      </c>
      <c r="BC20" s="277"/>
      <c r="BD20" s="272">
        <v>-0.5</v>
      </c>
      <c r="BE20" s="278">
        <v>1</v>
      </c>
      <c r="BF20" s="274"/>
      <c r="BG20" s="275">
        <v>-7</v>
      </c>
      <c r="BH20" s="279">
        <v>0</v>
      </c>
      <c r="BI20" s="277"/>
      <c r="BJ20" s="272">
        <v>-7</v>
      </c>
      <c r="BK20" s="278">
        <v>0</v>
      </c>
      <c r="BL20" s="274"/>
      <c r="BM20" s="275">
        <v>-7</v>
      </c>
      <c r="BN20" s="279">
        <v>0</v>
      </c>
      <c r="BO20" s="277"/>
      <c r="BP20" s="272">
        <v>-3</v>
      </c>
      <c r="BQ20" s="278">
        <v>0</v>
      </c>
      <c r="BR20" s="274"/>
      <c r="BS20" s="275">
        <v>-7</v>
      </c>
      <c r="BT20" s="276">
        <v>0</v>
      </c>
      <c r="BU20" s="277"/>
      <c r="BV20" s="275">
        <f t="shared" si="4"/>
        <v>-91.45</v>
      </c>
      <c r="BW20" s="276">
        <f t="shared" si="5"/>
        <v>5</v>
      </c>
      <c r="BX20" s="277">
        <f t="shared" si="6"/>
        <v>0</v>
      </c>
      <c r="BY20" s="52"/>
      <c r="DX20" s="53"/>
      <c r="DY20" s="53"/>
      <c r="EF20" s="50"/>
      <c r="EG20" s="50"/>
    </row>
    <row r="21" spans="1:137">
      <c r="A21" s="282">
        <f t="shared" si="0"/>
        <v>11</v>
      </c>
      <c r="B21" s="282">
        <f t="shared" si="1"/>
        <v>29</v>
      </c>
      <c r="C21" s="282">
        <v>11</v>
      </c>
      <c r="D21" s="328" t="str">
        <f>INDEX(Table!E:E,MATCH(E21,Table!F:F,0))</f>
        <v>B</v>
      </c>
      <c r="E21" s="268" t="s">
        <v>381</v>
      </c>
      <c r="F21" s="280">
        <f t="shared" si="2"/>
        <v>19.671818160472007</v>
      </c>
      <c r="G21" s="58">
        <f t="shared" si="3"/>
        <v>32</v>
      </c>
      <c r="H21" s="280">
        <v>-1.1709401709401703</v>
      </c>
      <c r="I21" s="148">
        <v>2</v>
      </c>
      <c r="J21" s="270">
        <f t="shared" si="7"/>
        <v>10</v>
      </c>
      <c r="K21" s="271">
        <v>5</v>
      </c>
      <c r="L21" s="271">
        <f>INDEX(Table!N:N,MATCH(E21,Table!F:F,0))</f>
        <v>51.75</v>
      </c>
      <c r="M21" s="270">
        <f t="shared" si="8"/>
        <v>66.75</v>
      </c>
      <c r="N21" s="272">
        <v>32.454999999999998</v>
      </c>
      <c r="O21" s="273">
        <v>3</v>
      </c>
      <c r="P21" s="274">
        <v>5</v>
      </c>
      <c r="Q21" s="275">
        <v>-4.625</v>
      </c>
      <c r="R21" s="276">
        <v>1</v>
      </c>
      <c r="S21" s="277"/>
      <c r="T21" s="272">
        <v>2.7100000000000009</v>
      </c>
      <c r="U21" s="278">
        <v>2</v>
      </c>
      <c r="V21" s="274"/>
      <c r="W21" s="275">
        <v>-5.35</v>
      </c>
      <c r="X21" s="276">
        <v>1</v>
      </c>
      <c r="Y21" s="277"/>
      <c r="Z21" s="272">
        <v>-1.1597633136094672</v>
      </c>
      <c r="AA21" s="278">
        <v>2</v>
      </c>
      <c r="AB21" s="274"/>
      <c r="AC21" s="275">
        <v>-4.125</v>
      </c>
      <c r="AD21" s="276">
        <v>1</v>
      </c>
      <c r="AE21" s="277"/>
      <c r="AF21" s="272">
        <v>-7</v>
      </c>
      <c r="AG21" s="278">
        <v>0</v>
      </c>
      <c r="AH21" s="274"/>
      <c r="AI21" s="275">
        <v>0.84999999999999964</v>
      </c>
      <c r="AJ21" s="276">
        <v>2</v>
      </c>
      <c r="AK21" s="277"/>
      <c r="AL21" s="272">
        <v>16.685714285714287</v>
      </c>
      <c r="AM21" s="278">
        <v>3</v>
      </c>
      <c r="AN21" s="274"/>
      <c r="AO21" s="275">
        <v>18.945454545454545</v>
      </c>
      <c r="AP21" s="276">
        <v>3</v>
      </c>
      <c r="AQ21" s="277">
        <v>5</v>
      </c>
      <c r="AR21" s="272">
        <v>0.50499999999999901</v>
      </c>
      <c r="AS21" s="278">
        <v>2</v>
      </c>
      <c r="AT21" s="274"/>
      <c r="AU21" s="275">
        <v>-5.0909090909090908</v>
      </c>
      <c r="AV21" s="276">
        <v>1</v>
      </c>
      <c r="AW21" s="277"/>
      <c r="AX21" s="272">
        <v>-5.3</v>
      </c>
      <c r="AY21" s="278">
        <v>1</v>
      </c>
      <c r="AZ21" s="274"/>
      <c r="BA21" s="275">
        <v>-1.125</v>
      </c>
      <c r="BB21" s="276">
        <v>2</v>
      </c>
      <c r="BC21" s="277"/>
      <c r="BD21" s="272">
        <v>-4.55</v>
      </c>
      <c r="BE21" s="278">
        <v>1</v>
      </c>
      <c r="BF21" s="274"/>
      <c r="BG21" s="275">
        <v>0.11249999999999982</v>
      </c>
      <c r="BH21" s="279">
        <v>2</v>
      </c>
      <c r="BI21" s="277"/>
      <c r="BJ21" s="272">
        <v>-0.66666666666666607</v>
      </c>
      <c r="BK21" s="278">
        <v>2</v>
      </c>
      <c r="BL21" s="274"/>
      <c r="BM21" s="275">
        <v>-7</v>
      </c>
      <c r="BN21" s="279">
        <v>0</v>
      </c>
      <c r="BO21" s="277"/>
      <c r="BP21" s="272">
        <v>-5.4285714285714288</v>
      </c>
      <c r="BQ21" s="278">
        <v>1</v>
      </c>
      <c r="BR21" s="274"/>
      <c r="BS21" s="275">
        <v>-1.1709401709401703</v>
      </c>
      <c r="BT21" s="276">
        <v>2</v>
      </c>
      <c r="BU21" s="277"/>
      <c r="BV21" s="275">
        <f t="shared" si="4"/>
        <v>19.671818160472007</v>
      </c>
      <c r="BW21" s="276">
        <f t="shared" si="5"/>
        <v>32</v>
      </c>
      <c r="BX21" s="277">
        <f t="shared" si="6"/>
        <v>10</v>
      </c>
      <c r="BY21" s="52"/>
      <c r="DX21" s="53"/>
      <c r="DY21" s="53"/>
      <c r="EF21" s="50"/>
      <c r="EG21" s="50"/>
    </row>
    <row r="22" spans="1:137">
      <c r="A22" s="282">
        <f t="shared" si="0"/>
        <v>31</v>
      </c>
      <c r="B22" s="282">
        <f t="shared" si="1"/>
        <v>39</v>
      </c>
      <c r="C22" s="282">
        <v>28</v>
      </c>
      <c r="D22" s="328" t="str">
        <f>INDEX(Table!E:E,MATCH(E22,Table!F:F,0))</f>
        <v>C</v>
      </c>
      <c r="E22" s="268" t="s">
        <v>382</v>
      </c>
      <c r="F22" s="280">
        <f t="shared" si="2"/>
        <v>-11.522113095238101</v>
      </c>
      <c r="G22" s="58">
        <f t="shared" si="3"/>
        <v>28</v>
      </c>
      <c r="H22" s="280">
        <v>-3</v>
      </c>
      <c r="I22" s="148">
        <v>1</v>
      </c>
      <c r="J22" s="270">
        <f t="shared" si="7"/>
        <v>5</v>
      </c>
      <c r="K22" s="271"/>
      <c r="L22" s="271">
        <f>INDEX(Table!N:N,MATCH(E22,Table!F:F,0))</f>
        <v>3.105</v>
      </c>
      <c r="M22" s="270">
        <f t="shared" si="8"/>
        <v>8.1050000000000004</v>
      </c>
      <c r="N22" s="272">
        <v>1.163636363636364</v>
      </c>
      <c r="O22" s="273">
        <v>2</v>
      </c>
      <c r="P22" s="274"/>
      <c r="Q22" s="275">
        <v>-3.8</v>
      </c>
      <c r="R22" s="276">
        <v>1</v>
      </c>
      <c r="S22" s="277"/>
      <c r="T22" s="272">
        <v>2.125</v>
      </c>
      <c r="U22" s="278">
        <v>2</v>
      </c>
      <c r="V22" s="274"/>
      <c r="W22" s="275">
        <v>26.350624999999994</v>
      </c>
      <c r="X22" s="276">
        <v>3</v>
      </c>
      <c r="Y22" s="277">
        <v>5</v>
      </c>
      <c r="Z22" s="272">
        <v>-0.22857142857142954</v>
      </c>
      <c r="AA22" s="278">
        <v>2</v>
      </c>
      <c r="AB22" s="274"/>
      <c r="AC22" s="275">
        <v>-7</v>
      </c>
      <c r="AD22" s="276">
        <v>0</v>
      </c>
      <c r="AE22" s="277"/>
      <c r="AF22" s="272">
        <v>-4.545454545454545</v>
      </c>
      <c r="AG22" s="278">
        <v>1</v>
      </c>
      <c r="AH22" s="274"/>
      <c r="AI22" s="275">
        <v>-7</v>
      </c>
      <c r="AJ22" s="276">
        <v>0</v>
      </c>
      <c r="AK22" s="277"/>
      <c r="AL22" s="272">
        <v>0.25999999999999979</v>
      </c>
      <c r="AM22" s="278">
        <v>2</v>
      </c>
      <c r="AN22" s="274"/>
      <c r="AO22" s="275">
        <v>-3.7</v>
      </c>
      <c r="AP22" s="276">
        <v>1</v>
      </c>
      <c r="AQ22" s="277"/>
      <c r="AR22" s="272">
        <v>4.2181818181818187</v>
      </c>
      <c r="AS22" s="278">
        <v>2</v>
      </c>
      <c r="AT22" s="274"/>
      <c r="AU22" s="275">
        <v>-4.9000000000000004</v>
      </c>
      <c r="AV22" s="276">
        <v>1</v>
      </c>
      <c r="AW22" s="277"/>
      <c r="AX22" s="272">
        <v>-4.8499999999999996</v>
      </c>
      <c r="AY22" s="278">
        <v>1</v>
      </c>
      <c r="AZ22" s="274"/>
      <c r="BA22" s="275">
        <v>-5.6363636363636367</v>
      </c>
      <c r="BB22" s="276">
        <v>1</v>
      </c>
      <c r="BC22" s="277"/>
      <c r="BD22" s="272">
        <v>1.4875000000000007</v>
      </c>
      <c r="BE22" s="278">
        <v>2</v>
      </c>
      <c r="BF22" s="274"/>
      <c r="BG22" s="275">
        <v>-3.5</v>
      </c>
      <c r="BH22" s="279">
        <v>1</v>
      </c>
      <c r="BI22" s="277"/>
      <c r="BJ22" s="272">
        <v>6.8500000000000014</v>
      </c>
      <c r="BK22" s="278">
        <v>2</v>
      </c>
      <c r="BL22" s="274"/>
      <c r="BM22" s="275">
        <v>-0.76666666666666661</v>
      </c>
      <c r="BN22" s="279">
        <v>2</v>
      </c>
      <c r="BO22" s="277"/>
      <c r="BP22" s="272">
        <v>-5.05</v>
      </c>
      <c r="BQ22" s="278">
        <v>1</v>
      </c>
      <c r="BR22" s="274"/>
      <c r="BS22" s="275">
        <v>-3</v>
      </c>
      <c r="BT22" s="276">
        <v>1</v>
      </c>
      <c r="BU22" s="277"/>
      <c r="BV22" s="275">
        <f t="shared" si="4"/>
        <v>-11.522113095238101</v>
      </c>
      <c r="BW22" s="276">
        <f t="shared" si="5"/>
        <v>28</v>
      </c>
      <c r="BX22" s="277">
        <f t="shared" si="6"/>
        <v>5</v>
      </c>
      <c r="BY22" s="52"/>
      <c r="DX22" s="53"/>
      <c r="DY22" s="53"/>
      <c r="EF22" s="50"/>
      <c r="EG22" s="50"/>
    </row>
    <row r="23" spans="1:137">
      <c r="A23" s="282">
        <f t="shared" si="0"/>
        <v>10</v>
      </c>
      <c r="B23" s="282">
        <f t="shared" si="1"/>
        <v>1</v>
      </c>
      <c r="C23" s="282">
        <v>22</v>
      </c>
      <c r="D23" s="328" t="str">
        <f>INDEX(Table!E:E,MATCH(E23,Table!F:F,0))</f>
        <v>D</v>
      </c>
      <c r="E23" s="268" t="s">
        <v>553</v>
      </c>
      <c r="F23" s="280">
        <f t="shared" si="2"/>
        <v>22.895535256410259</v>
      </c>
      <c r="G23" s="58">
        <f t="shared" si="3"/>
        <v>32</v>
      </c>
      <c r="H23" s="280">
        <v>21.781818181818181</v>
      </c>
      <c r="I23" s="148">
        <v>3</v>
      </c>
      <c r="J23" s="270">
        <f t="shared" si="7"/>
        <v>15</v>
      </c>
      <c r="K23" s="271">
        <v>5</v>
      </c>
      <c r="L23" s="271">
        <f>INDEX(Table!N:N,MATCH(E23,Table!F:F,0))</f>
        <v>8.2799999999999994</v>
      </c>
      <c r="M23" s="270">
        <f t="shared" si="8"/>
        <v>28.28</v>
      </c>
      <c r="N23" s="272">
        <v>-1.25</v>
      </c>
      <c r="O23" s="273">
        <v>2</v>
      </c>
      <c r="P23" s="274"/>
      <c r="Q23" s="275">
        <v>0.82000000000000028</v>
      </c>
      <c r="R23" s="276">
        <v>2</v>
      </c>
      <c r="S23" s="277"/>
      <c r="T23" s="272">
        <v>-5.0909090909090908</v>
      </c>
      <c r="U23" s="278">
        <v>1</v>
      </c>
      <c r="V23" s="274"/>
      <c r="W23" s="275">
        <v>-7</v>
      </c>
      <c r="X23" s="276">
        <v>0</v>
      </c>
      <c r="Y23" s="277"/>
      <c r="Z23" s="272">
        <v>-0.67692307692307629</v>
      </c>
      <c r="AA23" s="278">
        <v>2</v>
      </c>
      <c r="AB23" s="274"/>
      <c r="AC23" s="275">
        <v>-5</v>
      </c>
      <c r="AD23" s="276">
        <v>1</v>
      </c>
      <c r="AE23" s="277"/>
      <c r="AF23" s="272">
        <v>-1.5400000000000009</v>
      </c>
      <c r="AG23" s="278">
        <v>2</v>
      </c>
      <c r="AH23" s="274"/>
      <c r="AI23" s="275">
        <v>-1.0674999999999999</v>
      </c>
      <c r="AJ23" s="276">
        <v>2</v>
      </c>
      <c r="AK23" s="277"/>
      <c r="AL23" s="272">
        <v>-4.5999999999999996</v>
      </c>
      <c r="AM23" s="278">
        <v>1</v>
      </c>
      <c r="AN23" s="274"/>
      <c r="AO23" s="275">
        <v>-4.8</v>
      </c>
      <c r="AP23" s="276">
        <v>1</v>
      </c>
      <c r="AQ23" s="277"/>
      <c r="AR23" s="272">
        <v>-5.3</v>
      </c>
      <c r="AS23" s="278">
        <v>1</v>
      </c>
      <c r="AT23" s="274"/>
      <c r="AU23" s="275">
        <v>24.990625000000001</v>
      </c>
      <c r="AV23" s="276">
        <v>3</v>
      </c>
      <c r="AW23" s="277"/>
      <c r="AX23" s="272">
        <v>0.625</v>
      </c>
      <c r="AY23" s="278">
        <v>2</v>
      </c>
      <c r="AZ23" s="274"/>
      <c r="BA23" s="275">
        <v>-0.84999999999999964</v>
      </c>
      <c r="BB23" s="276">
        <v>2</v>
      </c>
      <c r="BC23" s="277"/>
      <c r="BD23" s="272">
        <v>-0.90666666666666718</v>
      </c>
      <c r="BE23" s="278">
        <v>2</v>
      </c>
      <c r="BF23" s="274"/>
      <c r="BG23" s="275">
        <v>-7</v>
      </c>
      <c r="BH23" s="279">
        <v>0</v>
      </c>
      <c r="BI23" s="277"/>
      <c r="BJ23" s="272">
        <v>-5</v>
      </c>
      <c r="BK23" s="278">
        <v>1</v>
      </c>
      <c r="BL23" s="274"/>
      <c r="BM23" s="275">
        <v>-5.0909090909090908</v>
      </c>
      <c r="BN23" s="279">
        <v>1</v>
      </c>
      <c r="BO23" s="277"/>
      <c r="BP23" s="272">
        <v>29.850999999999999</v>
      </c>
      <c r="BQ23" s="278">
        <v>3</v>
      </c>
      <c r="BR23" s="274">
        <v>5</v>
      </c>
      <c r="BS23" s="275">
        <v>21.781818181818181</v>
      </c>
      <c r="BT23" s="276">
        <v>3</v>
      </c>
      <c r="BU23" s="277">
        <v>10</v>
      </c>
      <c r="BV23" s="275">
        <f t="shared" si="4"/>
        <v>22.895535256410259</v>
      </c>
      <c r="BW23" s="276">
        <f t="shared" si="5"/>
        <v>32</v>
      </c>
      <c r="BX23" s="277">
        <f t="shared" si="6"/>
        <v>15</v>
      </c>
      <c r="BY23" s="52"/>
      <c r="DX23" s="53"/>
      <c r="DY23" s="53"/>
      <c r="EF23" s="50"/>
      <c r="EG23" s="50"/>
    </row>
    <row r="24" spans="1:137">
      <c r="A24" s="282">
        <f t="shared" si="0"/>
        <v>35</v>
      </c>
      <c r="B24" s="282">
        <f t="shared" si="1"/>
        <v>22</v>
      </c>
      <c r="C24" s="282">
        <v>34</v>
      </c>
      <c r="D24" s="328" t="str">
        <f>INDEX(Table!E:E,MATCH(E24,Table!F:F,0))</f>
        <v>C</v>
      </c>
      <c r="E24" s="268" t="s">
        <v>460</v>
      </c>
      <c r="F24" s="280">
        <f t="shared" si="2"/>
        <v>-20.029227994227995</v>
      </c>
      <c r="G24" s="58">
        <f t="shared" si="3"/>
        <v>30</v>
      </c>
      <c r="H24" s="280">
        <v>-0.4222222222222225</v>
      </c>
      <c r="I24" s="148">
        <v>2</v>
      </c>
      <c r="J24" s="270">
        <f t="shared" si="7"/>
        <v>5</v>
      </c>
      <c r="K24" s="271"/>
      <c r="L24" s="271">
        <f>INDEX(Table!N:N,MATCH(E24,Table!F:F,0))</f>
        <v>0</v>
      </c>
      <c r="M24" s="270">
        <f t="shared" si="8"/>
        <v>5</v>
      </c>
      <c r="N24" s="272">
        <v>0.1454545454545455</v>
      </c>
      <c r="O24" s="273">
        <v>2</v>
      </c>
      <c r="P24" s="274"/>
      <c r="Q24" s="275">
        <v>18.88</v>
      </c>
      <c r="R24" s="276">
        <v>3</v>
      </c>
      <c r="S24" s="277">
        <v>5</v>
      </c>
      <c r="T24" s="272">
        <v>-5</v>
      </c>
      <c r="U24" s="278">
        <v>1</v>
      </c>
      <c r="V24" s="274"/>
      <c r="W24" s="275">
        <v>-3</v>
      </c>
      <c r="X24" s="276">
        <v>0</v>
      </c>
      <c r="Y24" s="277"/>
      <c r="Z24" s="272">
        <v>-0.44444444444444464</v>
      </c>
      <c r="AA24" s="278">
        <v>2</v>
      </c>
      <c r="AB24" s="274"/>
      <c r="AC24" s="275">
        <v>2.875</v>
      </c>
      <c r="AD24" s="276">
        <v>2</v>
      </c>
      <c r="AE24" s="277"/>
      <c r="AF24" s="272">
        <v>-0.31538461538461515</v>
      </c>
      <c r="AG24" s="278">
        <v>2</v>
      </c>
      <c r="AH24" s="274"/>
      <c r="AI24" s="275">
        <v>-7</v>
      </c>
      <c r="AJ24" s="276">
        <v>0</v>
      </c>
      <c r="AK24" s="277"/>
      <c r="AL24" s="272">
        <v>-0.29999999999999982</v>
      </c>
      <c r="AM24" s="278">
        <v>2</v>
      </c>
      <c r="AN24" s="274"/>
      <c r="AO24" s="275">
        <v>1.6000000000000014</v>
      </c>
      <c r="AP24" s="276">
        <v>2</v>
      </c>
      <c r="AQ24" s="277"/>
      <c r="AR24" s="272">
        <v>-4.95</v>
      </c>
      <c r="AS24" s="278">
        <v>1</v>
      </c>
      <c r="AT24" s="274"/>
      <c r="AU24" s="275">
        <v>-5.25</v>
      </c>
      <c r="AV24" s="276">
        <v>1</v>
      </c>
      <c r="AW24" s="277"/>
      <c r="AX24" s="272">
        <v>-5.3</v>
      </c>
      <c r="AY24" s="278">
        <v>1</v>
      </c>
      <c r="AZ24" s="274"/>
      <c r="BA24" s="275">
        <v>-1.25</v>
      </c>
      <c r="BB24" s="276">
        <v>1</v>
      </c>
      <c r="BC24" s="277"/>
      <c r="BD24" s="272">
        <v>1.6600000000000001</v>
      </c>
      <c r="BE24" s="278">
        <v>2</v>
      </c>
      <c r="BF24" s="274"/>
      <c r="BG24" s="275">
        <v>-1.2444444444444454</v>
      </c>
      <c r="BH24" s="279">
        <v>2</v>
      </c>
      <c r="BI24" s="277"/>
      <c r="BJ24" s="272">
        <v>-5</v>
      </c>
      <c r="BK24" s="278">
        <v>1</v>
      </c>
      <c r="BL24" s="274"/>
      <c r="BM24" s="275">
        <v>-0.28461538461538538</v>
      </c>
      <c r="BN24" s="279">
        <v>2</v>
      </c>
      <c r="BO24" s="277"/>
      <c r="BP24" s="272">
        <v>-5.4285714285714288</v>
      </c>
      <c r="BQ24" s="278">
        <v>1</v>
      </c>
      <c r="BR24" s="274"/>
      <c r="BS24" s="275">
        <v>-0.4222222222222225</v>
      </c>
      <c r="BT24" s="276">
        <v>2</v>
      </c>
      <c r="BU24" s="277"/>
      <c r="BV24" s="275">
        <f t="shared" si="4"/>
        <v>-20.029227994227995</v>
      </c>
      <c r="BW24" s="276">
        <f t="shared" si="5"/>
        <v>30</v>
      </c>
      <c r="BX24" s="277">
        <f t="shared" si="6"/>
        <v>5</v>
      </c>
      <c r="BY24" s="52"/>
      <c r="DX24" s="53"/>
      <c r="DY24" s="53"/>
      <c r="EF24" s="50"/>
      <c r="EG24" s="50"/>
    </row>
    <row r="25" spans="1:137">
      <c r="A25" s="282">
        <f t="shared" si="0"/>
        <v>50</v>
      </c>
      <c r="B25" s="282">
        <f t="shared" si="1"/>
        <v>50</v>
      </c>
      <c r="C25" s="282">
        <v>47</v>
      </c>
      <c r="D25" s="328" t="str">
        <f>INDEX(Table!E:E,MATCH(E25,Table!F:F,0))</f>
        <v>D</v>
      </c>
      <c r="E25" s="268" t="s">
        <v>305</v>
      </c>
      <c r="F25" s="280">
        <f t="shared" si="2"/>
        <v>-52.765000000000001</v>
      </c>
      <c r="G25" s="58">
        <f t="shared" si="3"/>
        <v>18</v>
      </c>
      <c r="H25" s="280">
        <v>-7</v>
      </c>
      <c r="I25" s="148">
        <v>0</v>
      </c>
      <c r="J25" s="270">
        <f t="shared" si="7"/>
        <v>0</v>
      </c>
      <c r="K25" s="271"/>
      <c r="L25" s="271">
        <f>INDEX(Table!N:N,MATCH(E25,Table!F:F,0))</f>
        <v>0</v>
      </c>
      <c r="M25" s="270">
        <f t="shared" si="8"/>
        <v>0</v>
      </c>
      <c r="N25" s="272">
        <v>-3.6</v>
      </c>
      <c r="O25" s="273">
        <v>1</v>
      </c>
      <c r="P25" s="274"/>
      <c r="Q25" s="275">
        <v>-3.4</v>
      </c>
      <c r="R25" s="276">
        <v>1</v>
      </c>
      <c r="S25" s="277"/>
      <c r="T25" s="272">
        <v>11.350000000000001</v>
      </c>
      <c r="U25" s="278">
        <v>2</v>
      </c>
      <c r="V25" s="274"/>
      <c r="W25" s="275">
        <v>0.10000000000000009</v>
      </c>
      <c r="X25" s="276">
        <v>2</v>
      </c>
      <c r="Y25" s="277"/>
      <c r="Z25" s="272">
        <v>1.5999999999999996</v>
      </c>
      <c r="AA25" s="278">
        <v>2</v>
      </c>
      <c r="AB25" s="274"/>
      <c r="AC25" s="275">
        <v>-4.55</v>
      </c>
      <c r="AD25" s="276">
        <v>1</v>
      </c>
      <c r="AE25" s="277"/>
      <c r="AF25" s="272">
        <v>-4.375</v>
      </c>
      <c r="AG25" s="278">
        <v>1</v>
      </c>
      <c r="AH25" s="274"/>
      <c r="AI25" s="275">
        <v>-3.4</v>
      </c>
      <c r="AJ25" s="276">
        <v>1</v>
      </c>
      <c r="AK25" s="277"/>
      <c r="AL25" s="272">
        <v>-7</v>
      </c>
      <c r="AM25" s="278">
        <v>0</v>
      </c>
      <c r="AN25" s="274"/>
      <c r="AO25" s="275">
        <v>-7</v>
      </c>
      <c r="AP25" s="276">
        <v>0</v>
      </c>
      <c r="AQ25" s="277"/>
      <c r="AR25" s="272">
        <v>-3.6</v>
      </c>
      <c r="AS25" s="278">
        <v>1</v>
      </c>
      <c r="AT25" s="274"/>
      <c r="AU25" s="275">
        <v>-4.5</v>
      </c>
      <c r="AV25" s="276">
        <v>1</v>
      </c>
      <c r="AW25" s="277"/>
      <c r="AX25" s="272">
        <v>-7</v>
      </c>
      <c r="AY25" s="278">
        <v>0</v>
      </c>
      <c r="AZ25" s="274"/>
      <c r="BA25" s="275">
        <v>-7</v>
      </c>
      <c r="BB25" s="276">
        <v>0</v>
      </c>
      <c r="BC25" s="277"/>
      <c r="BD25" s="272">
        <v>-7</v>
      </c>
      <c r="BE25" s="278">
        <v>0</v>
      </c>
      <c r="BF25" s="274"/>
      <c r="BG25" s="275">
        <v>-3.5</v>
      </c>
      <c r="BH25" s="279">
        <v>1</v>
      </c>
      <c r="BI25" s="277"/>
      <c r="BJ25" s="272">
        <v>5.8599999999999994</v>
      </c>
      <c r="BK25" s="278">
        <v>2</v>
      </c>
      <c r="BL25" s="274"/>
      <c r="BM25" s="275">
        <v>-7</v>
      </c>
      <c r="BN25" s="279">
        <v>0</v>
      </c>
      <c r="BO25" s="277"/>
      <c r="BP25" s="272">
        <v>8.25</v>
      </c>
      <c r="BQ25" s="278">
        <v>2</v>
      </c>
      <c r="BR25" s="274"/>
      <c r="BS25" s="275">
        <v>-7</v>
      </c>
      <c r="BT25" s="276">
        <v>0</v>
      </c>
      <c r="BU25" s="277"/>
      <c r="BV25" s="275">
        <f t="shared" si="4"/>
        <v>-52.764999999999993</v>
      </c>
      <c r="BW25" s="276">
        <f t="shared" si="5"/>
        <v>18</v>
      </c>
      <c r="BX25" s="277">
        <f t="shared" si="6"/>
        <v>0</v>
      </c>
      <c r="BY25" s="52"/>
      <c r="DX25" s="53"/>
      <c r="DY25" s="53"/>
      <c r="EF25" s="50"/>
      <c r="EG25" s="50"/>
    </row>
    <row r="26" spans="1:137">
      <c r="A26" s="282">
        <f t="shared" si="0"/>
        <v>28</v>
      </c>
      <c r="B26" s="282">
        <f t="shared" si="1"/>
        <v>50</v>
      </c>
      <c r="C26" s="282">
        <v>24</v>
      </c>
      <c r="D26" s="328" t="str">
        <f>INDEX(Table!E:E,MATCH(E26,Table!F:F,0))</f>
        <v>A</v>
      </c>
      <c r="E26" s="268" t="s">
        <v>384</v>
      </c>
      <c r="F26" s="280">
        <f t="shared" si="2"/>
        <v>-8.1312499999999979</v>
      </c>
      <c r="G26" s="58">
        <f t="shared" si="3"/>
        <v>14</v>
      </c>
      <c r="H26" s="280">
        <v>-7</v>
      </c>
      <c r="I26" s="148">
        <v>0</v>
      </c>
      <c r="J26" s="270">
        <f t="shared" si="7"/>
        <v>10</v>
      </c>
      <c r="K26" s="271"/>
      <c r="L26" s="271">
        <f>INDEX(Table!N:N,MATCH(E26,Table!F:F,0))</f>
        <v>0</v>
      </c>
      <c r="M26" s="270">
        <f t="shared" si="8"/>
        <v>10</v>
      </c>
      <c r="N26" s="272">
        <v>-4.75</v>
      </c>
      <c r="O26" s="273">
        <v>1</v>
      </c>
      <c r="P26" s="274"/>
      <c r="Q26" s="275">
        <v>6.4</v>
      </c>
      <c r="R26" s="276">
        <v>2</v>
      </c>
      <c r="S26" s="277"/>
      <c r="T26" s="272">
        <v>-3.8</v>
      </c>
      <c r="U26" s="278">
        <v>1</v>
      </c>
      <c r="V26" s="274"/>
      <c r="W26" s="275">
        <v>-7</v>
      </c>
      <c r="X26" s="276">
        <v>0</v>
      </c>
      <c r="Y26" s="277"/>
      <c r="Z26" s="272">
        <v>-4.375</v>
      </c>
      <c r="AA26" s="278">
        <v>1</v>
      </c>
      <c r="AB26" s="274"/>
      <c r="AC26" s="275">
        <v>-7</v>
      </c>
      <c r="AD26" s="276">
        <v>0</v>
      </c>
      <c r="AE26" s="277"/>
      <c r="AF26" s="272">
        <v>5.140625</v>
      </c>
      <c r="AG26" s="278">
        <v>2</v>
      </c>
      <c r="AH26" s="274"/>
      <c r="AI26" s="275">
        <v>-7</v>
      </c>
      <c r="AJ26" s="276">
        <v>0</v>
      </c>
      <c r="AK26" s="277"/>
      <c r="AL26" s="272">
        <v>-3.2</v>
      </c>
      <c r="AM26" s="278">
        <v>1</v>
      </c>
      <c r="AN26" s="274"/>
      <c r="AO26" s="275">
        <v>71.206249999999997</v>
      </c>
      <c r="AP26" s="276">
        <v>3</v>
      </c>
      <c r="AQ26" s="277">
        <v>10</v>
      </c>
      <c r="AR26" s="272">
        <v>-7</v>
      </c>
      <c r="AS26" s="278">
        <v>0</v>
      </c>
      <c r="AT26" s="274"/>
      <c r="AU26" s="275">
        <v>-7</v>
      </c>
      <c r="AV26" s="276">
        <v>0</v>
      </c>
      <c r="AW26" s="277"/>
      <c r="AX26" s="272">
        <v>-3.8</v>
      </c>
      <c r="AY26" s="278">
        <v>1</v>
      </c>
      <c r="AZ26" s="274"/>
      <c r="BA26" s="275">
        <v>-7</v>
      </c>
      <c r="BB26" s="276">
        <v>0</v>
      </c>
      <c r="BC26" s="277"/>
      <c r="BD26" s="272">
        <v>-7</v>
      </c>
      <c r="BE26" s="278">
        <v>0</v>
      </c>
      <c r="BF26" s="274"/>
      <c r="BG26" s="275">
        <v>-7</v>
      </c>
      <c r="BH26" s="279">
        <v>0</v>
      </c>
      <c r="BI26" s="277"/>
      <c r="BJ26" s="272">
        <v>-7</v>
      </c>
      <c r="BK26" s="278">
        <v>0</v>
      </c>
      <c r="BL26" s="274"/>
      <c r="BM26" s="275">
        <v>-7</v>
      </c>
      <c r="BN26" s="279">
        <v>0</v>
      </c>
      <c r="BO26" s="277"/>
      <c r="BP26" s="272">
        <v>6.046875</v>
      </c>
      <c r="BQ26" s="278">
        <v>2</v>
      </c>
      <c r="BR26" s="274"/>
      <c r="BS26" s="275">
        <v>-7</v>
      </c>
      <c r="BT26" s="276">
        <v>0</v>
      </c>
      <c r="BU26" s="277"/>
      <c r="BV26" s="275">
        <f t="shared" si="4"/>
        <v>-8.1312499999999996</v>
      </c>
      <c r="BW26" s="276">
        <f t="shared" si="5"/>
        <v>14</v>
      </c>
      <c r="BX26" s="277">
        <f t="shared" si="6"/>
        <v>10</v>
      </c>
      <c r="BY26" s="52"/>
      <c r="DX26" s="53"/>
      <c r="DY26" s="53"/>
      <c r="EF26" s="50"/>
      <c r="EG26" s="50"/>
    </row>
    <row r="27" spans="1:137">
      <c r="A27" s="282">
        <f t="shared" si="0"/>
        <v>23</v>
      </c>
      <c r="B27" s="282">
        <f t="shared" si="1"/>
        <v>2</v>
      </c>
      <c r="C27" s="282">
        <v>32</v>
      </c>
      <c r="D27" s="328" t="str">
        <f>INDEX(Table!E:E,MATCH(E27,Table!F:F,0))</f>
        <v>C</v>
      </c>
      <c r="E27" s="268" t="s">
        <v>292</v>
      </c>
      <c r="F27" s="280">
        <f t="shared" si="2"/>
        <v>2.1630538277511988</v>
      </c>
      <c r="G27" s="58">
        <f t="shared" si="3"/>
        <v>30</v>
      </c>
      <c r="H27" s="280">
        <v>16.239249999999998</v>
      </c>
      <c r="I27" s="148">
        <v>3</v>
      </c>
      <c r="J27" s="270">
        <f t="shared" si="7"/>
        <v>5</v>
      </c>
      <c r="K27" s="271"/>
      <c r="L27" s="271">
        <f>INDEX(Table!N:N,MATCH(E27,Table!F:F,0))</f>
        <v>12.42</v>
      </c>
      <c r="M27" s="270">
        <f t="shared" si="8"/>
        <v>17.420000000000002</v>
      </c>
      <c r="N27" s="272">
        <v>8.120000000000001</v>
      </c>
      <c r="O27" s="273">
        <v>2</v>
      </c>
      <c r="P27" s="274"/>
      <c r="Q27" s="275">
        <v>-4.8499999999999996</v>
      </c>
      <c r="R27" s="276">
        <v>1</v>
      </c>
      <c r="S27" s="277"/>
      <c r="T27" s="272">
        <v>-4.375</v>
      </c>
      <c r="U27" s="278">
        <v>1</v>
      </c>
      <c r="V27" s="274"/>
      <c r="W27" s="275">
        <v>-0.95000000000000018</v>
      </c>
      <c r="X27" s="276">
        <v>1</v>
      </c>
      <c r="Y27" s="277"/>
      <c r="Z27" s="272">
        <v>-0.13333333333333464</v>
      </c>
      <c r="AA27" s="278">
        <v>2</v>
      </c>
      <c r="AB27" s="274"/>
      <c r="AC27" s="275">
        <v>-3.6</v>
      </c>
      <c r="AD27" s="276">
        <v>1</v>
      </c>
      <c r="AE27" s="277"/>
      <c r="AF27" s="272">
        <v>-4.0999999999999996</v>
      </c>
      <c r="AG27" s="278">
        <v>1</v>
      </c>
      <c r="AH27" s="274"/>
      <c r="AI27" s="275">
        <v>-0.85</v>
      </c>
      <c r="AJ27" s="276">
        <v>2</v>
      </c>
      <c r="AK27" s="277"/>
      <c r="AL27" s="272">
        <v>-5.25</v>
      </c>
      <c r="AM27" s="278">
        <v>1</v>
      </c>
      <c r="AN27" s="274"/>
      <c r="AO27" s="275">
        <v>-4.8421052631578947</v>
      </c>
      <c r="AP27" s="276">
        <v>1</v>
      </c>
      <c r="AQ27" s="277"/>
      <c r="AR27" s="272">
        <v>-4.75</v>
      </c>
      <c r="AS27" s="278">
        <v>1</v>
      </c>
      <c r="AT27" s="274"/>
      <c r="AU27" s="275">
        <v>-4.25</v>
      </c>
      <c r="AV27" s="276">
        <v>1</v>
      </c>
      <c r="AW27" s="277"/>
      <c r="AX27" s="272">
        <v>-5.3333333333333339</v>
      </c>
      <c r="AY27" s="278">
        <v>1</v>
      </c>
      <c r="AZ27" s="274"/>
      <c r="BA27" s="275">
        <v>-5.25</v>
      </c>
      <c r="BB27" s="276">
        <v>1</v>
      </c>
      <c r="BC27" s="277"/>
      <c r="BD27" s="272">
        <v>7.870000000000001</v>
      </c>
      <c r="BE27" s="278">
        <v>2</v>
      </c>
      <c r="BF27" s="274"/>
      <c r="BG27" s="275">
        <v>-4.583333333333333</v>
      </c>
      <c r="BH27" s="279">
        <v>1</v>
      </c>
      <c r="BI27" s="277"/>
      <c r="BJ27" s="272">
        <v>2.7100000000000009</v>
      </c>
      <c r="BK27" s="278">
        <v>2</v>
      </c>
      <c r="BL27" s="274"/>
      <c r="BM27" s="275">
        <v>0.45000000000000018</v>
      </c>
      <c r="BN27" s="279">
        <v>2</v>
      </c>
      <c r="BO27" s="277"/>
      <c r="BP27" s="272">
        <v>19.890909090909091</v>
      </c>
      <c r="BQ27" s="278">
        <v>3</v>
      </c>
      <c r="BR27" s="274"/>
      <c r="BS27" s="275">
        <v>16.239249999999998</v>
      </c>
      <c r="BT27" s="276">
        <v>3</v>
      </c>
      <c r="BU27" s="277">
        <v>5</v>
      </c>
      <c r="BV27" s="275">
        <f t="shared" si="4"/>
        <v>2.1630538277511997</v>
      </c>
      <c r="BW27" s="276">
        <f t="shared" si="5"/>
        <v>30</v>
      </c>
      <c r="BX27" s="277">
        <f t="shared" si="6"/>
        <v>5</v>
      </c>
      <c r="BY27" s="52"/>
      <c r="DX27" s="53"/>
      <c r="DY27" s="53"/>
      <c r="EF27" s="50"/>
      <c r="EG27" s="50"/>
    </row>
    <row r="28" spans="1:137">
      <c r="A28" s="282">
        <f t="shared" si="0"/>
        <v>16</v>
      </c>
      <c r="B28" s="282">
        <f t="shared" si="1"/>
        <v>48</v>
      </c>
      <c r="C28" s="282">
        <v>13</v>
      </c>
      <c r="D28" s="328" t="str">
        <f>INDEX(Table!E:E,MATCH(E28,Table!F:F,0))</f>
        <v>B</v>
      </c>
      <c r="E28" s="268" t="s">
        <v>311</v>
      </c>
      <c r="F28" s="280">
        <f t="shared" si="2"/>
        <v>12.59226519159853</v>
      </c>
      <c r="G28" s="58">
        <f t="shared" si="3"/>
        <v>30</v>
      </c>
      <c r="H28" s="280">
        <v>-5.5555555555555554</v>
      </c>
      <c r="I28" s="148">
        <v>1</v>
      </c>
      <c r="J28" s="270">
        <f t="shared" si="7"/>
        <v>5</v>
      </c>
      <c r="K28" s="271"/>
      <c r="L28" s="271">
        <f>INDEX(Table!N:N,MATCH(E28,Table!F:F,0))</f>
        <v>24.84</v>
      </c>
      <c r="M28" s="270">
        <f t="shared" si="8"/>
        <v>29.84</v>
      </c>
      <c r="N28" s="272">
        <v>20.224000000000004</v>
      </c>
      <c r="O28" s="273">
        <v>3</v>
      </c>
      <c r="P28" s="274"/>
      <c r="Q28" s="275">
        <v>5.5300000000000011</v>
      </c>
      <c r="R28" s="276">
        <v>2</v>
      </c>
      <c r="S28" s="277"/>
      <c r="T28" s="272">
        <v>-3.5</v>
      </c>
      <c r="U28" s="278">
        <v>1</v>
      </c>
      <c r="V28" s="274"/>
      <c r="W28" s="275">
        <v>-7</v>
      </c>
      <c r="X28" s="276">
        <v>0</v>
      </c>
      <c r="Y28" s="277"/>
      <c r="Z28" s="272">
        <v>-5.1666666666666661</v>
      </c>
      <c r="AA28" s="278">
        <v>1</v>
      </c>
      <c r="AB28" s="274"/>
      <c r="AC28" s="275">
        <v>-3.75</v>
      </c>
      <c r="AD28" s="276">
        <v>1</v>
      </c>
      <c r="AE28" s="277"/>
      <c r="AF28" s="272">
        <v>-2.5999999999999996</v>
      </c>
      <c r="AG28" s="278">
        <v>1</v>
      </c>
      <c r="AH28" s="274"/>
      <c r="AI28" s="275">
        <v>4.545454545454497E-2</v>
      </c>
      <c r="AJ28" s="276">
        <v>2</v>
      </c>
      <c r="AK28" s="277"/>
      <c r="AL28" s="272">
        <v>2.2506172839506178</v>
      </c>
      <c r="AM28" s="278">
        <v>3</v>
      </c>
      <c r="AN28" s="274"/>
      <c r="AO28" s="275">
        <v>-5.4285714285714288</v>
      </c>
      <c r="AP28" s="276">
        <v>1</v>
      </c>
      <c r="AQ28" s="277"/>
      <c r="AR28" s="272">
        <v>-0.4399999999999995</v>
      </c>
      <c r="AS28" s="278">
        <v>2</v>
      </c>
      <c r="AT28" s="274"/>
      <c r="AU28" s="275">
        <v>-7</v>
      </c>
      <c r="AV28" s="276">
        <v>0</v>
      </c>
      <c r="AW28" s="277"/>
      <c r="AX28" s="272">
        <v>8.1499999999999986</v>
      </c>
      <c r="AY28" s="278">
        <v>2</v>
      </c>
      <c r="AZ28" s="274"/>
      <c r="BA28" s="275">
        <v>-0.5</v>
      </c>
      <c r="BB28" s="276">
        <v>2</v>
      </c>
      <c r="BC28" s="277"/>
      <c r="BD28" s="272">
        <v>17.701818181818183</v>
      </c>
      <c r="BE28" s="278">
        <v>3</v>
      </c>
      <c r="BF28" s="274">
        <v>5</v>
      </c>
      <c r="BG28" s="275">
        <v>-7</v>
      </c>
      <c r="BH28" s="279">
        <v>0</v>
      </c>
      <c r="BI28" s="277"/>
      <c r="BJ28" s="272">
        <v>-7</v>
      </c>
      <c r="BK28" s="278">
        <v>0</v>
      </c>
      <c r="BL28" s="274"/>
      <c r="BM28" s="275">
        <v>-0.43636363636363562</v>
      </c>
      <c r="BN28" s="279">
        <v>2</v>
      </c>
      <c r="BO28" s="277"/>
      <c r="BP28" s="272">
        <v>14.067532467532466</v>
      </c>
      <c r="BQ28" s="278">
        <v>3</v>
      </c>
      <c r="BR28" s="274"/>
      <c r="BS28" s="275">
        <v>-5.5555555555555554</v>
      </c>
      <c r="BT28" s="276">
        <v>1</v>
      </c>
      <c r="BU28" s="277"/>
      <c r="BV28" s="275">
        <f t="shared" si="4"/>
        <v>12.59226519159853</v>
      </c>
      <c r="BW28" s="276">
        <f t="shared" si="5"/>
        <v>30</v>
      </c>
      <c r="BX28" s="277">
        <f t="shared" si="6"/>
        <v>5</v>
      </c>
      <c r="BY28" s="52"/>
      <c r="DX28" s="53"/>
      <c r="DY28" s="53"/>
      <c r="EF28" s="50"/>
      <c r="EG28" s="50"/>
    </row>
    <row r="29" spans="1:137">
      <c r="A29" s="282">
        <f t="shared" si="0"/>
        <v>7</v>
      </c>
      <c r="B29" s="282">
        <f t="shared" si="1"/>
        <v>39</v>
      </c>
      <c r="C29" s="282">
        <v>6</v>
      </c>
      <c r="D29" s="328" t="str">
        <f>INDEX(Table!E:E,MATCH(E29,Table!F:F,0))</f>
        <v>D</v>
      </c>
      <c r="E29" s="268" t="s">
        <v>389</v>
      </c>
      <c r="F29" s="280">
        <f t="shared" si="2"/>
        <v>42.988749999999989</v>
      </c>
      <c r="G29" s="58">
        <f t="shared" si="3"/>
        <v>19</v>
      </c>
      <c r="H29" s="280">
        <v>-3</v>
      </c>
      <c r="I29" s="148">
        <v>0</v>
      </c>
      <c r="J29" s="270">
        <f t="shared" si="7"/>
        <v>20</v>
      </c>
      <c r="K29" s="271"/>
      <c r="L29" s="271">
        <f>INDEX(Table!N:N,MATCH(E29,Table!F:F,0))</f>
        <v>12.42</v>
      </c>
      <c r="M29" s="270">
        <f t="shared" si="8"/>
        <v>32.42</v>
      </c>
      <c r="N29" s="272">
        <v>10.039999999999999</v>
      </c>
      <c r="O29" s="273">
        <v>2</v>
      </c>
      <c r="P29" s="274"/>
      <c r="Q29" s="275">
        <v>-7</v>
      </c>
      <c r="R29" s="276">
        <v>0</v>
      </c>
      <c r="S29" s="277"/>
      <c r="T29" s="272">
        <v>-7</v>
      </c>
      <c r="U29" s="278">
        <v>0</v>
      </c>
      <c r="V29" s="274"/>
      <c r="W29" s="275">
        <v>-7</v>
      </c>
      <c r="X29" s="276">
        <v>0</v>
      </c>
      <c r="Y29" s="277"/>
      <c r="Z29" s="272">
        <v>-3.9</v>
      </c>
      <c r="AA29" s="278">
        <v>1</v>
      </c>
      <c r="AB29" s="274"/>
      <c r="AC29" s="275">
        <v>-7</v>
      </c>
      <c r="AD29" s="276">
        <v>0</v>
      </c>
      <c r="AE29" s="277"/>
      <c r="AF29" s="272">
        <v>-4.7</v>
      </c>
      <c r="AG29" s="278">
        <v>1</v>
      </c>
      <c r="AH29" s="274"/>
      <c r="AI29" s="275">
        <v>-7</v>
      </c>
      <c r="AJ29" s="276">
        <v>0</v>
      </c>
      <c r="AK29" s="277"/>
      <c r="AL29" s="272">
        <v>8.77</v>
      </c>
      <c r="AM29" s="278">
        <v>2</v>
      </c>
      <c r="AN29" s="274"/>
      <c r="AO29" s="275">
        <v>3.4187499999999993</v>
      </c>
      <c r="AP29" s="276">
        <v>2</v>
      </c>
      <c r="AQ29" s="277"/>
      <c r="AR29" s="272">
        <v>7.5400000000000009</v>
      </c>
      <c r="AS29" s="278">
        <v>2</v>
      </c>
      <c r="AT29" s="274">
        <v>5</v>
      </c>
      <c r="AU29" s="275">
        <v>-7</v>
      </c>
      <c r="AV29" s="276">
        <v>0</v>
      </c>
      <c r="AW29" s="277"/>
      <c r="AX29" s="272">
        <v>-7</v>
      </c>
      <c r="AY29" s="278">
        <v>0</v>
      </c>
      <c r="AZ29" s="274"/>
      <c r="BA29" s="275">
        <v>8.2799999999999994</v>
      </c>
      <c r="BB29" s="276">
        <v>2</v>
      </c>
      <c r="BC29" s="277">
        <v>5</v>
      </c>
      <c r="BD29" s="272">
        <v>-7</v>
      </c>
      <c r="BE29" s="278">
        <v>0</v>
      </c>
      <c r="BF29" s="274"/>
      <c r="BG29" s="275">
        <v>-4.2</v>
      </c>
      <c r="BH29" s="279">
        <v>1</v>
      </c>
      <c r="BI29" s="277"/>
      <c r="BJ29" s="272">
        <v>5.23</v>
      </c>
      <c r="BK29" s="278">
        <v>2</v>
      </c>
      <c r="BL29" s="274"/>
      <c r="BM29" s="275">
        <v>75.809999999999988</v>
      </c>
      <c r="BN29" s="279">
        <v>3</v>
      </c>
      <c r="BO29" s="277">
        <v>10</v>
      </c>
      <c r="BP29" s="272">
        <v>-4.3</v>
      </c>
      <c r="BQ29" s="278">
        <v>1</v>
      </c>
      <c r="BR29" s="274"/>
      <c r="BS29" s="275">
        <v>-3</v>
      </c>
      <c r="BT29" s="276">
        <v>0</v>
      </c>
      <c r="BU29" s="277"/>
      <c r="BV29" s="275">
        <f t="shared" si="4"/>
        <v>42.988749999999996</v>
      </c>
      <c r="BW29" s="276">
        <f t="shared" si="5"/>
        <v>19</v>
      </c>
      <c r="BX29" s="277">
        <f t="shared" si="6"/>
        <v>20</v>
      </c>
      <c r="BY29" s="52"/>
      <c r="DX29" s="53"/>
      <c r="DY29" s="53"/>
      <c r="EF29" s="50"/>
      <c r="EG29" s="50"/>
    </row>
    <row r="30" spans="1:137">
      <c r="A30" s="282">
        <f t="shared" si="0"/>
        <v>48</v>
      </c>
      <c r="B30" s="282">
        <f t="shared" si="1"/>
        <v>30</v>
      </c>
      <c r="C30" s="282">
        <v>51</v>
      </c>
      <c r="D30" s="328" t="str">
        <f>INDEX(Table!E:E,MATCH(E30,Table!F:F,0))</f>
        <v>C</v>
      </c>
      <c r="E30" s="268" t="s">
        <v>321</v>
      </c>
      <c r="F30" s="280">
        <f t="shared" si="2"/>
        <v>-52.223883061383056</v>
      </c>
      <c r="G30" s="58">
        <f t="shared" si="3"/>
        <v>21</v>
      </c>
      <c r="H30" s="280">
        <v>-1.3</v>
      </c>
      <c r="I30" s="148">
        <v>2</v>
      </c>
      <c r="J30" s="270">
        <f t="shared" si="7"/>
        <v>0</v>
      </c>
      <c r="K30" s="271"/>
      <c r="L30" s="271">
        <f>INDEX(Table!N:N,MATCH(E30,Table!F:F,0))</f>
        <v>0</v>
      </c>
      <c r="M30" s="270">
        <f t="shared" si="8"/>
        <v>0</v>
      </c>
      <c r="N30" s="272">
        <v>-5.0909090909090908</v>
      </c>
      <c r="O30" s="273">
        <v>1</v>
      </c>
      <c r="P30" s="274"/>
      <c r="Q30" s="275">
        <v>-5.2</v>
      </c>
      <c r="R30" s="276">
        <v>1</v>
      </c>
      <c r="S30" s="277"/>
      <c r="T30" s="272">
        <v>-0.36363636363636331</v>
      </c>
      <c r="U30" s="278">
        <v>2</v>
      </c>
      <c r="V30" s="274"/>
      <c r="W30" s="275">
        <v>-3.75</v>
      </c>
      <c r="X30" s="276">
        <v>1</v>
      </c>
      <c r="Y30" s="277"/>
      <c r="Z30" s="272">
        <v>-7</v>
      </c>
      <c r="AA30" s="278">
        <v>0</v>
      </c>
      <c r="AB30" s="274"/>
      <c r="AC30" s="275">
        <v>-7</v>
      </c>
      <c r="AD30" s="276">
        <v>0</v>
      </c>
      <c r="AE30" s="277"/>
      <c r="AF30" s="272">
        <v>-7</v>
      </c>
      <c r="AG30" s="278">
        <v>0</v>
      </c>
      <c r="AH30" s="274"/>
      <c r="AI30" s="275">
        <v>-7</v>
      </c>
      <c r="AJ30" s="276">
        <v>0</v>
      </c>
      <c r="AK30" s="277"/>
      <c r="AL30" s="272">
        <v>16.300000000000004</v>
      </c>
      <c r="AM30" s="278">
        <v>3</v>
      </c>
      <c r="AN30" s="274"/>
      <c r="AO30" s="275">
        <v>-5.4</v>
      </c>
      <c r="AP30" s="276">
        <v>1</v>
      </c>
      <c r="AQ30" s="277"/>
      <c r="AR30" s="272">
        <v>-4.625</v>
      </c>
      <c r="AS30" s="278">
        <v>1</v>
      </c>
      <c r="AT30" s="274"/>
      <c r="AU30" s="275">
        <v>3.8125</v>
      </c>
      <c r="AV30" s="276">
        <v>2</v>
      </c>
      <c r="AW30" s="277"/>
      <c r="AX30" s="272">
        <v>-7</v>
      </c>
      <c r="AY30" s="278">
        <v>0</v>
      </c>
      <c r="AZ30" s="274"/>
      <c r="BA30" s="275">
        <v>-5.25</v>
      </c>
      <c r="BB30" s="276">
        <v>1</v>
      </c>
      <c r="BC30" s="277"/>
      <c r="BD30" s="272">
        <v>-5.2222222222222223</v>
      </c>
      <c r="BE30" s="278">
        <v>1</v>
      </c>
      <c r="BF30" s="274"/>
      <c r="BG30" s="275">
        <v>-3.5</v>
      </c>
      <c r="BH30" s="279">
        <v>1</v>
      </c>
      <c r="BI30" s="277"/>
      <c r="BJ30" s="272">
        <v>7.75</v>
      </c>
      <c r="BK30" s="278">
        <v>2</v>
      </c>
      <c r="BL30" s="274"/>
      <c r="BM30" s="275">
        <v>-5.384615384615385</v>
      </c>
      <c r="BN30" s="279">
        <v>1</v>
      </c>
      <c r="BO30" s="277"/>
      <c r="BP30" s="272">
        <v>0</v>
      </c>
      <c r="BQ30" s="278">
        <v>1</v>
      </c>
      <c r="BR30" s="274"/>
      <c r="BS30" s="275">
        <v>-1.3</v>
      </c>
      <c r="BT30" s="276">
        <v>2</v>
      </c>
      <c r="BU30" s="277"/>
      <c r="BV30" s="275">
        <f t="shared" si="4"/>
        <v>-52.223883061383063</v>
      </c>
      <c r="BW30" s="276">
        <f t="shared" si="5"/>
        <v>21</v>
      </c>
      <c r="BX30" s="277">
        <f t="shared" si="6"/>
        <v>0</v>
      </c>
      <c r="BY30" s="52"/>
      <c r="DX30" s="53"/>
      <c r="DY30" s="53"/>
      <c r="EF30" s="50"/>
      <c r="EG30" s="50"/>
    </row>
    <row r="31" spans="1:137">
      <c r="A31" s="282">
        <f t="shared" si="0"/>
        <v>58</v>
      </c>
      <c r="B31" s="282">
        <f t="shared" si="1"/>
        <v>50</v>
      </c>
      <c r="C31" s="282">
        <v>57</v>
      </c>
      <c r="D31" s="328" t="str">
        <f>INDEX(Table!E:E,MATCH(E31,Table!F:F,0))</f>
        <v>B</v>
      </c>
      <c r="E31" s="268" t="s">
        <v>336</v>
      </c>
      <c r="F31" s="280">
        <f t="shared" si="2"/>
        <v>-66.910800865800866</v>
      </c>
      <c r="G31" s="58">
        <f t="shared" si="3"/>
        <v>17</v>
      </c>
      <c r="H31" s="280">
        <v>-7</v>
      </c>
      <c r="I31" s="148">
        <v>0</v>
      </c>
      <c r="J31" s="270">
        <f t="shared" si="7"/>
        <v>0</v>
      </c>
      <c r="K31" s="271"/>
      <c r="L31" s="271">
        <f>INDEX(Table!N:N,MATCH(E31,Table!F:F,0))</f>
        <v>0</v>
      </c>
      <c r="M31" s="270">
        <f t="shared" si="8"/>
        <v>0</v>
      </c>
      <c r="N31" s="272">
        <v>-7</v>
      </c>
      <c r="O31" s="273">
        <v>0</v>
      </c>
      <c r="P31" s="274"/>
      <c r="Q31" s="275">
        <v>-4.625</v>
      </c>
      <c r="R31" s="276">
        <v>1</v>
      </c>
      <c r="S31" s="277"/>
      <c r="T31" s="272">
        <v>-7</v>
      </c>
      <c r="U31" s="278">
        <v>0</v>
      </c>
      <c r="V31" s="274"/>
      <c r="W31" s="275">
        <v>-3</v>
      </c>
      <c r="X31" s="276">
        <v>0</v>
      </c>
      <c r="Y31" s="277"/>
      <c r="Z31" s="272">
        <v>-5.7142857142857144</v>
      </c>
      <c r="AA31" s="278">
        <v>1</v>
      </c>
      <c r="AB31" s="274"/>
      <c r="AC31" s="275">
        <v>-4.4000000000000004</v>
      </c>
      <c r="AD31" s="276">
        <v>1</v>
      </c>
      <c r="AE31" s="277"/>
      <c r="AF31" s="272">
        <v>-7</v>
      </c>
      <c r="AG31" s="278">
        <v>0</v>
      </c>
      <c r="AH31" s="274"/>
      <c r="AI31" s="275">
        <v>-7</v>
      </c>
      <c r="AJ31" s="276">
        <v>0</v>
      </c>
      <c r="AK31" s="277"/>
      <c r="AL31" s="272">
        <v>-3.8</v>
      </c>
      <c r="AM31" s="278">
        <v>1</v>
      </c>
      <c r="AN31" s="274"/>
      <c r="AO31" s="275">
        <v>-4.4000000000000004</v>
      </c>
      <c r="AP31" s="276">
        <v>1</v>
      </c>
      <c r="AQ31" s="277"/>
      <c r="AR31" s="272">
        <v>-5.45</v>
      </c>
      <c r="AS31" s="278">
        <v>1</v>
      </c>
      <c r="AT31" s="274"/>
      <c r="AU31" s="275">
        <v>-3.4</v>
      </c>
      <c r="AV31" s="276">
        <v>1</v>
      </c>
      <c r="AW31" s="277"/>
      <c r="AX31" s="272">
        <v>-5.3333333333333339</v>
      </c>
      <c r="AY31" s="278">
        <v>1</v>
      </c>
      <c r="AZ31" s="274"/>
      <c r="BA31" s="275">
        <v>-4.4000000000000004</v>
      </c>
      <c r="BB31" s="276">
        <v>1</v>
      </c>
      <c r="BC31" s="277"/>
      <c r="BD31" s="272">
        <v>-2</v>
      </c>
      <c r="BE31" s="278">
        <v>1</v>
      </c>
      <c r="BF31" s="274"/>
      <c r="BG31" s="275">
        <v>-4.95</v>
      </c>
      <c r="BH31" s="279">
        <v>1</v>
      </c>
      <c r="BI31" s="277"/>
      <c r="BJ31" s="272">
        <v>13.45</v>
      </c>
      <c r="BK31" s="278">
        <v>2</v>
      </c>
      <c r="BL31" s="274"/>
      <c r="BM31" s="275">
        <v>5.5299999999999994</v>
      </c>
      <c r="BN31" s="279">
        <v>2</v>
      </c>
      <c r="BO31" s="277"/>
      <c r="BP31" s="272">
        <v>0.58181818181818201</v>
      </c>
      <c r="BQ31" s="278">
        <v>2</v>
      </c>
      <c r="BR31" s="274"/>
      <c r="BS31" s="275">
        <v>-7</v>
      </c>
      <c r="BT31" s="276">
        <v>0</v>
      </c>
      <c r="BU31" s="277"/>
      <c r="BV31" s="275">
        <f t="shared" si="4"/>
        <v>-66.910800865800866</v>
      </c>
      <c r="BW31" s="276">
        <f t="shared" si="5"/>
        <v>17</v>
      </c>
      <c r="BX31" s="277">
        <f t="shared" si="6"/>
        <v>0</v>
      </c>
      <c r="BY31" s="52"/>
      <c r="DX31" s="53"/>
      <c r="DY31" s="53"/>
      <c r="EF31" s="50"/>
      <c r="EG31" s="50"/>
    </row>
    <row r="32" spans="1:137" ht="13.35" customHeight="1">
      <c r="A32" s="282">
        <f t="shared" si="0"/>
        <v>57</v>
      </c>
      <c r="B32" s="282">
        <f t="shared" si="1"/>
        <v>9</v>
      </c>
      <c r="C32" s="282">
        <v>58</v>
      </c>
      <c r="D32" s="328" t="str">
        <f>INDEX(Table!E:E,MATCH(E32,Table!F:F,0))</f>
        <v>D</v>
      </c>
      <c r="E32" s="268" t="s">
        <v>550</v>
      </c>
      <c r="F32" s="280">
        <f t="shared" si="2"/>
        <v>-64.806262626262622</v>
      </c>
      <c r="G32" s="58">
        <f t="shared" si="3"/>
        <v>15</v>
      </c>
      <c r="H32" s="280">
        <v>5.0555555555555554</v>
      </c>
      <c r="I32" s="148">
        <v>2</v>
      </c>
      <c r="J32" s="270">
        <f t="shared" si="7"/>
        <v>5</v>
      </c>
      <c r="K32" s="271"/>
      <c r="L32" s="271">
        <f>INDEX(Table!N:N,MATCH(E32,Table!F:F,0))</f>
        <v>0</v>
      </c>
      <c r="M32" s="270">
        <f t="shared" si="8"/>
        <v>5</v>
      </c>
      <c r="N32" s="272">
        <v>12.149999999999999</v>
      </c>
      <c r="O32" s="273">
        <v>2</v>
      </c>
      <c r="P32" s="274"/>
      <c r="Q32" s="275">
        <v>-7</v>
      </c>
      <c r="R32" s="276">
        <v>0</v>
      </c>
      <c r="S32" s="277"/>
      <c r="T32" s="272">
        <v>-7</v>
      </c>
      <c r="U32" s="278">
        <v>0</v>
      </c>
      <c r="V32" s="274"/>
      <c r="W32" s="275">
        <v>-3.75</v>
      </c>
      <c r="X32" s="276">
        <v>1</v>
      </c>
      <c r="Y32" s="277"/>
      <c r="Z32" s="272">
        <v>-7</v>
      </c>
      <c r="AA32" s="278">
        <v>0</v>
      </c>
      <c r="AB32" s="274"/>
      <c r="AC32" s="275">
        <v>-7</v>
      </c>
      <c r="AD32" s="276">
        <v>0</v>
      </c>
      <c r="AE32" s="277"/>
      <c r="AF32" s="272">
        <v>18.738181818181818</v>
      </c>
      <c r="AG32" s="278">
        <v>3</v>
      </c>
      <c r="AH32" s="274">
        <v>5</v>
      </c>
      <c r="AI32" s="275">
        <v>-4.95</v>
      </c>
      <c r="AJ32" s="276">
        <v>1</v>
      </c>
      <c r="AK32" s="277"/>
      <c r="AL32" s="272">
        <v>-7</v>
      </c>
      <c r="AM32" s="278">
        <v>0</v>
      </c>
      <c r="AN32" s="274"/>
      <c r="AO32" s="275">
        <v>-4.75</v>
      </c>
      <c r="AP32" s="276">
        <v>1</v>
      </c>
      <c r="AQ32" s="277"/>
      <c r="AR32" s="272">
        <v>-7</v>
      </c>
      <c r="AS32" s="278">
        <v>0</v>
      </c>
      <c r="AT32" s="274"/>
      <c r="AU32" s="275">
        <v>-5.25</v>
      </c>
      <c r="AV32" s="276">
        <v>1</v>
      </c>
      <c r="AW32" s="277"/>
      <c r="AX32" s="272">
        <v>-7</v>
      </c>
      <c r="AY32" s="278">
        <v>0</v>
      </c>
      <c r="AZ32" s="274"/>
      <c r="BA32" s="275">
        <v>-5.25</v>
      </c>
      <c r="BB32" s="276">
        <v>1</v>
      </c>
      <c r="BC32" s="277"/>
      <c r="BD32" s="272">
        <v>-4.55</v>
      </c>
      <c r="BE32" s="278">
        <v>1</v>
      </c>
      <c r="BF32" s="274"/>
      <c r="BG32" s="275">
        <v>-7</v>
      </c>
      <c r="BH32" s="279">
        <v>0</v>
      </c>
      <c r="BI32" s="277"/>
      <c r="BJ32" s="272">
        <v>-4.625</v>
      </c>
      <c r="BK32" s="278">
        <v>1</v>
      </c>
      <c r="BL32" s="274"/>
      <c r="BM32" s="275">
        <v>-4.625</v>
      </c>
      <c r="BN32" s="279">
        <v>1</v>
      </c>
      <c r="BO32" s="277"/>
      <c r="BP32" s="272">
        <v>-7</v>
      </c>
      <c r="BQ32" s="278">
        <v>0</v>
      </c>
      <c r="BR32" s="274"/>
      <c r="BS32" s="275">
        <v>5.0555555555555554</v>
      </c>
      <c r="BT32" s="276">
        <v>2</v>
      </c>
      <c r="BU32" s="277"/>
      <c r="BV32" s="275">
        <f t="shared" si="4"/>
        <v>-64.806262626262622</v>
      </c>
      <c r="BW32" s="276">
        <f t="shared" si="5"/>
        <v>15</v>
      </c>
      <c r="BX32" s="277">
        <f t="shared" si="6"/>
        <v>5</v>
      </c>
      <c r="BY32" s="52"/>
      <c r="DX32" s="53"/>
      <c r="DY32" s="53"/>
      <c r="EF32" s="50"/>
      <c r="EG32" s="50"/>
    </row>
    <row r="33" spans="1:137">
      <c r="A33" s="282">
        <f t="shared" si="0"/>
        <v>6</v>
      </c>
      <c r="B33" s="282">
        <f t="shared" si="1"/>
        <v>47</v>
      </c>
      <c r="C33" s="282">
        <v>5</v>
      </c>
      <c r="D33" s="328" t="str">
        <f>INDEX(Table!E:E,MATCH(E33,Table!F:F,0))</f>
        <v>B</v>
      </c>
      <c r="E33" s="268" t="s">
        <v>385</v>
      </c>
      <c r="F33" s="280">
        <f t="shared" si="2"/>
        <v>47.911267676767679</v>
      </c>
      <c r="G33" s="58">
        <f t="shared" si="3"/>
        <v>25</v>
      </c>
      <c r="H33" s="280">
        <v>-5.2777777777777777</v>
      </c>
      <c r="I33" s="148">
        <v>1</v>
      </c>
      <c r="J33" s="270">
        <f t="shared" si="7"/>
        <v>25</v>
      </c>
      <c r="K33" s="271"/>
      <c r="L33" s="271">
        <f>INDEX(Table!N:N,MATCH(E33,Table!F:F,0))</f>
        <v>72.45</v>
      </c>
      <c r="M33" s="270">
        <f t="shared" si="8"/>
        <v>97.45</v>
      </c>
      <c r="N33" s="272">
        <v>-5</v>
      </c>
      <c r="O33" s="273">
        <v>1</v>
      </c>
      <c r="P33" s="274"/>
      <c r="Q33" s="275">
        <v>34.619499999999995</v>
      </c>
      <c r="R33" s="276">
        <v>3</v>
      </c>
      <c r="S33" s="277">
        <v>10</v>
      </c>
      <c r="T33" s="272">
        <v>-4.9000000000000004</v>
      </c>
      <c r="U33" s="278">
        <v>1</v>
      </c>
      <c r="V33" s="274"/>
      <c r="W33" s="275">
        <v>-0.75</v>
      </c>
      <c r="X33" s="276">
        <v>1</v>
      </c>
      <c r="Y33" s="277"/>
      <c r="Z33" s="272">
        <v>-4.4000000000000004</v>
      </c>
      <c r="AA33" s="278">
        <v>1</v>
      </c>
      <c r="AB33" s="274"/>
      <c r="AC33" s="275">
        <v>45.010000000000005</v>
      </c>
      <c r="AD33" s="276">
        <v>3</v>
      </c>
      <c r="AE33" s="277">
        <v>10</v>
      </c>
      <c r="AF33" s="272">
        <v>1.75</v>
      </c>
      <c r="AG33" s="278">
        <v>2</v>
      </c>
      <c r="AH33" s="274"/>
      <c r="AI33" s="275">
        <v>-5</v>
      </c>
      <c r="AJ33" s="276">
        <v>1</v>
      </c>
      <c r="AK33" s="277"/>
      <c r="AL33" s="272">
        <v>-7</v>
      </c>
      <c r="AM33" s="278">
        <v>0</v>
      </c>
      <c r="AN33" s="274"/>
      <c r="AO33" s="275">
        <v>-4.375</v>
      </c>
      <c r="AP33" s="276">
        <v>1</v>
      </c>
      <c r="AQ33" s="277"/>
      <c r="AR33" s="272">
        <v>1.163636363636364</v>
      </c>
      <c r="AS33" s="278">
        <v>2</v>
      </c>
      <c r="AT33" s="274"/>
      <c r="AU33" s="275">
        <v>-4.5999999999999996</v>
      </c>
      <c r="AV33" s="276">
        <v>1</v>
      </c>
      <c r="AW33" s="277"/>
      <c r="AX33" s="272">
        <v>5.23</v>
      </c>
      <c r="AY33" s="278">
        <v>2</v>
      </c>
      <c r="AZ33" s="274"/>
      <c r="BA33" s="275">
        <v>-7</v>
      </c>
      <c r="BB33" s="276">
        <v>0</v>
      </c>
      <c r="BC33" s="277"/>
      <c r="BD33" s="272">
        <v>-3.4</v>
      </c>
      <c r="BE33" s="278">
        <v>1</v>
      </c>
      <c r="BF33" s="274"/>
      <c r="BG33" s="275">
        <v>-5.05</v>
      </c>
      <c r="BH33" s="279">
        <v>1</v>
      </c>
      <c r="BI33" s="277"/>
      <c r="BJ33" s="272">
        <v>-7</v>
      </c>
      <c r="BK33" s="278">
        <v>0</v>
      </c>
      <c r="BL33" s="274"/>
      <c r="BM33" s="275">
        <v>-7</v>
      </c>
      <c r="BN33" s="279">
        <v>0</v>
      </c>
      <c r="BO33" s="277"/>
      <c r="BP33" s="272">
        <v>30.890909090909091</v>
      </c>
      <c r="BQ33" s="278">
        <v>3</v>
      </c>
      <c r="BR33" s="274">
        <v>5</v>
      </c>
      <c r="BS33" s="275">
        <v>-5.2777777777777777</v>
      </c>
      <c r="BT33" s="276">
        <v>1</v>
      </c>
      <c r="BU33" s="277"/>
      <c r="BV33" s="275">
        <f t="shared" si="4"/>
        <v>47.911267676767679</v>
      </c>
      <c r="BW33" s="276">
        <f t="shared" si="5"/>
        <v>25</v>
      </c>
      <c r="BX33" s="277">
        <f t="shared" si="6"/>
        <v>25</v>
      </c>
      <c r="BY33" s="52"/>
      <c r="DX33" s="53"/>
      <c r="DY33" s="53"/>
      <c r="EF33" s="50"/>
      <c r="EG33" s="50"/>
    </row>
    <row r="34" spans="1:137">
      <c r="A34" s="282">
        <f t="shared" ref="A34:A59" si="9">_xlfn.RANK.EQ(F34,totalscores,0)</f>
        <v>56</v>
      </c>
      <c r="B34" s="282">
        <f t="shared" si="1"/>
        <v>50</v>
      </c>
      <c r="C34" s="282">
        <v>55</v>
      </c>
      <c r="D34" s="328" t="str">
        <f>INDEX(Table!E:E,MATCH(E34,Table!F:F,0))</f>
        <v>A</v>
      </c>
      <c r="E34" s="268" t="s">
        <v>303</v>
      </c>
      <c r="F34" s="280">
        <f t="shared" ref="F34:F59" si="10">+N34+Q34+T34+W34+Z34+AC34+AF34+AI34+AL34+AO34+AR34+AU34+AX34+BA34+BD34+BG34+BJ34+BM34+BP34+BS34</f>
        <v>-63.754659090909087</v>
      </c>
      <c r="G34" s="58">
        <f t="shared" ref="G34:G59" si="11">+O34+R34+U34+X34+AA34+AD34+AG34+AJ34+AM34+AP34+AS34+AV34+AY34+BB34+BE34+BH34+BK34+BN34+BQ34+BT34</f>
        <v>15</v>
      </c>
      <c r="H34" s="280">
        <v>-7</v>
      </c>
      <c r="I34" s="148">
        <v>0</v>
      </c>
      <c r="J34" s="270">
        <f t="shared" si="7"/>
        <v>5</v>
      </c>
      <c r="K34" s="271"/>
      <c r="L34" s="271">
        <f>INDEX(Table!N:N,MATCH(E34,Table!F:F,0))</f>
        <v>0</v>
      </c>
      <c r="M34" s="270">
        <f t="shared" si="8"/>
        <v>5</v>
      </c>
      <c r="N34" s="272">
        <v>-4.75</v>
      </c>
      <c r="O34" s="273">
        <v>1</v>
      </c>
      <c r="P34" s="274"/>
      <c r="Q34" s="275">
        <v>-7</v>
      </c>
      <c r="R34" s="276">
        <v>0</v>
      </c>
      <c r="S34" s="277"/>
      <c r="T34" s="272">
        <v>-7</v>
      </c>
      <c r="U34" s="278">
        <v>0</v>
      </c>
      <c r="V34" s="274"/>
      <c r="W34" s="275">
        <v>-3</v>
      </c>
      <c r="X34" s="276">
        <v>0</v>
      </c>
      <c r="Y34" s="277"/>
      <c r="Z34" s="272">
        <v>-4.7</v>
      </c>
      <c r="AA34" s="278">
        <v>1</v>
      </c>
      <c r="AB34" s="274"/>
      <c r="AC34" s="275">
        <v>-4.5</v>
      </c>
      <c r="AD34" s="276">
        <v>1</v>
      </c>
      <c r="AE34" s="277"/>
      <c r="AF34" s="272">
        <v>7.40625</v>
      </c>
      <c r="AG34" s="278">
        <v>2</v>
      </c>
      <c r="AH34" s="274"/>
      <c r="AI34" s="275">
        <v>-4.95</v>
      </c>
      <c r="AJ34" s="276">
        <v>1</v>
      </c>
      <c r="AK34" s="277"/>
      <c r="AL34" s="272">
        <v>2.625</v>
      </c>
      <c r="AM34" s="278">
        <v>2</v>
      </c>
      <c r="AN34" s="274"/>
      <c r="AO34" s="275">
        <v>-7</v>
      </c>
      <c r="AP34" s="276">
        <v>0</v>
      </c>
      <c r="AQ34" s="277"/>
      <c r="AR34" s="272">
        <v>8.2799999999999994</v>
      </c>
      <c r="AS34" s="278">
        <v>2</v>
      </c>
      <c r="AT34" s="274">
        <v>5</v>
      </c>
      <c r="AU34" s="275">
        <v>5.125</v>
      </c>
      <c r="AV34" s="276">
        <v>2</v>
      </c>
      <c r="AW34" s="277"/>
      <c r="AX34" s="272">
        <v>-7</v>
      </c>
      <c r="AY34" s="278">
        <v>0</v>
      </c>
      <c r="AZ34" s="274"/>
      <c r="BA34" s="275">
        <v>-4.7</v>
      </c>
      <c r="BB34" s="276">
        <v>1</v>
      </c>
      <c r="BC34" s="277"/>
      <c r="BD34" s="272">
        <v>-7</v>
      </c>
      <c r="BE34" s="278">
        <v>0</v>
      </c>
      <c r="BF34" s="274"/>
      <c r="BG34" s="275">
        <v>-3.5</v>
      </c>
      <c r="BH34" s="279">
        <v>1</v>
      </c>
      <c r="BI34" s="277"/>
      <c r="BJ34" s="272">
        <v>-7</v>
      </c>
      <c r="BK34" s="278">
        <v>0</v>
      </c>
      <c r="BL34" s="274"/>
      <c r="BM34" s="275">
        <v>-7</v>
      </c>
      <c r="BN34" s="279">
        <v>0</v>
      </c>
      <c r="BO34" s="277"/>
      <c r="BP34" s="272">
        <v>-1.0909090909090908</v>
      </c>
      <c r="BQ34" s="278">
        <v>1</v>
      </c>
      <c r="BR34" s="274"/>
      <c r="BS34" s="275">
        <v>-7</v>
      </c>
      <c r="BT34" s="276">
        <v>0</v>
      </c>
      <c r="BU34" s="277"/>
      <c r="BV34" s="275">
        <f t="shared" ref="BV34:BV59" si="12">BS34+BP34+BM34+BJ34+BG34+BD34+BA34+AX34+AU34+AR34+AO34+AL34+AI34+AF34+AC34+Z34+W34+T34+Q34+N34</f>
        <v>-63.754659090909101</v>
      </c>
      <c r="BW34" s="276">
        <f t="shared" ref="BW34:BW59" si="13">BT34+BQ34+BN34+BK34+BH34+BE34+BB34+AY34+AV34+AS34+AP34+AM34+AJ34+AG34+AD34+AA34+X34+U34+R34+O34</f>
        <v>15</v>
      </c>
      <c r="BX34" s="277">
        <f t="shared" ref="BX34:BX59" si="14">BU34+BR34+BO34+BL34+BI34+BF34+BC34+AZ34+AW34+AT34+AQ34+AN34+AK34+AH34+AE34+AB34+Y34+V34+S34+P34</f>
        <v>5</v>
      </c>
      <c r="BY34" s="52"/>
      <c r="DX34" s="53"/>
      <c r="DY34" s="53"/>
      <c r="EF34" s="50"/>
      <c r="EG34" s="50"/>
    </row>
    <row r="35" spans="1:137">
      <c r="A35" s="282">
        <f t="shared" si="9"/>
        <v>18</v>
      </c>
      <c r="B35" s="282">
        <f t="shared" si="1"/>
        <v>5</v>
      </c>
      <c r="C35" s="282">
        <v>26</v>
      </c>
      <c r="D35" s="328" t="str">
        <f>INDEX(Table!E:E,MATCH(E35,Table!F:F,0))</f>
        <v>A</v>
      </c>
      <c r="E35" s="268" t="s">
        <v>312</v>
      </c>
      <c r="F35" s="280">
        <f t="shared" si="10"/>
        <v>10.18110302197802</v>
      </c>
      <c r="G35" s="58">
        <f t="shared" si="11"/>
        <v>37</v>
      </c>
      <c r="H35" s="280">
        <v>14.207499999999996</v>
      </c>
      <c r="I35" s="148">
        <v>3</v>
      </c>
      <c r="J35" s="270">
        <f t="shared" si="7"/>
        <v>5</v>
      </c>
      <c r="K35" s="271"/>
      <c r="L35" s="271">
        <f>INDEX(Table!N:N,MATCH(E35,Table!F:F,0))</f>
        <v>0</v>
      </c>
      <c r="M35" s="270">
        <f t="shared" si="8"/>
        <v>5</v>
      </c>
      <c r="N35" s="272">
        <v>6.49</v>
      </c>
      <c r="O35" s="273">
        <v>3</v>
      </c>
      <c r="P35" s="274"/>
      <c r="Q35" s="275">
        <v>-0.53333333333333321</v>
      </c>
      <c r="R35" s="276">
        <v>2</v>
      </c>
      <c r="S35" s="277"/>
      <c r="T35" s="272">
        <v>-0.22727272727272751</v>
      </c>
      <c r="U35" s="278">
        <v>2</v>
      </c>
      <c r="V35" s="274"/>
      <c r="W35" s="275">
        <v>16.651624999999999</v>
      </c>
      <c r="X35" s="276">
        <v>3</v>
      </c>
      <c r="Y35" s="277">
        <v>5</v>
      </c>
      <c r="Z35" s="272">
        <v>-5.384615384615385</v>
      </c>
      <c r="AA35" s="278">
        <v>1</v>
      </c>
      <c r="AB35" s="274"/>
      <c r="AC35" s="275">
        <v>-7</v>
      </c>
      <c r="AD35" s="276">
        <v>0</v>
      </c>
      <c r="AE35" s="277"/>
      <c r="AF35" s="272">
        <v>-0.40000000000000036</v>
      </c>
      <c r="AG35" s="278">
        <v>2</v>
      </c>
      <c r="AH35" s="274"/>
      <c r="AI35" s="275">
        <v>2.8100000000000005</v>
      </c>
      <c r="AJ35" s="276">
        <v>2</v>
      </c>
      <c r="AK35" s="277"/>
      <c r="AL35" s="272">
        <v>5.8000000000000007</v>
      </c>
      <c r="AM35" s="278">
        <v>3</v>
      </c>
      <c r="AN35" s="274"/>
      <c r="AO35" s="275">
        <v>-0.29090909090909101</v>
      </c>
      <c r="AP35" s="276">
        <v>2</v>
      </c>
      <c r="AQ35" s="277"/>
      <c r="AR35" s="272">
        <v>-5.45</v>
      </c>
      <c r="AS35" s="278">
        <v>1</v>
      </c>
      <c r="AT35" s="274"/>
      <c r="AU35" s="275">
        <v>-5.6363636363636367</v>
      </c>
      <c r="AV35" s="276">
        <v>1</v>
      </c>
      <c r="AW35" s="277"/>
      <c r="AX35" s="272">
        <v>-0.67142857142857082</v>
      </c>
      <c r="AY35" s="278">
        <v>2</v>
      </c>
      <c r="AZ35" s="274"/>
      <c r="BA35" s="275">
        <v>-2.0909090909090899</v>
      </c>
      <c r="BB35" s="276">
        <v>2</v>
      </c>
      <c r="BC35" s="277"/>
      <c r="BD35" s="272">
        <v>-5.5</v>
      </c>
      <c r="BE35" s="278">
        <v>1</v>
      </c>
      <c r="BF35" s="274"/>
      <c r="BG35" s="275">
        <v>-5.2</v>
      </c>
      <c r="BH35" s="279">
        <v>1</v>
      </c>
      <c r="BI35" s="277"/>
      <c r="BJ35" s="272">
        <v>-4.8499999999999996</v>
      </c>
      <c r="BK35" s="278">
        <v>1</v>
      </c>
      <c r="BL35" s="274"/>
      <c r="BM35" s="275">
        <v>-1.3743589743589748</v>
      </c>
      <c r="BN35" s="279">
        <v>2</v>
      </c>
      <c r="BO35" s="277"/>
      <c r="BP35" s="272">
        <v>8.8311688311688314</v>
      </c>
      <c r="BQ35" s="278">
        <v>3</v>
      </c>
      <c r="BR35" s="274"/>
      <c r="BS35" s="275">
        <v>14.207499999999996</v>
      </c>
      <c r="BT35" s="276">
        <v>3</v>
      </c>
      <c r="BU35" s="277"/>
      <c r="BV35" s="275">
        <f t="shared" si="12"/>
        <v>10.181103021978014</v>
      </c>
      <c r="BW35" s="276">
        <f t="shared" si="13"/>
        <v>37</v>
      </c>
      <c r="BX35" s="277">
        <f t="shared" si="14"/>
        <v>5</v>
      </c>
      <c r="BY35" s="52"/>
      <c r="DX35" s="53"/>
      <c r="DY35" s="53"/>
      <c r="EF35" s="50"/>
      <c r="EG35" s="50"/>
    </row>
    <row r="36" spans="1:137">
      <c r="A36" s="282">
        <f t="shared" si="9"/>
        <v>24</v>
      </c>
      <c r="B36" s="282">
        <f t="shared" si="1"/>
        <v>17</v>
      </c>
      <c r="C36" s="282">
        <v>21</v>
      </c>
      <c r="D36" s="328" t="str">
        <f>INDEX(Table!E:E,MATCH(E36,Table!F:F,0))</f>
        <v>A</v>
      </c>
      <c r="E36" s="268" t="s">
        <v>298</v>
      </c>
      <c r="F36" s="280">
        <f t="shared" si="10"/>
        <v>1.7248520541958063</v>
      </c>
      <c r="G36" s="58">
        <f t="shared" si="11"/>
        <v>36</v>
      </c>
      <c r="H36" s="280">
        <v>0.57500000000000018</v>
      </c>
      <c r="I36" s="148">
        <v>2</v>
      </c>
      <c r="J36" s="270">
        <f t="shared" si="7"/>
        <v>5</v>
      </c>
      <c r="K36" s="271"/>
      <c r="L36" s="271">
        <f>INDEX(Table!N:N,MATCH(E36,Table!F:F,0))</f>
        <v>0</v>
      </c>
      <c r="M36" s="270">
        <f t="shared" si="8"/>
        <v>5</v>
      </c>
      <c r="N36" s="272">
        <v>4.0124999999999993</v>
      </c>
      <c r="O36" s="273">
        <v>2</v>
      </c>
      <c r="P36" s="274"/>
      <c r="Q36" s="275">
        <v>1.163636363636364</v>
      </c>
      <c r="R36" s="276">
        <v>2</v>
      </c>
      <c r="S36" s="277"/>
      <c r="T36" s="272">
        <v>-4.9000000000000004</v>
      </c>
      <c r="U36" s="278">
        <v>1</v>
      </c>
      <c r="V36" s="274"/>
      <c r="W36" s="275">
        <v>-4.95</v>
      </c>
      <c r="X36" s="276">
        <v>1</v>
      </c>
      <c r="Y36" s="277"/>
      <c r="Z36" s="272">
        <v>-0.1538461538461533</v>
      </c>
      <c r="AA36" s="278">
        <v>2</v>
      </c>
      <c r="AB36" s="274"/>
      <c r="AC36" s="275">
        <v>-4.75</v>
      </c>
      <c r="AD36" s="276">
        <v>1</v>
      </c>
      <c r="AE36" s="277"/>
      <c r="AF36" s="272">
        <v>9.9999999999999645E-2</v>
      </c>
      <c r="AG36" s="278">
        <v>2</v>
      </c>
      <c r="AH36" s="274"/>
      <c r="AI36" s="275">
        <v>-5.05</v>
      </c>
      <c r="AJ36" s="276">
        <v>1</v>
      </c>
      <c r="AK36" s="277"/>
      <c r="AL36" s="272">
        <v>7.9021562500000009</v>
      </c>
      <c r="AM36" s="278">
        <v>3</v>
      </c>
      <c r="AN36" s="274"/>
      <c r="AO36" s="275">
        <v>1.9224999999999994</v>
      </c>
      <c r="AP36" s="276">
        <v>2</v>
      </c>
      <c r="AQ36" s="277"/>
      <c r="AR36" s="272">
        <v>-5.45</v>
      </c>
      <c r="AS36" s="278">
        <v>1</v>
      </c>
      <c r="AT36" s="274"/>
      <c r="AU36" s="275">
        <v>15.586013986013988</v>
      </c>
      <c r="AV36" s="276">
        <v>3</v>
      </c>
      <c r="AW36" s="277"/>
      <c r="AX36" s="272">
        <v>-5.3333333333333339</v>
      </c>
      <c r="AY36" s="278">
        <v>1</v>
      </c>
      <c r="AZ36" s="274"/>
      <c r="BA36" s="275">
        <v>-3.9095000000000004</v>
      </c>
      <c r="BB36" s="276">
        <v>2</v>
      </c>
      <c r="BC36" s="277"/>
      <c r="BD36" s="272">
        <v>8.3146666666666675</v>
      </c>
      <c r="BE36" s="278">
        <v>3</v>
      </c>
      <c r="BF36" s="274"/>
      <c r="BG36" s="275">
        <v>3.7</v>
      </c>
      <c r="BH36" s="279">
        <v>2</v>
      </c>
      <c r="BI36" s="277">
        <v>5</v>
      </c>
      <c r="BJ36" s="272">
        <v>-5.25</v>
      </c>
      <c r="BK36" s="278">
        <v>1</v>
      </c>
      <c r="BL36" s="274"/>
      <c r="BM36" s="275">
        <v>-1.413333333333334</v>
      </c>
      <c r="BN36" s="279">
        <v>2</v>
      </c>
      <c r="BO36" s="277"/>
      <c r="BP36" s="272">
        <v>-0.39160839160839167</v>
      </c>
      <c r="BQ36" s="278">
        <v>2</v>
      </c>
      <c r="BR36" s="274"/>
      <c r="BS36" s="275">
        <v>0.57500000000000018</v>
      </c>
      <c r="BT36" s="276">
        <v>2</v>
      </c>
      <c r="BU36" s="277"/>
      <c r="BV36" s="275">
        <f t="shared" si="12"/>
        <v>1.7248520541958063</v>
      </c>
      <c r="BW36" s="276">
        <f t="shared" si="13"/>
        <v>36</v>
      </c>
      <c r="BX36" s="277">
        <f t="shared" si="14"/>
        <v>5</v>
      </c>
      <c r="BY36" s="52"/>
      <c r="BZ36" s="52"/>
      <c r="CA36" s="52"/>
      <c r="CB36" s="52"/>
      <c r="CC36" s="52"/>
      <c r="CD36" s="52"/>
      <c r="CE36" s="52"/>
      <c r="CF36" s="52"/>
      <c r="CG36" s="52"/>
      <c r="CH36" s="52"/>
      <c r="CI36" s="52"/>
      <c r="CJ36" s="52"/>
      <c r="CK36" s="52"/>
      <c r="CL36" s="52"/>
      <c r="CM36" s="52"/>
      <c r="CN36" s="52"/>
      <c r="CO36" s="52"/>
      <c r="CP36" s="52"/>
      <c r="CQ36" s="52"/>
      <c r="CR36" s="52"/>
      <c r="CS36" s="52"/>
      <c r="CT36" s="52"/>
      <c r="CU36" s="52"/>
      <c r="CV36" s="52"/>
      <c r="CW36" s="52"/>
      <c r="CX36" s="52"/>
      <c r="CY36" s="52"/>
      <c r="CZ36" s="52"/>
      <c r="DA36" s="52"/>
      <c r="DB36" s="52"/>
      <c r="DC36" s="52"/>
      <c r="DD36" s="52"/>
      <c r="DE36" s="52"/>
      <c r="DF36" s="52"/>
      <c r="DG36" s="52"/>
      <c r="DH36" s="52"/>
      <c r="DI36" s="52"/>
      <c r="DJ36" s="52"/>
      <c r="DK36" s="52"/>
      <c r="DL36" s="52"/>
      <c r="DM36" s="52"/>
      <c r="DN36" s="52"/>
      <c r="DO36" s="52"/>
      <c r="DP36" s="52"/>
      <c r="DQ36" s="52"/>
      <c r="DR36" s="52"/>
      <c r="DS36" s="52"/>
      <c r="DT36" s="52"/>
      <c r="DU36" s="52"/>
      <c r="DV36" s="52"/>
      <c r="DW36" s="52"/>
      <c r="DX36" s="50"/>
      <c r="DY36" s="50"/>
      <c r="DZ36" s="50"/>
      <c r="EA36" s="50"/>
      <c r="EB36" s="50"/>
      <c r="EC36" s="50"/>
      <c r="ED36" s="50"/>
      <c r="EE36" s="50"/>
      <c r="EF36" s="50"/>
      <c r="EG36" s="50"/>
    </row>
    <row r="37" spans="1:137">
      <c r="A37" s="282">
        <f t="shared" si="9"/>
        <v>53</v>
      </c>
      <c r="B37" s="282">
        <f t="shared" si="1"/>
        <v>50</v>
      </c>
      <c r="C37" s="282">
        <v>50</v>
      </c>
      <c r="D37" s="328" t="str">
        <f>INDEX(Table!E:E,MATCH(E37,Table!F:F,0))</f>
        <v>D</v>
      </c>
      <c r="E37" s="268" t="s">
        <v>379</v>
      </c>
      <c r="F37" s="280">
        <f t="shared" si="10"/>
        <v>-55.767158289241628</v>
      </c>
      <c r="G37" s="58">
        <f t="shared" si="11"/>
        <v>22</v>
      </c>
      <c r="H37" s="280">
        <v>-7</v>
      </c>
      <c r="I37" s="148">
        <v>0</v>
      </c>
      <c r="J37" s="270">
        <f t="shared" si="7"/>
        <v>10</v>
      </c>
      <c r="K37" s="271"/>
      <c r="L37" s="271">
        <f>INDEX(Table!N:N,MATCH(E37,Table!F:F,0))</f>
        <v>0</v>
      </c>
      <c r="M37" s="270">
        <f t="shared" si="8"/>
        <v>10</v>
      </c>
      <c r="N37" s="272">
        <v>-7</v>
      </c>
      <c r="O37" s="273">
        <v>0</v>
      </c>
      <c r="P37" s="274"/>
      <c r="Q37" s="275">
        <v>-5.2</v>
      </c>
      <c r="R37" s="276">
        <v>1</v>
      </c>
      <c r="S37" s="277"/>
      <c r="T37" s="272">
        <v>-1.2800000000000002</v>
      </c>
      <c r="U37" s="278">
        <v>2</v>
      </c>
      <c r="V37" s="274"/>
      <c r="W37" s="275">
        <v>-7</v>
      </c>
      <c r="X37" s="276">
        <v>0</v>
      </c>
      <c r="Y37" s="277"/>
      <c r="Z37" s="272">
        <v>13.94285714285714</v>
      </c>
      <c r="AA37" s="278">
        <v>3</v>
      </c>
      <c r="AB37" s="274">
        <v>10</v>
      </c>
      <c r="AC37" s="275">
        <v>-7</v>
      </c>
      <c r="AD37" s="276">
        <v>0</v>
      </c>
      <c r="AE37" s="277"/>
      <c r="AF37" s="272">
        <v>-4.375</v>
      </c>
      <c r="AG37" s="278">
        <v>1</v>
      </c>
      <c r="AH37" s="274"/>
      <c r="AI37" s="275">
        <v>-7</v>
      </c>
      <c r="AJ37" s="276">
        <v>0</v>
      </c>
      <c r="AK37" s="277"/>
      <c r="AL37" s="272">
        <v>-4.625</v>
      </c>
      <c r="AM37" s="278">
        <v>1</v>
      </c>
      <c r="AN37" s="274"/>
      <c r="AO37" s="275">
        <v>0</v>
      </c>
      <c r="AP37" s="276">
        <v>2</v>
      </c>
      <c r="AQ37" s="277"/>
      <c r="AR37" s="272">
        <v>2.96875</v>
      </c>
      <c r="AS37" s="278">
        <v>2</v>
      </c>
      <c r="AT37" s="274"/>
      <c r="AU37" s="275">
        <v>2.8499999999999996</v>
      </c>
      <c r="AV37" s="276">
        <v>2</v>
      </c>
      <c r="AW37" s="277"/>
      <c r="AX37" s="272">
        <v>-5.25</v>
      </c>
      <c r="AY37" s="278">
        <v>1</v>
      </c>
      <c r="AZ37" s="274"/>
      <c r="BA37" s="275">
        <v>-4.7</v>
      </c>
      <c r="BB37" s="276">
        <v>1</v>
      </c>
      <c r="BC37" s="277"/>
      <c r="BD37" s="272">
        <v>-1.2098765432098766</v>
      </c>
      <c r="BE37" s="278">
        <v>2</v>
      </c>
      <c r="BF37" s="274"/>
      <c r="BG37" s="275">
        <v>-4.583333333333333</v>
      </c>
      <c r="BH37" s="279">
        <v>1</v>
      </c>
      <c r="BI37" s="277"/>
      <c r="BJ37" s="272">
        <v>-5.5555555555555554</v>
      </c>
      <c r="BK37" s="278">
        <v>1</v>
      </c>
      <c r="BL37" s="274"/>
      <c r="BM37" s="275">
        <v>-7</v>
      </c>
      <c r="BN37" s="279">
        <v>0</v>
      </c>
      <c r="BO37" s="277"/>
      <c r="BP37" s="272">
        <v>3.25</v>
      </c>
      <c r="BQ37" s="278">
        <v>2</v>
      </c>
      <c r="BR37" s="274"/>
      <c r="BS37" s="275">
        <v>-7</v>
      </c>
      <c r="BT37" s="276">
        <v>0</v>
      </c>
      <c r="BU37" s="277"/>
      <c r="BV37" s="275">
        <f t="shared" si="12"/>
        <v>-55.767158289241621</v>
      </c>
      <c r="BW37" s="276">
        <f t="shared" si="13"/>
        <v>22</v>
      </c>
      <c r="BX37" s="277">
        <f t="shared" si="14"/>
        <v>10</v>
      </c>
      <c r="BY37" s="52"/>
      <c r="DX37" s="53"/>
      <c r="DY37" s="53"/>
      <c r="EF37" s="50"/>
      <c r="EG37" s="50"/>
    </row>
    <row r="38" spans="1:137">
      <c r="A38" s="282">
        <f t="shared" si="9"/>
        <v>37</v>
      </c>
      <c r="B38" s="282">
        <f t="shared" si="1"/>
        <v>4</v>
      </c>
      <c r="C38" s="282">
        <v>44</v>
      </c>
      <c r="D38" s="328" t="str">
        <f>INDEX(Table!E:E,MATCH(E38,Table!F:F,0))</f>
        <v>A</v>
      </c>
      <c r="E38" s="268" t="s">
        <v>307</v>
      </c>
      <c r="F38" s="280">
        <f t="shared" si="10"/>
        <v>-21.882575757575747</v>
      </c>
      <c r="G38" s="58">
        <f t="shared" si="11"/>
        <v>28</v>
      </c>
      <c r="H38" s="280">
        <v>14.680000000000003</v>
      </c>
      <c r="I38" s="148">
        <v>2</v>
      </c>
      <c r="J38" s="270">
        <f t="shared" si="7"/>
        <v>5</v>
      </c>
      <c r="K38" s="271"/>
      <c r="L38" s="271">
        <f>INDEX(Table!N:N,MATCH(E38,Table!F:F,0))</f>
        <v>0</v>
      </c>
      <c r="M38" s="270">
        <f t="shared" si="8"/>
        <v>5</v>
      </c>
      <c r="N38" s="272">
        <v>4.24</v>
      </c>
      <c r="O38" s="273">
        <v>2</v>
      </c>
      <c r="P38" s="274"/>
      <c r="Q38" s="275">
        <v>1.8181818181818183</v>
      </c>
      <c r="R38" s="276">
        <v>2</v>
      </c>
      <c r="S38" s="277"/>
      <c r="T38" s="272">
        <v>-5.15</v>
      </c>
      <c r="U38" s="278">
        <v>1</v>
      </c>
      <c r="V38" s="274"/>
      <c r="W38" s="275">
        <v>1.2083333333333339</v>
      </c>
      <c r="X38" s="276">
        <v>2</v>
      </c>
      <c r="Y38" s="277"/>
      <c r="Z38" s="272">
        <v>-4.7</v>
      </c>
      <c r="AA38" s="278">
        <v>1</v>
      </c>
      <c r="AB38" s="274"/>
      <c r="AC38" s="275">
        <v>2.5625</v>
      </c>
      <c r="AD38" s="276">
        <v>2</v>
      </c>
      <c r="AE38" s="277"/>
      <c r="AF38" s="272">
        <v>-7</v>
      </c>
      <c r="AG38" s="278">
        <v>0</v>
      </c>
      <c r="AH38" s="274"/>
      <c r="AI38" s="275">
        <v>0.18181818181818166</v>
      </c>
      <c r="AJ38" s="276">
        <v>2</v>
      </c>
      <c r="AK38" s="277"/>
      <c r="AL38" s="272">
        <v>1.4400000000000013</v>
      </c>
      <c r="AM38" s="278">
        <v>2</v>
      </c>
      <c r="AN38" s="274"/>
      <c r="AO38" s="275">
        <v>-7</v>
      </c>
      <c r="AP38" s="276">
        <v>0</v>
      </c>
      <c r="AQ38" s="277"/>
      <c r="AR38" s="272">
        <v>-4.625</v>
      </c>
      <c r="AS38" s="278">
        <v>1</v>
      </c>
      <c r="AT38" s="274"/>
      <c r="AU38" s="275">
        <v>-4.5999999999999996</v>
      </c>
      <c r="AV38" s="276">
        <v>1</v>
      </c>
      <c r="AW38" s="277"/>
      <c r="AX38" s="272">
        <v>-5.05</v>
      </c>
      <c r="AY38" s="278">
        <v>1</v>
      </c>
      <c r="AZ38" s="274"/>
      <c r="BA38" s="275">
        <v>-4.7</v>
      </c>
      <c r="BB38" s="276">
        <v>1</v>
      </c>
      <c r="BC38" s="277"/>
      <c r="BD38" s="272">
        <v>1.3090909090909104</v>
      </c>
      <c r="BE38" s="278">
        <v>2</v>
      </c>
      <c r="BF38" s="274"/>
      <c r="BG38" s="275">
        <v>-5.05</v>
      </c>
      <c r="BH38" s="279">
        <v>1</v>
      </c>
      <c r="BI38" s="277"/>
      <c r="BJ38" s="272">
        <v>1.4499999999999993</v>
      </c>
      <c r="BK38" s="278">
        <v>2</v>
      </c>
      <c r="BL38" s="274"/>
      <c r="BM38" s="275">
        <v>-3.6</v>
      </c>
      <c r="BN38" s="279">
        <v>1</v>
      </c>
      <c r="BO38" s="277"/>
      <c r="BP38" s="272">
        <v>0.70249999999999968</v>
      </c>
      <c r="BQ38" s="278">
        <v>2</v>
      </c>
      <c r="BR38" s="274"/>
      <c r="BS38" s="275">
        <v>14.680000000000003</v>
      </c>
      <c r="BT38" s="276">
        <v>2</v>
      </c>
      <c r="BU38" s="277">
        <v>5</v>
      </c>
      <c r="BV38" s="275">
        <f t="shared" si="12"/>
        <v>-21.882575757575744</v>
      </c>
      <c r="BW38" s="276">
        <f t="shared" si="13"/>
        <v>28</v>
      </c>
      <c r="BX38" s="277">
        <f t="shared" si="14"/>
        <v>5</v>
      </c>
      <c r="BY38" s="52"/>
      <c r="DX38" s="53"/>
      <c r="DY38" s="53"/>
      <c r="EF38" s="50"/>
      <c r="EG38" s="50"/>
    </row>
    <row r="39" spans="1:137">
      <c r="A39" s="282">
        <f t="shared" si="9"/>
        <v>55</v>
      </c>
      <c r="B39" s="282">
        <f t="shared" si="1"/>
        <v>50</v>
      </c>
      <c r="C39" s="282">
        <v>52</v>
      </c>
      <c r="D39" s="328" t="str">
        <f>INDEX(Table!E:E,MATCH(E39,Table!F:F,0))</f>
        <v>A</v>
      </c>
      <c r="E39" s="268" t="s">
        <v>299</v>
      </c>
      <c r="F39" s="280">
        <f t="shared" si="10"/>
        <v>-62.134999999999998</v>
      </c>
      <c r="G39" s="58">
        <f t="shared" si="11"/>
        <v>20</v>
      </c>
      <c r="H39" s="280">
        <v>-7</v>
      </c>
      <c r="I39" s="148">
        <v>0</v>
      </c>
      <c r="J39" s="270">
        <f t="shared" si="7"/>
        <v>0</v>
      </c>
      <c r="K39" s="271"/>
      <c r="L39" s="271">
        <f>INDEX(Table!N:N,MATCH(E39,Table!F:F,0))</f>
        <v>0</v>
      </c>
      <c r="M39" s="270">
        <f t="shared" si="8"/>
        <v>0</v>
      </c>
      <c r="N39" s="272">
        <v>-7</v>
      </c>
      <c r="O39" s="273">
        <v>0</v>
      </c>
      <c r="P39" s="274"/>
      <c r="Q39" s="275">
        <v>-4.8499999999999996</v>
      </c>
      <c r="R39" s="276">
        <v>1</v>
      </c>
      <c r="S39" s="277"/>
      <c r="T39" s="272">
        <v>-3.8</v>
      </c>
      <c r="U39" s="278">
        <v>1</v>
      </c>
      <c r="V39" s="274"/>
      <c r="W39" s="275">
        <v>4.9624999999999986</v>
      </c>
      <c r="X39" s="276">
        <v>2</v>
      </c>
      <c r="Y39" s="277"/>
      <c r="Z39" s="272">
        <v>-7</v>
      </c>
      <c r="AA39" s="278">
        <v>0</v>
      </c>
      <c r="AB39" s="274"/>
      <c r="AC39" s="275">
        <v>-4.2</v>
      </c>
      <c r="AD39" s="276">
        <v>1</v>
      </c>
      <c r="AE39" s="277"/>
      <c r="AF39" s="272">
        <v>-7</v>
      </c>
      <c r="AG39" s="278">
        <v>0</v>
      </c>
      <c r="AH39" s="274"/>
      <c r="AI39" s="275">
        <v>-4.625</v>
      </c>
      <c r="AJ39" s="276">
        <v>1</v>
      </c>
      <c r="AK39" s="277"/>
      <c r="AL39" s="272">
        <v>-4.625</v>
      </c>
      <c r="AM39" s="278">
        <v>1</v>
      </c>
      <c r="AN39" s="274"/>
      <c r="AO39" s="275">
        <v>3.9699999999999989</v>
      </c>
      <c r="AP39" s="276">
        <v>2</v>
      </c>
      <c r="AQ39" s="277"/>
      <c r="AR39" s="272">
        <v>-3.8</v>
      </c>
      <c r="AS39" s="278">
        <v>1</v>
      </c>
      <c r="AT39" s="274"/>
      <c r="AU39" s="275">
        <v>3.7300000000000004</v>
      </c>
      <c r="AV39" s="276">
        <v>2</v>
      </c>
      <c r="AW39" s="277"/>
      <c r="AX39" s="272">
        <v>-5</v>
      </c>
      <c r="AY39" s="278">
        <v>1</v>
      </c>
      <c r="AZ39" s="274"/>
      <c r="BA39" s="275">
        <v>-4.7</v>
      </c>
      <c r="BB39" s="276">
        <v>1</v>
      </c>
      <c r="BC39" s="277"/>
      <c r="BD39" s="272">
        <v>-7</v>
      </c>
      <c r="BE39" s="278">
        <v>0</v>
      </c>
      <c r="BF39" s="274"/>
      <c r="BG39" s="275">
        <v>2.08</v>
      </c>
      <c r="BH39" s="279">
        <v>2</v>
      </c>
      <c r="BI39" s="277"/>
      <c r="BJ39" s="272">
        <v>1.9224999999999994</v>
      </c>
      <c r="BK39" s="278">
        <v>2</v>
      </c>
      <c r="BL39" s="274"/>
      <c r="BM39" s="275">
        <v>-3.9</v>
      </c>
      <c r="BN39" s="279">
        <v>1</v>
      </c>
      <c r="BO39" s="277"/>
      <c r="BP39" s="272">
        <v>-4.3</v>
      </c>
      <c r="BQ39" s="278">
        <v>1</v>
      </c>
      <c r="BR39" s="274"/>
      <c r="BS39" s="275">
        <v>-7</v>
      </c>
      <c r="BT39" s="276">
        <v>0</v>
      </c>
      <c r="BU39" s="277"/>
      <c r="BV39" s="275">
        <f t="shared" si="12"/>
        <v>-62.135000000000005</v>
      </c>
      <c r="BW39" s="276">
        <f t="shared" si="13"/>
        <v>20</v>
      </c>
      <c r="BX39" s="277">
        <f t="shared" si="14"/>
        <v>0</v>
      </c>
      <c r="BY39" s="52"/>
      <c r="DX39" s="53"/>
      <c r="DY39" s="53"/>
      <c r="EF39" s="50"/>
      <c r="EG39" s="50"/>
    </row>
    <row r="40" spans="1:137">
      <c r="A40" s="282">
        <f t="shared" si="9"/>
        <v>9</v>
      </c>
      <c r="B40" s="282">
        <f t="shared" si="1"/>
        <v>37</v>
      </c>
      <c r="C40" s="282">
        <v>8</v>
      </c>
      <c r="D40" s="328" t="str">
        <f>INDEX(Table!E:E,MATCH(E40,Table!F:F,0))</f>
        <v>A</v>
      </c>
      <c r="E40" s="268" t="s">
        <v>294</v>
      </c>
      <c r="F40" s="280">
        <f t="shared" si="10"/>
        <v>34.26347402597402</v>
      </c>
      <c r="G40" s="58">
        <f t="shared" si="11"/>
        <v>27</v>
      </c>
      <c r="H40" s="280">
        <v>-2.0600000000000005</v>
      </c>
      <c r="I40" s="148">
        <v>2</v>
      </c>
      <c r="J40" s="270">
        <f t="shared" si="7"/>
        <v>10</v>
      </c>
      <c r="K40" s="271"/>
      <c r="L40" s="271">
        <f>INDEX(Table!N:N,MATCH(E40,Table!F:F,0))</f>
        <v>37.26</v>
      </c>
      <c r="M40" s="270">
        <f t="shared" si="8"/>
        <v>47.26</v>
      </c>
      <c r="N40" s="272">
        <v>0.1454545454545455</v>
      </c>
      <c r="O40" s="273">
        <v>2</v>
      </c>
      <c r="P40" s="274"/>
      <c r="Q40" s="275">
        <v>1.5999999999999996</v>
      </c>
      <c r="R40" s="276">
        <v>2</v>
      </c>
      <c r="S40" s="277"/>
      <c r="T40" s="272">
        <v>4.8999999999999986</v>
      </c>
      <c r="U40" s="278">
        <v>2</v>
      </c>
      <c r="V40" s="274"/>
      <c r="W40" s="275">
        <v>-3</v>
      </c>
      <c r="X40" s="276">
        <v>0</v>
      </c>
      <c r="Y40" s="277"/>
      <c r="Z40" s="272">
        <v>6.5714285714285694</v>
      </c>
      <c r="AA40" s="278">
        <v>3</v>
      </c>
      <c r="AB40" s="274">
        <v>5</v>
      </c>
      <c r="AC40" s="275">
        <v>-7</v>
      </c>
      <c r="AD40" s="276">
        <v>0</v>
      </c>
      <c r="AE40" s="277"/>
      <c r="AF40" s="272">
        <v>-7</v>
      </c>
      <c r="AG40" s="278">
        <v>0</v>
      </c>
      <c r="AH40" s="274"/>
      <c r="AI40" s="275">
        <v>-4.95</v>
      </c>
      <c r="AJ40" s="276">
        <v>1</v>
      </c>
      <c r="AK40" s="277"/>
      <c r="AL40" s="272">
        <v>-7</v>
      </c>
      <c r="AM40" s="278">
        <v>0</v>
      </c>
      <c r="AN40" s="274"/>
      <c r="AO40" s="275">
        <v>-7</v>
      </c>
      <c r="AP40" s="276">
        <v>0</v>
      </c>
      <c r="AQ40" s="277"/>
      <c r="AR40" s="272">
        <v>-4.3</v>
      </c>
      <c r="AS40" s="278">
        <v>1</v>
      </c>
      <c r="AT40" s="274"/>
      <c r="AU40" s="275">
        <v>22.9375</v>
      </c>
      <c r="AV40" s="276">
        <v>3</v>
      </c>
      <c r="AW40" s="277"/>
      <c r="AX40" s="272">
        <v>37</v>
      </c>
      <c r="AY40" s="278">
        <v>3</v>
      </c>
      <c r="AZ40" s="274">
        <v>5</v>
      </c>
      <c r="BA40" s="275">
        <v>-7</v>
      </c>
      <c r="BB40" s="276">
        <v>0</v>
      </c>
      <c r="BC40" s="277"/>
      <c r="BD40" s="272">
        <v>-4.55</v>
      </c>
      <c r="BE40" s="278">
        <v>1</v>
      </c>
      <c r="BF40" s="274"/>
      <c r="BG40" s="275">
        <v>-3.7</v>
      </c>
      <c r="BH40" s="279">
        <v>1</v>
      </c>
      <c r="BI40" s="277"/>
      <c r="BJ40" s="272">
        <v>6.9600000000000009</v>
      </c>
      <c r="BK40" s="278">
        <v>2</v>
      </c>
      <c r="BL40" s="274"/>
      <c r="BM40" s="275">
        <v>-5.0909090909090908</v>
      </c>
      <c r="BN40" s="279">
        <v>1</v>
      </c>
      <c r="BO40" s="277"/>
      <c r="BP40" s="272">
        <v>16.800000000000004</v>
      </c>
      <c r="BQ40" s="278">
        <v>3</v>
      </c>
      <c r="BR40" s="274"/>
      <c r="BS40" s="275">
        <v>-2.0600000000000005</v>
      </c>
      <c r="BT40" s="276">
        <v>2</v>
      </c>
      <c r="BU40" s="277"/>
      <c r="BV40" s="275">
        <f t="shared" si="12"/>
        <v>34.263474025974027</v>
      </c>
      <c r="BW40" s="276">
        <f t="shared" si="13"/>
        <v>27</v>
      </c>
      <c r="BX40" s="277">
        <f t="shared" si="14"/>
        <v>10</v>
      </c>
      <c r="BY40" s="52"/>
      <c r="DX40" s="53"/>
      <c r="DY40" s="53"/>
      <c r="EF40" s="50"/>
      <c r="EG40" s="50"/>
    </row>
    <row r="41" spans="1:137">
      <c r="A41" s="282">
        <f t="shared" si="9"/>
        <v>13</v>
      </c>
      <c r="B41" s="282">
        <f t="shared" si="1"/>
        <v>32</v>
      </c>
      <c r="C41" s="282">
        <v>14</v>
      </c>
      <c r="D41" s="328" t="str">
        <f>INDEX(Table!E:E,MATCH(E41,Table!F:F,0))</f>
        <v>D</v>
      </c>
      <c r="E41" s="268" t="s">
        <v>293</v>
      </c>
      <c r="F41" s="280">
        <f t="shared" si="10"/>
        <v>15.795069652569646</v>
      </c>
      <c r="G41" s="58">
        <f t="shared" si="11"/>
        <v>33</v>
      </c>
      <c r="H41" s="280">
        <v>-1.4000000000000004</v>
      </c>
      <c r="I41" s="148">
        <v>2</v>
      </c>
      <c r="J41" s="270">
        <f t="shared" si="7"/>
        <v>15</v>
      </c>
      <c r="K41" s="271"/>
      <c r="L41" s="271">
        <f>INDEX(Table!N:N,MATCH(E41,Table!F:F,0))</f>
        <v>4.83</v>
      </c>
      <c r="M41" s="270">
        <f t="shared" si="8"/>
        <v>19.829999999999998</v>
      </c>
      <c r="N41" s="272">
        <v>44.945454545454552</v>
      </c>
      <c r="O41" s="273">
        <v>3</v>
      </c>
      <c r="P41" s="274">
        <v>10</v>
      </c>
      <c r="Q41" s="275">
        <v>-7</v>
      </c>
      <c r="R41" s="276">
        <v>0</v>
      </c>
      <c r="S41" s="277"/>
      <c r="T41" s="272">
        <v>15.219999999999999</v>
      </c>
      <c r="U41" s="278">
        <v>3</v>
      </c>
      <c r="V41" s="274">
        <v>5</v>
      </c>
      <c r="W41" s="275">
        <v>-3.2777777777777777</v>
      </c>
      <c r="X41" s="276">
        <v>2</v>
      </c>
      <c r="Y41" s="277"/>
      <c r="Z41" s="272">
        <v>-1.0256410256410255</v>
      </c>
      <c r="AA41" s="278">
        <v>2</v>
      </c>
      <c r="AB41" s="274"/>
      <c r="AC41" s="275">
        <v>-7</v>
      </c>
      <c r="AD41" s="276">
        <v>0</v>
      </c>
      <c r="AE41" s="277"/>
      <c r="AF41" s="272">
        <v>-1.2866666666666671</v>
      </c>
      <c r="AG41" s="278">
        <v>2</v>
      </c>
      <c r="AH41" s="274"/>
      <c r="AI41" s="275">
        <v>-0.83249999999999957</v>
      </c>
      <c r="AJ41" s="276">
        <v>2</v>
      </c>
      <c r="AK41" s="277"/>
      <c r="AL41" s="272">
        <v>-5.5</v>
      </c>
      <c r="AM41" s="278">
        <v>1</v>
      </c>
      <c r="AN41" s="274"/>
      <c r="AO41" s="275">
        <v>-3.25</v>
      </c>
      <c r="AP41" s="276">
        <v>1</v>
      </c>
      <c r="AQ41" s="277"/>
      <c r="AR41" s="272">
        <v>-7</v>
      </c>
      <c r="AS41" s="278">
        <v>0</v>
      </c>
      <c r="AT41" s="274"/>
      <c r="AU41" s="275">
        <v>-5.6363636363636367</v>
      </c>
      <c r="AV41" s="276">
        <v>1</v>
      </c>
      <c r="AW41" s="277"/>
      <c r="AX41" s="272">
        <v>-1.125</v>
      </c>
      <c r="AY41" s="278">
        <v>2</v>
      </c>
      <c r="AZ41" s="274"/>
      <c r="BA41" s="275">
        <v>-1.125</v>
      </c>
      <c r="BB41" s="276">
        <v>2</v>
      </c>
      <c r="BC41" s="277"/>
      <c r="BD41" s="272">
        <v>10.208333333333332</v>
      </c>
      <c r="BE41" s="278">
        <v>3</v>
      </c>
      <c r="BF41" s="274"/>
      <c r="BG41" s="275">
        <v>-2.412698412698413</v>
      </c>
      <c r="BH41" s="279">
        <v>2</v>
      </c>
      <c r="BI41" s="277"/>
      <c r="BJ41" s="272">
        <v>-1.8888888888888893</v>
      </c>
      <c r="BK41" s="278">
        <v>2</v>
      </c>
      <c r="BL41" s="274"/>
      <c r="BM41" s="275">
        <v>-5.4</v>
      </c>
      <c r="BN41" s="279">
        <v>1</v>
      </c>
      <c r="BO41" s="277"/>
      <c r="BP41" s="272">
        <v>0.58181818181818201</v>
      </c>
      <c r="BQ41" s="278">
        <v>2</v>
      </c>
      <c r="BR41" s="274"/>
      <c r="BS41" s="275">
        <v>-1.4000000000000004</v>
      </c>
      <c r="BT41" s="276">
        <v>2</v>
      </c>
      <c r="BU41" s="277"/>
      <c r="BV41" s="275">
        <f t="shared" si="12"/>
        <v>15.795069652569659</v>
      </c>
      <c r="BW41" s="276">
        <f t="shared" si="13"/>
        <v>33</v>
      </c>
      <c r="BX41" s="277">
        <f t="shared" si="14"/>
        <v>15</v>
      </c>
      <c r="BY41" s="52"/>
      <c r="DX41" s="53"/>
      <c r="DY41" s="53"/>
      <c r="EF41" s="50"/>
      <c r="EG41" s="50"/>
    </row>
    <row r="42" spans="1:137">
      <c r="A42" s="282">
        <f t="shared" si="9"/>
        <v>44</v>
      </c>
      <c r="B42" s="282">
        <f t="shared" si="1"/>
        <v>44</v>
      </c>
      <c r="C42" s="282">
        <v>42</v>
      </c>
      <c r="D42" s="328" t="str">
        <f>INDEX(Table!E:E,MATCH(E42,Table!F:F,0))</f>
        <v>D</v>
      </c>
      <c r="E42" s="268" t="s">
        <v>387</v>
      </c>
      <c r="F42" s="280">
        <f t="shared" si="10"/>
        <v>-36.874810606060599</v>
      </c>
      <c r="G42" s="58">
        <f t="shared" si="11"/>
        <v>24</v>
      </c>
      <c r="H42" s="280">
        <v>-3.9</v>
      </c>
      <c r="I42" s="148">
        <v>1</v>
      </c>
      <c r="J42" s="270">
        <f t="shared" si="7"/>
        <v>10</v>
      </c>
      <c r="K42" s="271"/>
      <c r="L42" s="271">
        <f>INDEX(Table!N:N,MATCH(E42,Table!F:F,0))</f>
        <v>0</v>
      </c>
      <c r="M42" s="270">
        <f t="shared" si="8"/>
        <v>10</v>
      </c>
      <c r="N42" s="272">
        <v>-4.75</v>
      </c>
      <c r="O42" s="273">
        <v>1</v>
      </c>
      <c r="P42" s="274"/>
      <c r="Q42" s="275">
        <v>-4.4000000000000004</v>
      </c>
      <c r="R42" s="276">
        <v>1</v>
      </c>
      <c r="S42" s="277"/>
      <c r="T42" s="272">
        <v>-7</v>
      </c>
      <c r="U42" s="278">
        <v>0</v>
      </c>
      <c r="V42" s="274"/>
      <c r="W42" s="275">
        <v>-0.54444444444444429</v>
      </c>
      <c r="X42" s="276">
        <v>2</v>
      </c>
      <c r="Y42" s="277"/>
      <c r="Z42" s="272">
        <v>-5.2</v>
      </c>
      <c r="AA42" s="278">
        <v>1</v>
      </c>
      <c r="AB42" s="274"/>
      <c r="AC42" s="275">
        <v>-7</v>
      </c>
      <c r="AD42" s="276">
        <v>0</v>
      </c>
      <c r="AE42" s="277"/>
      <c r="AF42" s="272">
        <v>-7</v>
      </c>
      <c r="AG42" s="278">
        <v>0</v>
      </c>
      <c r="AH42" s="274"/>
      <c r="AI42" s="275">
        <v>-5.05</v>
      </c>
      <c r="AJ42" s="276">
        <v>1</v>
      </c>
      <c r="AK42" s="277"/>
      <c r="AL42" s="272">
        <v>17.764444444444443</v>
      </c>
      <c r="AM42" s="278">
        <v>3</v>
      </c>
      <c r="AN42" s="274">
        <v>5</v>
      </c>
      <c r="AO42" s="275">
        <v>7.1272727272727288</v>
      </c>
      <c r="AP42" s="276">
        <v>2</v>
      </c>
      <c r="AQ42" s="277">
        <v>5</v>
      </c>
      <c r="AR42" s="272">
        <v>-0.47750000000000004</v>
      </c>
      <c r="AS42" s="278">
        <v>2</v>
      </c>
      <c r="AT42" s="274"/>
      <c r="AU42" s="275">
        <v>3.6437500000000007</v>
      </c>
      <c r="AV42" s="276">
        <v>2</v>
      </c>
      <c r="AW42" s="277"/>
      <c r="AX42" s="272">
        <v>-7</v>
      </c>
      <c r="AY42" s="278">
        <v>0</v>
      </c>
      <c r="AZ42" s="274"/>
      <c r="BA42" s="275">
        <v>-0.84999999999999964</v>
      </c>
      <c r="BB42" s="276">
        <v>2</v>
      </c>
      <c r="BC42" s="277"/>
      <c r="BD42" s="272">
        <v>-0.875</v>
      </c>
      <c r="BE42" s="278">
        <v>2</v>
      </c>
      <c r="BF42" s="274"/>
      <c r="BG42" s="275">
        <v>-7</v>
      </c>
      <c r="BH42" s="279">
        <v>0</v>
      </c>
      <c r="BI42" s="277"/>
      <c r="BJ42" s="272">
        <v>-1.0333333333333332</v>
      </c>
      <c r="BK42" s="278">
        <v>2</v>
      </c>
      <c r="BL42" s="274"/>
      <c r="BM42" s="275">
        <v>-0.33000000000000007</v>
      </c>
      <c r="BN42" s="279">
        <v>2</v>
      </c>
      <c r="BO42" s="277"/>
      <c r="BP42" s="272">
        <v>-3</v>
      </c>
      <c r="BQ42" s="278">
        <v>0</v>
      </c>
      <c r="BR42" s="274"/>
      <c r="BS42" s="275">
        <v>-3.9</v>
      </c>
      <c r="BT42" s="276">
        <v>1</v>
      </c>
      <c r="BU42" s="277"/>
      <c r="BV42" s="275">
        <f t="shared" si="12"/>
        <v>-36.874810606060606</v>
      </c>
      <c r="BW42" s="276">
        <f t="shared" si="13"/>
        <v>24</v>
      </c>
      <c r="BX42" s="277">
        <f t="shared" si="14"/>
        <v>10</v>
      </c>
      <c r="BY42" s="52"/>
      <c r="DX42" s="53"/>
      <c r="DY42" s="53"/>
      <c r="EF42" s="50"/>
      <c r="EG42" s="50"/>
    </row>
    <row r="43" spans="1:137">
      <c r="A43" s="282">
        <f t="shared" si="9"/>
        <v>29</v>
      </c>
      <c r="B43" s="282">
        <f t="shared" si="1"/>
        <v>18</v>
      </c>
      <c r="C43" s="282">
        <v>29</v>
      </c>
      <c r="D43" s="328" t="str">
        <f>INDEX(Table!E:E,MATCH(E43,Table!F:F,0))</f>
        <v>B</v>
      </c>
      <c r="E43" s="268" t="s">
        <v>304</v>
      </c>
      <c r="F43" s="280">
        <f t="shared" si="10"/>
        <v>-8.5038636363636364</v>
      </c>
      <c r="G43" s="58">
        <f t="shared" si="11"/>
        <v>25</v>
      </c>
      <c r="H43" s="280">
        <v>6.666666666666643E-2</v>
      </c>
      <c r="I43" s="148">
        <v>2</v>
      </c>
      <c r="J43" s="270">
        <f t="shared" si="7"/>
        <v>10</v>
      </c>
      <c r="K43" s="271"/>
      <c r="L43" s="271">
        <f>INDEX(Table!N:N,MATCH(E43,Table!F:F,0))</f>
        <v>0</v>
      </c>
      <c r="M43" s="270">
        <f t="shared" si="8"/>
        <v>10</v>
      </c>
      <c r="N43" s="272">
        <v>-5.7</v>
      </c>
      <c r="O43" s="273">
        <v>1</v>
      </c>
      <c r="P43" s="274"/>
      <c r="Q43" s="275">
        <v>-4.4000000000000004</v>
      </c>
      <c r="R43" s="276">
        <v>1</v>
      </c>
      <c r="S43" s="277"/>
      <c r="T43" s="272">
        <v>-7</v>
      </c>
      <c r="U43" s="278">
        <v>0</v>
      </c>
      <c r="V43" s="274"/>
      <c r="W43" s="275">
        <v>-7</v>
      </c>
      <c r="X43" s="276">
        <v>0</v>
      </c>
      <c r="Y43" s="277"/>
      <c r="Z43" s="272">
        <v>-5</v>
      </c>
      <c r="AA43" s="278">
        <v>1</v>
      </c>
      <c r="AB43" s="274"/>
      <c r="AC43" s="275">
        <v>-4.2</v>
      </c>
      <c r="AD43" s="276">
        <v>1</v>
      </c>
      <c r="AE43" s="277"/>
      <c r="AF43" s="272">
        <v>-5.3333333333333339</v>
      </c>
      <c r="AG43" s="278">
        <v>1</v>
      </c>
      <c r="AH43" s="274"/>
      <c r="AI43" s="275">
        <v>-5.05</v>
      </c>
      <c r="AJ43" s="276">
        <v>1</v>
      </c>
      <c r="AK43" s="277"/>
      <c r="AL43" s="272">
        <v>36.000000000000007</v>
      </c>
      <c r="AM43" s="278">
        <v>3</v>
      </c>
      <c r="AN43" s="274">
        <v>10</v>
      </c>
      <c r="AO43" s="275">
        <v>-2.8</v>
      </c>
      <c r="AP43" s="276">
        <v>1</v>
      </c>
      <c r="AQ43" s="277"/>
      <c r="AR43" s="272">
        <v>3.0545454545454547</v>
      </c>
      <c r="AS43" s="278">
        <v>2</v>
      </c>
      <c r="AT43" s="274"/>
      <c r="AU43" s="275">
        <v>-4.5999999999999996</v>
      </c>
      <c r="AV43" s="276">
        <v>1</v>
      </c>
      <c r="AW43" s="277"/>
      <c r="AX43" s="272">
        <v>-3.75</v>
      </c>
      <c r="AY43" s="278">
        <v>1</v>
      </c>
      <c r="AZ43" s="274"/>
      <c r="BA43" s="275">
        <v>4.7874999999999979</v>
      </c>
      <c r="BB43" s="276">
        <v>2</v>
      </c>
      <c r="BC43" s="277"/>
      <c r="BD43" s="272">
        <v>12.7</v>
      </c>
      <c r="BE43" s="278">
        <v>2</v>
      </c>
      <c r="BF43" s="274"/>
      <c r="BG43" s="275">
        <v>-4.583333333333333</v>
      </c>
      <c r="BH43" s="279">
        <v>1</v>
      </c>
      <c r="BI43" s="277"/>
      <c r="BJ43" s="272">
        <v>2.3949999999999996</v>
      </c>
      <c r="BK43" s="278">
        <v>2</v>
      </c>
      <c r="BL43" s="274"/>
      <c r="BM43" s="275">
        <v>-5.0909090909090908</v>
      </c>
      <c r="BN43" s="279">
        <v>1</v>
      </c>
      <c r="BO43" s="277"/>
      <c r="BP43" s="272">
        <v>-3</v>
      </c>
      <c r="BQ43" s="278">
        <v>1</v>
      </c>
      <c r="BR43" s="274"/>
      <c r="BS43" s="275">
        <v>6.666666666666643E-2</v>
      </c>
      <c r="BT43" s="276">
        <v>2</v>
      </c>
      <c r="BU43" s="277"/>
      <c r="BV43" s="275">
        <f t="shared" si="12"/>
        <v>-8.5038636363636293</v>
      </c>
      <c r="BW43" s="276">
        <f t="shared" si="13"/>
        <v>25</v>
      </c>
      <c r="BX43" s="277">
        <f t="shared" si="14"/>
        <v>10</v>
      </c>
      <c r="BY43" s="52"/>
      <c r="DX43" s="53"/>
      <c r="DY43" s="53"/>
      <c r="EF43" s="50"/>
      <c r="EG43" s="50"/>
    </row>
    <row r="44" spans="1:137">
      <c r="A44" s="282">
        <f t="shared" si="9"/>
        <v>14</v>
      </c>
      <c r="B44" s="282">
        <f t="shared" si="1"/>
        <v>21</v>
      </c>
      <c r="C44" s="282">
        <v>15</v>
      </c>
      <c r="D44" s="328" t="str">
        <f>INDEX(Table!E:E,MATCH(E44,Table!F:F,0))</f>
        <v>B</v>
      </c>
      <c r="E44" s="268" t="s">
        <v>319</v>
      </c>
      <c r="F44" s="280">
        <f t="shared" si="10"/>
        <v>14.139742479742479</v>
      </c>
      <c r="G44" s="58">
        <f t="shared" si="11"/>
        <v>36</v>
      </c>
      <c r="H44" s="280">
        <v>-0.40404040404040309</v>
      </c>
      <c r="I44" s="148">
        <v>2</v>
      </c>
      <c r="J44" s="270">
        <f t="shared" si="7"/>
        <v>0</v>
      </c>
      <c r="K44" s="271"/>
      <c r="L44" s="271">
        <f>INDEX(Table!N:N,MATCH(E44,Table!F:F,0))</f>
        <v>37.26</v>
      </c>
      <c r="M44" s="270">
        <f t="shared" si="8"/>
        <v>37.26</v>
      </c>
      <c r="N44" s="272">
        <v>-7</v>
      </c>
      <c r="O44" s="273">
        <v>0</v>
      </c>
      <c r="P44" s="274"/>
      <c r="Q44" s="275">
        <v>1.2399999999999984</v>
      </c>
      <c r="R44" s="276">
        <v>2</v>
      </c>
      <c r="S44" s="277"/>
      <c r="T44" s="272">
        <v>-4.4000000000000004</v>
      </c>
      <c r="U44" s="278">
        <v>1</v>
      </c>
      <c r="V44" s="274"/>
      <c r="W44" s="275">
        <v>-1.5950000000000006</v>
      </c>
      <c r="X44" s="276">
        <v>2</v>
      </c>
      <c r="Y44" s="277"/>
      <c r="Z44" s="272">
        <v>-0.67692307692307629</v>
      </c>
      <c r="AA44" s="278">
        <v>2</v>
      </c>
      <c r="AB44" s="274"/>
      <c r="AC44" s="275">
        <v>-7</v>
      </c>
      <c r="AD44" s="276">
        <v>0</v>
      </c>
      <c r="AE44" s="277"/>
      <c r="AF44" s="272">
        <v>0.1589743589743593</v>
      </c>
      <c r="AG44" s="278">
        <v>2</v>
      </c>
      <c r="AH44" s="274"/>
      <c r="AI44" s="275">
        <v>4.545454545454497E-2</v>
      </c>
      <c r="AJ44" s="276">
        <v>2</v>
      </c>
      <c r="AK44" s="277"/>
      <c r="AL44" s="272">
        <v>-1.25</v>
      </c>
      <c r="AM44" s="278">
        <v>2</v>
      </c>
      <c r="AN44" s="274"/>
      <c r="AO44" s="275">
        <v>-5.35</v>
      </c>
      <c r="AP44" s="276">
        <v>1</v>
      </c>
      <c r="AQ44" s="277"/>
      <c r="AR44" s="272">
        <v>-5.35</v>
      </c>
      <c r="AS44" s="278">
        <v>1</v>
      </c>
      <c r="AT44" s="274"/>
      <c r="AU44" s="275">
        <v>14.75</v>
      </c>
      <c r="AV44" s="276">
        <v>3</v>
      </c>
      <c r="AW44" s="277"/>
      <c r="AX44" s="272">
        <v>-1.25</v>
      </c>
      <c r="AY44" s="278">
        <v>2</v>
      </c>
      <c r="AZ44" s="274"/>
      <c r="BA44" s="275">
        <v>-5.4</v>
      </c>
      <c r="BB44" s="276">
        <v>1</v>
      </c>
      <c r="BC44" s="277"/>
      <c r="BD44" s="272">
        <v>11.855</v>
      </c>
      <c r="BE44" s="278">
        <v>3</v>
      </c>
      <c r="BF44" s="274"/>
      <c r="BG44" s="275">
        <v>0.80000000000000071</v>
      </c>
      <c r="BH44" s="279">
        <v>2</v>
      </c>
      <c r="BI44" s="277"/>
      <c r="BJ44" s="272">
        <v>0.54999999999999982</v>
      </c>
      <c r="BK44" s="278">
        <v>2</v>
      </c>
      <c r="BL44" s="274"/>
      <c r="BM44" s="275">
        <v>9.2266666666666666</v>
      </c>
      <c r="BN44" s="279">
        <v>3</v>
      </c>
      <c r="BO44" s="277"/>
      <c r="BP44" s="272">
        <v>15.18961038961039</v>
      </c>
      <c r="BQ44" s="278">
        <v>3</v>
      </c>
      <c r="BR44" s="274"/>
      <c r="BS44" s="275">
        <v>-0.40404040404040309</v>
      </c>
      <c r="BT44" s="276">
        <v>2</v>
      </c>
      <c r="BU44" s="277"/>
      <c r="BV44" s="275">
        <f t="shared" si="12"/>
        <v>14.139742479742484</v>
      </c>
      <c r="BW44" s="276">
        <f t="shared" si="13"/>
        <v>36</v>
      </c>
      <c r="BX44" s="277">
        <f t="shared" si="14"/>
        <v>0</v>
      </c>
      <c r="BY44" s="52"/>
      <c r="DX44" s="53"/>
      <c r="DY44" s="53"/>
      <c r="EF44" s="50"/>
      <c r="EG44" s="50"/>
    </row>
    <row r="45" spans="1:137">
      <c r="A45" s="282">
        <f t="shared" si="9"/>
        <v>12</v>
      </c>
      <c r="B45" s="282">
        <f t="shared" si="1"/>
        <v>38</v>
      </c>
      <c r="C45" s="282">
        <v>10</v>
      </c>
      <c r="D45" s="328" t="str">
        <f>INDEX(Table!E:E,MATCH(E45,Table!F:F,0))</f>
        <v>C</v>
      </c>
      <c r="E45" s="268" t="s">
        <v>386</v>
      </c>
      <c r="F45" s="280">
        <f t="shared" si="10"/>
        <v>19.261527777777779</v>
      </c>
      <c r="G45" s="58">
        <f t="shared" si="11"/>
        <v>29</v>
      </c>
      <c r="H45" s="280">
        <v>-2.6222222222222218</v>
      </c>
      <c r="I45" s="148">
        <v>2</v>
      </c>
      <c r="J45" s="270">
        <f t="shared" si="7"/>
        <v>15</v>
      </c>
      <c r="K45" s="271"/>
      <c r="L45" s="271">
        <f>INDEX(Table!N:N,MATCH(E45,Table!F:F,0))</f>
        <v>25.875</v>
      </c>
      <c r="M45" s="270">
        <f t="shared" si="8"/>
        <v>40.875</v>
      </c>
      <c r="N45" s="272">
        <v>-5.4666666666666668</v>
      </c>
      <c r="O45" s="273">
        <v>1</v>
      </c>
      <c r="P45" s="274"/>
      <c r="Q45" s="275">
        <v>-4.7</v>
      </c>
      <c r="R45" s="276">
        <v>1</v>
      </c>
      <c r="S45" s="277"/>
      <c r="T45" s="272">
        <v>22.24</v>
      </c>
      <c r="U45" s="278">
        <v>3</v>
      </c>
      <c r="V45" s="274">
        <v>5</v>
      </c>
      <c r="W45" s="275">
        <v>-7</v>
      </c>
      <c r="X45" s="276">
        <v>0</v>
      </c>
      <c r="Y45" s="277"/>
      <c r="Z45" s="272">
        <v>-3.7</v>
      </c>
      <c r="AA45" s="278">
        <v>1</v>
      </c>
      <c r="AB45" s="274"/>
      <c r="AC45" s="275">
        <v>-0.20833333333333304</v>
      </c>
      <c r="AD45" s="276">
        <v>2</v>
      </c>
      <c r="AE45" s="277"/>
      <c r="AF45" s="272">
        <v>7.40625</v>
      </c>
      <c r="AG45" s="278">
        <v>2</v>
      </c>
      <c r="AH45" s="274"/>
      <c r="AI45" s="275">
        <v>-5.65</v>
      </c>
      <c r="AJ45" s="276">
        <v>1</v>
      </c>
      <c r="AK45" s="277"/>
      <c r="AL45" s="272">
        <v>11.55</v>
      </c>
      <c r="AM45" s="278">
        <v>2</v>
      </c>
      <c r="AN45" s="274"/>
      <c r="AO45" s="275">
        <v>-3.7</v>
      </c>
      <c r="AP45" s="276">
        <v>1</v>
      </c>
      <c r="AQ45" s="277"/>
      <c r="AR45" s="272">
        <v>-4.625</v>
      </c>
      <c r="AS45" s="278">
        <v>1</v>
      </c>
      <c r="AT45" s="274"/>
      <c r="AU45" s="275">
        <v>-7</v>
      </c>
      <c r="AV45" s="276">
        <v>0</v>
      </c>
      <c r="AW45" s="277"/>
      <c r="AX45" s="272">
        <v>8.8000000000000025</v>
      </c>
      <c r="AY45" s="278">
        <v>2</v>
      </c>
      <c r="AZ45" s="274">
        <v>5</v>
      </c>
      <c r="BA45" s="275">
        <v>-3.75</v>
      </c>
      <c r="BB45" s="276">
        <v>1</v>
      </c>
      <c r="BC45" s="277"/>
      <c r="BD45" s="272">
        <v>6.6625000000000014</v>
      </c>
      <c r="BE45" s="278">
        <v>2</v>
      </c>
      <c r="BF45" s="274"/>
      <c r="BG45" s="275">
        <v>3</v>
      </c>
      <c r="BH45" s="279">
        <v>2</v>
      </c>
      <c r="BI45" s="277"/>
      <c r="BJ45" s="272">
        <v>-5.5</v>
      </c>
      <c r="BK45" s="278">
        <v>1</v>
      </c>
      <c r="BL45" s="274"/>
      <c r="BM45" s="275">
        <v>10.274999999999999</v>
      </c>
      <c r="BN45" s="279">
        <v>2</v>
      </c>
      <c r="BO45" s="277">
        <v>5</v>
      </c>
      <c r="BP45" s="272">
        <v>3.25</v>
      </c>
      <c r="BQ45" s="278">
        <v>2</v>
      </c>
      <c r="BR45" s="274"/>
      <c r="BS45" s="275">
        <v>-2.6222222222222218</v>
      </c>
      <c r="BT45" s="276">
        <v>2</v>
      </c>
      <c r="BU45" s="277"/>
      <c r="BV45" s="275">
        <f t="shared" si="12"/>
        <v>19.261527777777779</v>
      </c>
      <c r="BW45" s="276">
        <f t="shared" si="13"/>
        <v>29</v>
      </c>
      <c r="BX45" s="277">
        <f t="shared" si="14"/>
        <v>15</v>
      </c>
      <c r="BY45" s="52"/>
      <c r="DX45" s="53"/>
      <c r="DY45" s="53"/>
      <c r="EF45" s="50"/>
      <c r="EG45" s="50"/>
    </row>
    <row r="46" spans="1:137">
      <c r="A46" s="282">
        <f t="shared" si="9"/>
        <v>19</v>
      </c>
      <c r="B46" s="282">
        <f t="shared" si="1"/>
        <v>10</v>
      </c>
      <c r="C46" s="282">
        <v>19</v>
      </c>
      <c r="D46" s="328" t="str">
        <f>INDEX(Table!E:E,MATCH(E46,Table!F:F,0))</f>
        <v>A</v>
      </c>
      <c r="E46" s="268" t="s">
        <v>318</v>
      </c>
      <c r="F46" s="280">
        <f t="shared" si="10"/>
        <v>8.1695454545454549</v>
      </c>
      <c r="G46" s="58">
        <f t="shared" si="11"/>
        <v>24</v>
      </c>
      <c r="H46" s="280">
        <v>2.7249999999999996</v>
      </c>
      <c r="I46" s="148">
        <v>2</v>
      </c>
      <c r="J46" s="270">
        <f t="shared" si="7"/>
        <v>15</v>
      </c>
      <c r="K46" s="271"/>
      <c r="L46" s="271">
        <f>INDEX(Table!N:N,MATCH(E46,Table!F:F,0))</f>
        <v>0</v>
      </c>
      <c r="M46" s="270">
        <f t="shared" si="8"/>
        <v>15</v>
      </c>
      <c r="N46" s="272">
        <v>1.454545454545455</v>
      </c>
      <c r="O46" s="273">
        <v>2</v>
      </c>
      <c r="P46" s="274"/>
      <c r="Q46" s="275">
        <v>-4.8499999999999996</v>
      </c>
      <c r="R46" s="276">
        <v>1</v>
      </c>
      <c r="S46" s="277"/>
      <c r="T46" s="272">
        <v>3.16</v>
      </c>
      <c r="U46" s="278">
        <v>2</v>
      </c>
      <c r="V46" s="274"/>
      <c r="W46" s="275">
        <v>-7</v>
      </c>
      <c r="X46" s="276">
        <v>0</v>
      </c>
      <c r="Y46" s="277"/>
      <c r="Z46" s="272">
        <v>-5.2</v>
      </c>
      <c r="AA46" s="278">
        <v>1</v>
      </c>
      <c r="AB46" s="274"/>
      <c r="AC46" s="275">
        <v>-7</v>
      </c>
      <c r="AD46" s="276">
        <v>0</v>
      </c>
      <c r="AE46" s="277"/>
      <c r="AF46" s="272">
        <v>-7</v>
      </c>
      <c r="AG46" s="278">
        <v>0</v>
      </c>
      <c r="AH46" s="274"/>
      <c r="AI46" s="275">
        <v>-5.05</v>
      </c>
      <c r="AJ46" s="276">
        <v>1</v>
      </c>
      <c r="AK46" s="277"/>
      <c r="AL46" s="272">
        <v>-4.545454545454545</v>
      </c>
      <c r="AM46" s="278">
        <v>1</v>
      </c>
      <c r="AN46" s="274"/>
      <c r="AO46" s="275">
        <v>-4.8</v>
      </c>
      <c r="AP46" s="276">
        <v>1</v>
      </c>
      <c r="AQ46" s="277"/>
      <c r="AR46" s="272">
        <v>-5.2</v>
      </c>
      <c r="AS46" s="278">
        <v>1</v>
      </c>
      <c r="AT46" s="274"/>
      <c r="AU46" s="275">
        <v>27.36</v>
      </c>
      <c r="AV46" s="276">
        <v>3</v>
      </c>
      <c r="AW46" s="277">
        <v>5</v>
      </c>
      <c r="AX46" s="272">
        <v>-5.05</v>
      </c>
      <c r="AY46" s="278">
        <v>1</v>
      </c>
      <c r="AZ46" s="274"/>
      <c r="BA46" s="275">
        <v>-4.3</v>
      </c>
      <c r="BB46" s="276">
        <v>1</v>
      </c>
      <c r="BC46" s="277"/>
      <c r="BD46" s="272">
        <v>25.119999999999997</v>
      </c>
      <c r="BE46" s="278">
        <v>3</v>
      </c>
      <c r="BF46" s="274">
        <v>10</v>
      </c>
      <c r="BG46" s="275">
        <v>-7</v>
      </c>
      <c r="BH46" s="279">
        <v>0</v>
      </c>
      <c r="BI46" s="277"/>
      <c r="BJ46" s="272">
        <v>-7</v>
      </c>
      <c r="BK46" s="278">
        <v>0</v>
      </c>
      <c r="BL46" s="274"/>
      <c r="BM46" s="275">
        <v>-4.5999999999999996</v>
      </c>
      <c r="BN46" s="279">
        <v>1</v>
      </c>
      <c r="BO46" s="277"/>
      <c r="BP46" s="272">
        <v>26.945454545454552</v>
      </c>
      <c r="BQ46" s="278">
        <v>3</v>
      </c>
      <c r="BR46" s="274"/>
      <c r="BS46" s="275">
        <v>2.7249999999999996</v>
      </c>
      <c r="BT46" s="276">
        <v>2</v>
      </c>
      <c r="BU46" s="277"/>
      <c r="BV46" s="275">
        <f t="shared" si="12"/>
        <v>8.1695454545454602</v>
      </c>
      <c r="BW46" s="276">
        <f t="shared" si="13"/>
        <v>24</v>
      </c>
      <c r="BX46" s="277">
        <f t="shared" si="14"/>
        <v>15</v>
      </c>
      <c r="BY46" s="52"/>
      <c r="DX46" s="53"/>
      <c r="DY46" s="53"/>
      <c r="EF46" s="50"/>
      <c r="EG46" s="50"/>
    </row>
    <row r="47" spans="1:137">
      <c r="A47" s="282">
        <f t="shared" si="9"/>
        <v>61</v>
      </c>
      <c r="B47" s="282">
        <f t="shared" si="1"/>
        <v>50</v>
      </c>
      <c r="C47" s="282">
        <v>61</v>
      </c>
      <c r="D47" s="328" t="str">
        <f>INDEX(Table!E:E,MATCH(E47,Table!F:F,0))</f>
        <v>C</v>
      </c>
      <c r="E47" s="268" t="s">
        <v>302</v>
      </c>
      <c r="F47" s="280">
        <f t="shared" si="10"/>
        <v>-108.66882783882784</v>
      </c>
      <c r="G47" s="58">
        <f t="shared" si="11"/>
        <v>10</v>
      </c>
      <c r="H47" s="280">
        <v>-7</v>
      </c>
      <c r="I47" s="148">
        <v>0</v>
      </c>
      <c r="J47" s="270">
        <f t="shared" si="7"/>
        <v>0</v>
      </c>
      <c r="K47" s="271"/>
      <c r="L47" s="271">
        <f>INDEX(Table!N:N,MATCH(E47,Table!F:F,0))</f>
        <v>0</v>
      </c>
      <c r="M47" s="270">
        <f t="shared" si="8"/>
        <v>0</v>
      </c>
      <c r="N47" s="272">
        <v>-5.2</v>
      </c>
      <c r="O47" s="273">
        <v>1</v>
      </c>
      <c r="P47" s="274"/>
      <c r="Q47" s="275">
        <v>0.39999999999999947</v>
      </c>
      <c r="R47" s="276">
        <v>2</v>
      </c>
      <c r="S47" s="277"/>
      <c r="T47" s="272">
        <v>-7</v>
      </c>
      <c r="U47" s="278">
        <v>0</v>
      </c>
      <c r="V47" s="274"/>
      <c r="W47" s="275">
        <v>-7</v>
      </c>
      <c r="X47" s="276">
        <v>0</v>
      </c>
      <c r="Y47" s="277"/>
      <c r="Z47" s="272">
        <v>-1.8285714285714292</v>
      </c>
      <c r="AA47" s="278">
        <v>2</v>
      </c>
      <c r="AB47" s="274"/>
      <c r="AC47" s="275">
        <v>-7</v>
      </c>
      <c r="AD47" s="276">
        <v>0</v>
      </c>
      <c r="AE47" s="277"/>
      <c r="AF47" s="272">
        <v>-0.41025641025641058</v>
      </c>
      <c r="AG47" s="278">
        <v>2</v>
      </c>
      <c r="AH47" s="274"/>
      <c r="AI47" s="275">
        <v>-4.75</v>
      </c>
      <c r="AJ47" s="276">
        <v>1</v>
      </c>
      <c r="AK47" s="277"/>
      <c r="AL47" s="272">
        <v>-7</v>
      </c>
      <c r="AM47" s="278">
        <v>0</v>
      </c>
      <c r="AN47" s="274"/>
      <c r="AO47" s="275">
        <v>1.120000000000001</v>
      </c>
      <c r="AP47" s="276">
        <v>2</v>
      </c>
      <c r="AQ47" s="277"/>
      <c r="AR47" s="272">
        <v>-7</v>
      </c>
      <c r="AS47" s="278">
        <v>0</v>
      </c>
      <c r="AT47" s="274"/>
      <c r="AU47" s="275">
        <v>-7</v>
      </c>
      <c r="AV47" s="276">
        <v>0</v>
      </c>
      <c r="AW47" s="277"/>
      <c r="AX47" s="272">
        <v>-7</v>
      </c>
      <c r="AY47" s="278">
        <v>0</v>
      </c>
      <c r="AZ47" s="274"/>
      <c r="BA47" s="275">
        <v>-7</v>
      </c>
      <c r="BB47" s="276">
        <v>0</v>
      </c>
      <c r="BC47" s="277"/>
      <c r="BD47" s="272">
        <v>-7</v>
      </c>
      <c r="BE47" s="278">
        <v>0</v>
      </c>
      <c r="BF47" s="274"/>
      <c r="BG47" s="275">
        <v>-7</v>
      </c>
      <c r="BH47" s="279">
        <v>0</v>
      </c>
      <c r="BI47" s="277"/>
      <c r="BJ47" s="272">
        <v>-7</v>
      </c>
      <c r="BK47" s="278">
        <v>0</v>
      </c>
      <c r="BL47" s="274"/>
      <c r="BM47" s="275">
        <v>-7</v>
      </c>
      <c r="BN47" s="279">
        <v>0</v>
      </c>
      <c r="BO47" s="277"/>
      <c r="BP47" s="272">
        <v>-7</v>
      </c>
      <c r="BQ47" s="278">
        <v>0</v>
      </c>
      <c r="BR47" s="274"/>
      <c r="BS47" s="275">
        <v>-7</v>
      </c>
      <c r="BT47" s="276">
        <v>0</v>
      </c>
      <c r="BU47" s="277"/>
      <c r="BV47" s="275">
        <f t="shared" si="12"/>
        <v>-108.66882783882782</v>
      </c>
      <c r="BW47" s="276">
        <f t="shared" si="13"/>
        <v>10</v>
      </c>
      <c r="BX47" s="277">
        <f t="shared" si="14"/>
        <v>0</v>
      </c>
      <c r="BY47" s="52"/>
      <c r="DX47" s="53"/>
      <c r="DY47" s="53"/>
      <c r="EF47" s="50"/>
      <c r="EG47" s="50"/>
    </row>
    <row r="48" spans="1:137">
      <c r="A48" s="282">
        <f t="shared" si="9"/>
        <v>22</v>
      </c>
      <c r="B48" s="282">
        <f t="shared" si="1"/>
        <v>32</v>
      </c>
      <c r="C48" s="282">
        <v>20</v>
      </c>
      <c r="D48" s="328" t="str">
        <f>INDEX(Table!E:E,MATCH(E48,Table!F:F,0))</f>
        <v>C</v>
      </c>
      <c r="E48" s="268" t="s">
        <v>297</v>
      </c>
      <c r="F48" s="280">
        <f t="shared" si="10"/>
        <v>2.4150762987012921</v>
      </c>
      <c r="G48" s="58">
        <f t="shared" si="11"/>
        <v>29</v>
      </c>
      <c r="H48" s="280">
        <v>-1.4000000000000004</v>
      </c>
      <c r="I48" s="148">
        <v>2</v>
      </c>
      <c r="J48" s="270">
        <f t="shared" si="7"/>
        <v>10</v>
      </c>
      <c r="K48" s="271"/>
      <c r="L48" s="271">
        <f>INDEX(Table!N:N,MATCH(E48,Table!F:F,0))</f>
        <v>18.63</v>
      </c>
      <c r="M48" s="270">
        <f t="shared" si="8"/>
        <v>28.63</v>
      </c>
      <c r="N48" s="272">
        <v>-1.5</v>
      </c>
      <c r="O48" s="273">
        <v>1</v>
      </c>
      <c r="P48" s="274"/>
      <c r="Q48" s="275">
        <v>-5.3333333333333339</v>
      </c>
      <c r="R48" s="276">
        <v>1</v>
      </c>
      <c r="S48" s="277"/>
      <c r="T48" s="272">
        <v>1.4499999999999993</v>
      </c>
      <c r="U48" s="278">
        <v>2</v>
      </c>
      <c r="V48" s="274"/>
      <c r="W48" s="275">
        <v>-5.666666666666667</v>
      </c>
      <c r="X48" s="276">
        <v>1</v>
      </c>
      <c r="Y48" s="277"/>
      <c r="Z48" s="272">
        <v>-5.7142857142857144</v>
      </c>
      <c r="AA48" s="278">
        <v>1</v>
      </c>
      <c r="AB48" s="274"/>
      <c r="AC48" s="275">
        <v>-4.55</v>
      </c>
      <c r="AD48" s="276">
        <v>1</v>
      </c>
      <c r="AE48" s="277"/>
      <c r="AF48" s="272">
        <v>24.625</v>
      </c>
      <c r="AG48" s="278">
        <v>2</v>
      </c>
      <c r="AH48" s="274">
        <v>10</v>
      </c>
      <c r="AI48" s="275">
        <v>-7</v>
      </c>
      <c r="AJ48" s="276">
        <v>0</v>
      </c>
      <c r="AK48" s="277"/>
      <c r="AL48" s="272">
        <v>-5.05</v>
      </c>
      <c r="AM48" s="278">
        <v>1</v>
      </c>
      <c r="AN48" s="274"/>
      <c r="AO48" s="275">
        <v>-3.25</v>
      </c>
      <c r="AP48" s="276">
        <v>1</v>
      </c>
      <c r="AQ48" s="277"/>
      <c r="AR48" s="272">
        <v>-4.75</v>
      </c>
      <c r="AS48" s="278">
        <v>1</v>
      </c>
      <c r="AT48" s="274"/>
      <c r="AU48" s="275">
        <v>17.645454545454545</v>
      </c>
      <c r="AV48" s="276">
        <v>3</v>
      </c>
      <c r="AW48" s="277"/>
      <c r="AX48" s="272">
        <v>-5.25</v>
      </c>
      <c r="AY48" s="278">
        <v>1</v>
      </c>
      <c r="AZ48" s="274"/>
      <c r="BA48" s="275">
        <v>1.021374999999999</v>
      </c>
      <c r="BB48" s="276">
        <v>3</v>
      </c>
      <c r="BC48" s="277"/>
      <c r="BD48" s="272">
        <v>7.870000000000001</v>
      </c>
      <c r="BE48" s="278">
        <v>2</v>
      </c>
      <c r="BF48" s="274"/>
      <c r="BG48" s="275">
        <v>-7</v>
      </c>
      <c r="BH48" s="279">
        <v>0</v>
      </c>
      <c r="BI48" s="277"/>
      <c r="BJ48" s="272">
        <v>-2.3000000000000007</v>
      </c>
      <c r="BK48" s="278">
        <v>2</v>
      </c>
      <c r="BL48" s="274"/>
      <c r="BM48" s="275">
        <v>-5.5</v>
      </c>
      <c r="BN48" s="279">
        <v>1</v>
      </c>
      <c r="BO48" s="277"/>
      <c r="BP48" s="272">
        <v>14.067532467532466</v>
      </c>
      <c r="BQ48" s="278">
        <v>3</v>
      </c>
      <c r="BR48" s="274"/>
      <c r="BS48" s="275">
        <v>-1.4000000000000004</v>
      </c>
      <c r="BT48" s="276">
        <v>2</v>
      </c>
      <c r="BU48" s="277"/>
      <c r="BV48" s="275">
        <f t="shared" si="12"/>
        <v>2.4150762987012886</v>
      </c>
      <c r="BW48" s="276">
        <f t="shared" si="13"/>
        <v>29</v>
      </c>
      <c r="BX48" s="277">
        <f t="shared" si="14"/>
        <v>10</v>
      </c>
      <c r="BY48" s="52"/>
      <c r="DX48" s="53"/>
      <c r="DY48" s="53"/>
      <c r="EF48" s="50"/>
      <c r="EG48" s="50"/>
    </row>
    <row r="49" spans="1:137" ht="12" customHeight="1">
      <c r="A49" s="282">
        <f t="shared" si="9"/>
        <v>34</v>
      </c>
      <c r="B49" s="282">
        <f t="shared" si="1"/>
        <v>20</v>
      </c>
      <c r="C49" s="282">
        <v>33</v>
      </c>
      <c r="D49" s="328" t="str">
        <f>INDEX(Table!E:E,MATCH(E49,Table!F:F,0))</f>
        <v>C</v>
      </c>
      <c r="E49" s="268" t="s">
        <v>287</v>
      </c>
      <c r="F49" s="280">
        <f t="shared" si="10"/>
        <v>-18.029573204573211</v>
      </c>
      <c r="G49" s="58">
        <f t="shared" si="11"/>
        <v>29</v>
      </c>
      <c r="H49" s="280">
        <v>-0.30499999999999972</v>
      </c>
      <c r="I49" s="148">
        <v>2</v>
      </c>
      <c r="J49" s="270">
        <f t="shared" si="7"/>
        <v>5</v>
      </c>
      <c r="K49" s="271"/>
      <c r="L49" s="271">
        <f>INDEX(Table!N:N,MATCH(E49,Table!F:F,0))</f>
        <v>0</v>
      </c>
      <c r="M49" s="270">
        <f t="shared" si="8"/>
        <v>5</v>
      </c>
      <c r="N49" s="272">
        <v>15.870000000000005</v>
      </c>
      <c r="O49" s="273">
        <v>3</v>
      </c>
      <c r="P49" s="274"/>
      <c r="Q49" s="275">
        <v>-3.9</v>
      </c>
      <c r="R49" s="276">
        <v>1</v>
      </c>
      <c r="S49" s="277"/>
      <c r="T49" s="272">
        <v>-7</v>
      </c>
      <c r="U49" s="278">
        <v>0</v>
      </c>
      <c r="V49" s="274"/>
      <c r="W49" s="275">
        <v>-3.75</v>
      </c>
      <c r="X49" s="276">
        <v>1</v>
      </c>
      <c r="Y49" s="277"/>
      <c r="Z49" s="272">
        <v>-5.384615384615385</v>
      </c>
      <c r="AA49" s="278">
        <v>1</v>
      </c>
      <c r="AB49" s="274"/>
      <c r="AC49" s="275">
        <v>-7</v>
      </c>
      <c r="AD49" s="276">
        <v>0</v>
      </c>
      <c r="AE49" s="277"/>
      <c r="AF49" s="272">
        <v>0.1589743589743593</v>
      </c>
      <c r="AG49" s="278">
        <v>2</v>
      </c>
      <c r="AH49" s="274"/>
      <c r="AI49" s="275">
        <v>2.8000000000000007</v>
      </c>
      <c r="AJ49" s="276">
        <v>2</v>
      </c>
      <c r="AK49" s="277"/>
      <c r="AL49" s="272">
        <v>-7</v>
      </c>
      <c r="AM49" s="278">
        <v>0</v>
      </c>
      <c r="AN49" s="274"/>
      <c r="AO49" s="275">
        <v>0.29090909090909101</v>
      </c>
      <c r="AP49" s="276">
        <v>2</v>
      </c>
      <c r="AQ49" s="277"/>
      <c r="AR49" s="272">
        <v>-4.8499999999999996</v>
      </c>
      <c r="AS49" s="278">
        <v>1</v>
      </c>
      <c r="AT49" s="274"/>
      <c r="AU49" s="275">
        <v>1.3499999999999996</v>
      </c>
      <c r="AV49" s="276">
        <v>2</v>
      </c>
      <c r="AW49" s="277"/>
      <c r="AX49" s="272">
        <v>-3.6</v>
      </c>
      <c r="AY49" s="278">
        <v>1</v>
      </c>
      <c r="AZ49" s="274"/>
      <c r="BA49" s="275">
        <v>-5.25</v>
      </c>
      <c r="BB49" s="276">
        <v>1</v>
      </c>
      <c r="BC49" s="277"/>
      <c r="BD49" s="272">
        <v>15.559999999999995</v>
      </c>
      <c r="BE49" s="278">
        <v>3</v>
      </c>
      <c r="BF49" s="274">
        <v>5</v>
      </c>
      <c r="BG49" s="275">
        <v>0.84999999999999964</v>
      </c>
      <c r="BH49" s="279">
        <v>2</v>
      </c>
      <c r="BI49" s="277"/>
      <c r="BJ49" s="272">
        <v>-1.8888888888888893</v>
      </c>
      <c r="BK49" s="278">
        <v>2</v>
      </c>
      <c r="BL49" s="274"/>
      <c r="BM49" s="275">
        <v>-5.4666666666666668</v>
      </c>
      <c r="BN49" s="279">
        <v>1</v>
      </c>
      <c r="BO49" s="277"/>
      <c r="BP49" s="272">
        <v>0.48571428571428488</v>
      </c>
      <c r="BQ49" s="278">
        <v>2</v>
      </c>
      <c r="BR49" s="274"/>
      <c r="BS49" s="275">
        <v>-0.30499999999999972</v>
      </c>
      <c r="BT49" s="276">
        <v>2</v>
      </c>
      <c r="BU49" s="277"/>
      <c r="BV49" s="275">
        <f t="shared" si="12"/>
        <v>-18.029573204573204</v>
      </c>
      <c r="BW49" s="276">
        <f t="shared" si="13"/>
        <v>29</v>
      </c>
      <c r="BX49" s="277">
        <f t="shared" si="14"/>
        <v>5</v>
      </c>
      <c r="BY49" s="52"/>
      <c r="DX49" s="53"/>
      <c r="DY49" s="53"/>
      <c r="EF49" s="50"/>
      <c r="EG49" s="50"/>
    </row>
    <row r="50" spans="1:137">
      <c r="A50" s="282">
        <f t="shared" si="9"/>
        <v>43</v>
      </c>
      <c r="B50" s="282">
        <f t="shared" si="1"/>
        <v>48</v>
      </c>
      <c r="C50" s="282">
        <v>39</v>
      </c>
      <c r="D50" s="328" t="str">
        <f>INDEX(Table!E:E,MATCH(E50,Table!F:F,0))</f>
        <v>D</v>
      </c>
      <c r="E50" s="268" t="s">
        <v>309</v>
      </c>
      <c r="F50" s="280">
        <f t="shared" si="10"/>
        <v>-34.910024087024084</v>
      </c>
      <c r="G50" s="58">
        <f t="shared" si="11"/>
        <v>19</v>
      </c>
      <c r="H50" s="280">
        <v>-5.5555555555555554</v>
      </c>
      <c r="I50" s="148">
        <v>1</v>
      </c>
      <c r="J50" s="270">
        <f t="shared" si="7"/>
        <v>5</v>
      </c>
      <c r="K50" s="271">
        <v>25</v>
      </c>
      <c r="L50" s="271">
        <f>INDEX(Table!N:N,MATCH(E50,Table!F:F,0))</f>
        <v>0</v>
      </c>
      <c r="M50" s="270">
        <f t="shared" si="8"/>
        <v>30</v>
      </c>
      <c r="N50" s="272">
        <v>11.274592074592075</v>
      </c>
      <c r="O50" s="273">
        <v>3</v>
      </c>
      <c r="P50" s="274"/>
      <c r="Q50" s="275">
        <v>-5.3333333333333339</v>
      </c>
      <c r="R50" s="276">
        <v>1</v>
      </c>
      <c r="S50" s="277"/>
      <c r="T50" s="272">
        <v>4.8999999999999986</v>
      </c>
      <c r="U50" s="278">
        <v>2</v>
      </c>
      <c r="V50" s="274"/>
      <c r="W50" s="275">
        <v>7.0450000000000017</v>
      </c>
      <c r="X50" s="276">
        <v>2</v>
      </c>
      <c r="Y50" s="277"/>
      <c r="Z50" s="272">
        <v>-7</v>
      </c>
      <c r="AA50" s="278">
        <v>0</v>
      </c>
      <c r="AB50" s="274"/>
      <c r="AC50" s="275">
        <v>-7</v>
      </c>
      <c r="AD50" s="276">
        <v>0</v>
      </c>
      <c r="AE50" s="277"/>
      <c r="AF50" s="272">
        <v>-7</v>
      </c>
      <c r="AG50" s="278">
        <v>0</v>
      </c>
      <c r="AH50" s="274"/>
      <c r="AI50" s="275">
        <v>-2.5</v>
      </c>
      <c r="AJ50" s="276">
        <v>1</v>
      </c>
      <c r="AK50" s="277"/>
      <c r="AL50" s="272">
        <v>18.432000000000002</v>
      </c>
      <c r="AM50" s="278">
        <v>3</v>
      </c>
      <c r="AN50" s="274">
        <v>5</v>
      </c>
      <c r="AO50" s="275">
        <v>-7</v>
      </c>
      <c r="AP50" s="276">
        <v>0</v>
      </c>
      <c r="AQ50" s="277"/>
      <c r="AR50" s="272">
        <v>-7</v>
      </c>
      <c r="AS50" s="278">
        <v>0</v>
      </c>
      <c r="AT50" s="274"/>
      <c r="AU50" s="275">
        <v>-0.67272727272727195</v>
      </c>
      <c r="AV50" s="276">
        <v>2</v>
      </c>
      <c r="AW50" s="277"/>
      <c r="AX50" s="272">
        <v>1.5</v>
      </c>
      <c r="AY50" s="278">
        <v>1</v>
      </c>
      <c r="AZ50" s="274"/>
      <c r="BA50" s="275">
        <v>-7</v>
      </c>
      <c r="BB50" s="276">
        <v>0</v>
      </c>
      <c r="BC50" s="277"/>
      <c r="BD50" s="272">
        <v>-7</v>
      </c>
      <c r="BE50" s="278">
        <v>0</v>
      </c>
      <c r="BF50" s="274"/>
      <c r="BG50" s="275">
        <v>-7</v>
      </c>
      <c r="BH50" s="279">
        <v>0</v>
      </c>
      <c r="BI50" s="277"/>
      <c r="BJ50" s="272">
        <v>-7</v>
      </c>
      <c r="BK50" s="278">
        <v>0</v>
      </c>
      <c r="BL50" s="274"/>
      <c r="BM50" s="275">
        <v>3.75</v>
      </c>
      <c r="BN50" s="279">
        <v>2</v>
      </c>
      <c r="BO50" s="277"/>
      <c r="BP50" s="272">
        <v>-4.75</v>
      </c>
      <c r="BQ50" s="278">
        <v>1</v>
      </c>
      <c r="BR50" s="274"/>
      <c r="BS50" s="275">
        <v>-5.5555555555555554</v>
      </c>
      <c r="BT50" s="276">
        <v>1</v>
      </c>
      <c r="BU50" s="277"/>
      <c r="BV50" s="275">
        <f t="shared" si="12"/>
        <v>-34.910024087024084</v>
      </c>
      <c r="BW50" s="276">
        <f t="shared" si="13"/>
        <v>19</v>
      </c>
      <c r="BX50" s="277">
        <f t="shared" si="14"/>
        <v>5</v>
      </c>
      <c r="BY50" s="52"/>
      <c r="DX50" s="53"/>
      <c r="DY50" s="53"/>
      <c r="EF50" s="50"/>
      <c r="EG50" s="50"/>
    </row>
    <row r="51" spans="1:137">
      <c r="A51" s="282">
        <f t="shared" si="9"/>
        <v>1</v>
      </c>
      <c r="B51" s="282">
        <f t="shared" si="1"/>
        <v>26</v>
      </c>
      <c r="C51" s="282">
        <v>1</v>
      </c>
      <c r="D51" s="328" t="str">
        <f>INDEX(Table!E:E,MATCH(E51,Table!F:F,0))</f>
        <v>A</v>
      </c>
      <c r="E51" s="268" t="s">
        <v>314</v>
      </c>
      <c r="F51" s="280">
        <f t="shared" si="10"/>
        <v>169.73645789898993</v>
      </c>
      <c r="G51" s="58">
        <f t="shared" si="11"/>
        <v>18</v>
      </c>
      <c r="H51" s="280">
        <v>-1</v>
      </c>
      <c r="I51" s="148">
        <v>0</v>
      </c>
      <c r="J51" s="270">
        <f t="shared" si="7"/>
        <v>10</v>
      </c>
      <c r="K51" s="271"/>
      <c r="L51" s="271">
        <f>INDEX(Table!N:N,MATCH(E51,Table!F:F,0))</f>
        <v>108.675</v>
      </c>
      <c r="M51" s="270">
        <f t="shared" si="8"/>
        <v>118.675</v>
      </c>
      <c r="N51" s="272">
        <v>-7</v>
      </c>
      <c r="O51" s="273">
        <v>0</v>
      </c>
      <c r="P51" s="274"/>
      <c r="Q51" s="275">
        <v>-4.95</v>
      </c>
      <c r="R51" s="276">
        <v>1</v>
      </c>
      <c r="S51" s="277"/>
      <c r="T51" s="272">
        <v>-7</v>
      </c>
      <c r="U51" s="278">
        <v>0</v>
      </c>
      <c r="V51" s="274"/>
      <c r="W51" s="275">
        <v>3.2444444444444436</v>
      </c>
      <c r="X51" s="276">
        <v>2</v>
      </c>
      <c r="Y51" s="277"/>
      <c r="Z51" s="272">
        <v>-7</v>
      </c>
      <c r="AA51" s="278">
        <v>0</v>
      </c>
      <c r="AB51" s="274"/>
      <c r="AC51" s="275">
        <v>-7</v>
      </c>
      <c r="AD51" s="276">
        <v>0</v>
      </c>
      <c r="AE51" s="277"/>
      <c r="AF51" s="272">
        <v>-4.545454545454545</v>
      </c>
      <c r="AG51" s="278">
        <v>1</v>
      </c>
      <c r="AH51" s="274"/>
      <c r="AI51" s="275">
        <v>-7</v>
      </c>
      <c r="AJ51" s="276">
        <v>0</v>
      </c>
      <c r="AK51" s="277"/>
      <c r="AL51" s="272">
        <v>-5.3</v>
      </c>
      <c r="AM51" s="278">
        <v>1</v>
      </c>
      <c r="AN51" s="274"/>
      <c r="AO51" s="275">
        <v>-7</v>
      </c>
      <c r="AP51" s="276">
        <v>0</v>
      </c>
      <c r="AQ51" s="277"/>
      <c r="AR51" s="272">
        <v>-4.3</v>
      </c>
      <c r="AS51" s="278">
        <v>1</v>
      </c>
      <c r="AT51" s="274"/>
      <c r="AU51" s="275">
        <v>232</v>
      </c>
      <c r="AV51" s="276">
        <v>3</v>
      </c>
      <c r="AW51" s="277">
        <v>10</v>
      </c>
      <c r="AX51" s="272">
        <v>-7</v>
      </c>
      <c r="AY51" s="278">
        <v>0</v>
      </c>
      <c r="AZ51" s="274"/>
      <c r="BA51" s="275">
        <v>0.14746799999999993</v>
      </c>
      <c r="BB51" s="276">
        <v>3</v>
      </c>
      <c r="BC51" s="277"/>
      <c r="BD51" s="272">
        <v>-3</v>
      </c>
      <c r="BE51" s="278">
        <v>0</v>
      </c>
      <c r="BF51" s="274"/>
      <c r="BG51" s="275">
        <v>-7</v>
      </c>
      <c r="BH51" s="279">
        <v>0</v>
      </c>
      <c r="BI51" s="277"/>
      <c r="BJ51" s="272">
        <v>6.52</v>
      </c>
      <c r="BK51" s="278">
        <v>2</v>
      </c>
      <c r="BL51" s="274"/>
      <c r="BM51" s="275">
        <v>-3.6</v>
      </c>
      <c r="BN51" s="279">
        <v>1</v>
      </c>
      <c r="BO51" s="277"/>
      <c r="BP51" s="272">
        <v>10.519999999999998</v>
      </c>
      <c r="BQ51" s="278">
        <v>3</v>
      </c>
      <c r="BR51" s="274"/>
      <c r="BS51" s="275">
        <v>-1</v>
      </c>
      <c r="BT51" s="276">
        <v>0</v>
      </c>
      <c r="BU51" s="277"/>
      <c r="BV51" s="275">
        <f t="shared" si="12"/>
        <v>169.7364578989899</v>
      </c>
      <c r="BW51" s="276">
        <f t="shared" si="13"/>
        <v>18</v>
      </c>
      <c r="BX51" s="277">
        <f t="shared" si="14"/>
        <v>10</v>
      </c>
      <c r="BY51" s="52"/>
      <c r="DX51" s="53"/>
      <c r="DY51" s="53"/>
      <c r="EF51" s="50"/>
      <c r="EG51" s="50"/>
    </row>
    <row r="52" spans="1:137">
      <c r="A52" s="282">
        <f t="shared" si="9"/>
        <v>25</v>
      </c>
      <c r="B52" s="282">
        <f t="shared" si="1"/>
        <v>32</v>
      </c>
      <c r="C52" s="282">
        <v>25</v>
      </c>
      <c r="D52" s="328" t="str">
        <f>INDEX(Table!E:E,MATCH(E52,Table!F:F,0))</f>
        <v>C</v>
      </c>
      <c r="E52" s="268" t="s">
        <v>291</v>
      </c>
      <c r="F52" s="280">
        <f t="shared" si="10"/>
        <v>-3.3833078780194183</v>
      </c>
      <c r="G52" s="58">
        <f t="shared" si="11"/>
        <v>32</v>
      </c>
      <c r="H52" s="280">
        <v>-1.4000000000000004</v>
      </c>
      <c r="I52" s="148">
        <v>2</v>
      </c>
      <c r="J52" s="270">
        <f t="shared" si="7"/>
        <v>10</v>
      </c>
      <c r="K52" s="271">
        <v>15</v>
      </c>
      <c r="L52" s="271">
        <f>INDEX(Table!N:N,MATCH(E52,Table!F:F,0))</f>
        <v>7.2450000000000001</v>
      </c>
      <c r="M52" s="270">
        <f t="shared" si="8"/>
        <v>32.244999999999997</v>
      </c>
      <c r="N52" s="272">
        <v>-1.9846153846153847</v>
      </c>
      <c r="O52" s="273">
        <v>2</v>
      </c>
      <c r="P52" s="274"/>
      <c r="Q52" s="275">
        <v>2.9333333333333336</v>
      </c>
      <c r="R52" s="276">
        <v>2</v>
      </c>
      <c r="S52" s="277"/>
      <c r="T52" s="272">
        <v>-5.15</v>
      </c>
      <c r="U52" s="278">
        <v>1</v>
      </c>
      <c r="V52" s="274"/>
      <c r="W52" s="275">
        <v>-7</v>
      </c>
      <c r="X52" s="276">
        <v>0</v>
      </c>
      <c r="Y52" s="277"/>
      <c r="Z52" s="272">
        <v>7.0485207100591722</v>
      </c>
      <c r="AA52" s="278">
        <v>3</v>
      </c>
      <c r="AB52" s="274">
        <v>5</v>
      </c>
      <c r="AC52" s="275">
        <v>-7</v>
      </c>
      <c r="AD52" s="276">
        <v>0</v>
      </c>
      <c r="AE52" s="277"/>
      <c r="AF52" s="272">
        <v>-5</v>
      </c>
      <c r="AG52" s="278">
        <v>1</v>
      </c>
      <c r="AH52" s="274"/>
      <c r="AI52" s="275">
        <v>0.84999999999999964</v>
      </c>
      <c r="AJ52" s="276">
        <v>2</v>
      </c>
      <c r="AK52" s="277"/>
      <c r="AL52" s="272">
        <v>-0.65625</v>
      </c>
      <c r="AM52" s="278">
        <v>2</v>
      </c>
      <c r="AN52" s="274"/>
      <c r="AO52" s="275">
        <v>-5.15</v>
      </c>
      <c r="AP52" s="276">
        <v>1</v>
      </c>
      <c r="AQ52" s="277"/>
      <c r="AR52" s="272">
        <v>0.82000000000000028</v>
      </c>
      <c r="AS52" s="278">
        <v>2</v>
      </c>
      <c r="AT52" s="274"/>
      <c r="AU52" s="275">
        <v>-0.4375</v>
      </c>
      <c r="AV52" s="276">
        <v>2</v>
      </c>
      <c r="AW52" s="277"/>
      <c r="AX52" s="272">
        <v>-5.4285714285714288</v>
      </c>
      <c r="AY52" s="278">
        <v>1</v>
      </c>
      <c r="AZ52" s="274"/>
      <c r="BA52" s="275">
        <v>-4.7</v>
      </c>
      <c r="BB52" s="276">
        <v>1</v>
      </c>
      <c r="BC52" s="277"/>
      <c r="BD52" s="272">
        <v>14.846060606060604</v>
      </c>
      <c r="BE52" s="278">
        <v>3</v>
      </c>
      <c r="BF52" s="274"/>
      <c r="BG52" s="275">
        <v>19.877499999999998</v>
      </c>
      <c r="BH52" s="279">
        <v>3</v>
      </c>
      <c r="BI52" s="277">
        <v>5</v>
      </c>
      <c r="BJ52" s="272">
        <v>0.66249999999999964</v>
      </c>
      <c r="BK52" s="278">
        <v>2</v>
      </c>
      <c r="BL52" s="274"/>
      <c r="BM52" s="275">
        <v>-7</v>
      </c>
      <c r="BN52" s="279">
        <v>0</v>
      </c>
      <c r="BO52" s="277"/>
      <c r="BP52" s="272">
        <v>0.48571428571428488</v>
      </c>
      <c r="BQ52" s="278">
        <v>2</v>
      </c>
      <c r="BR52" s="274"/>
      <c r="BS52" s="275">
        <v>-1.4000000000000004</v>
      </c>
      <c r="BT52" s="276">
        <v>2</v>
      </c>
      <c r="BU52" s="277"/>
      <c r="BV52" s="275">
        <f t="shared" si="12"/>
        <v>-3.383307878019421</v>
      </c>
      <c r="BW52" s="276">
        <f t="shared" si="13"/>
        <v>32</v>
      </c>
      <c r="BX52" s="277">
        <f t="shared" si="14"/>
        <v>10</v>
      </c>
      <c r="BY52" s="52"/>
      <c r="DX52" s="53"/>
      <c r="DY52" s="53"/>
      <c r="EF52" s="50"/>
      <c r="EG52" s="50"/>
    </row>
    <row r="53" spans="1:137">
      <c r="A53" s="282">
        <f t="shared" si="9"/>
        <v>49</v>
      </c>
      <c r="B53" s="282">
        <f t="shared" si="1"/>
        <v>50</v>
      </c>
      <c r="C53" s="282">
        <v>46</v>
      </c>
      <c r="D53" s="328" t="str">
        <f>INDEX(Table!E:E,MATCH(E53,Table!F:F,0))</f>
        <v>B</v>
      </c>
      <c r="E53" s="268" t="s">
        <v>322</v>
      </c>
      <c r="F53" s="280">
        <f t="shared" si="10"/>
        <v>-52.403234567901229</v>
      </c>
      <c r="G53" s="58">
        <f t="shared" si="11"/>
        <v>16</v>
      </c>
      <c r="H53" s="280">
        <v>-7</v>
      </c>
      <c r="I53" s="148">
        <v>0</v>
      </c>
      <c r="J53" s="270">
        <f t="shared" si="7"/>
        <v>5</v>
      </c>
      <c r="K53" s="271"/>
      <c r="L53" s="271">
        <f>INDEX(Table!N:N,MATCH(E53,Table!F:F,0))</f>
        <v>0</v>
      </c>
      <c r="M53" s="270">
        <f t="shared" si="8"/>
        <v>5</v>
      </c>
      <c r="N53" s="272">
        <v>-2.8</v>
      </c>
      <c r="O53" s="273">
        <v>1</v>
      </c>
      <c r="P53" s="274"/>
      <c r="Q53" s="275">
        <v>-7</v>
      </c>
      <c r="R53" s="276">
        <v>0</v>
      </c>
      <c r="S53" s="277"/>
      <c r="T53" s="272">
        <v>9.1999999999999993</v>
      </c>
      <c r="U53" s="278">
        <v>2</v>
      </c>
      <c r="V53" s="274"/>
      <c r="W53" s="275">
        <v>0</v>
      </c>
      <c r="X53" s="276">
        <v>1</v>
      </c>
      <c r="Y53" s="277"/>
      <c r="Z53" s="272">
        <v>-7</v>
      </c>
      <c r="AA53" s="278">
        <v>0</v>
      </c>
      <c r="AB53" s="274"/>
      <c r="AC53" s="275">
        <v>8</v>
      </c>
      <c r="AD53" s="276">
        <v>2</v>
      </c>
      <c r="AE53" s="277">
        <v>5</v>
      </c>
      <c r="AF53" s="272">
        <v>-7</v>
      </c>
      <c r="AG53" s="278">
        <v>0</v>
      </c>
      <c r="AH53" s="274"/>
      <c r="AI53" s="275">
        <v>-4</v>
      </c>
      <c r="AJ53" s="276">
        <v>1</v>
      </c>
      <c r="AK53" s="277"/>
      <c r="AL53" s="272">
        <v>-2.5679012345679011</v>
      </c>
      <c r="AM53" s="278">
        <v>2</v>
      </c>
      <c r="AN53" s="274"/>
      <c r="AO53" s="275">
        <v>-4.95</v>
      </c>
      <c r="AP53" s="276">
        <v>1</v>
      </c>
      <c r="AQ53" s="277"/>
      <c r="AR53" s="272">
        <v>-7</v>
      </c>
      <c r="AS53" s="278">
        <v>0</v>
      </c>
      <c r="AT53" s="274"/>
      <c r="AU53" s="275">
        <v>-7</v>
      </c>
      <c r="AV53" s="276">
        <v>0</v>
      </c>
      <c r="AW53" s="277"/>
      <c r="AX53" s="272">
        <v>-7</v>
      </c>
      <c r="AY53" s="278">
        <v>0</v>
      </c>
      <c r="AZ53" s="274"/>
      <c r="BA53" s="275">
        <v>-3.5853333333333337</v>
      </c>
      <c r="BB53" s="276">
        <v>2</v>
      </c>
      <c r="BC53" s="277"/>
      <c r="BD53" s="272">
        <v>-3.4</v>
      </c>
      <c r="BE53" s="278">
        <v>1</v>
      </c>
      <c r="BF53" s="274"/>
      <c r="BG53" s="275">
        <v>-2.8</v>
      </c>
      <c r="BH53" s="279">
        <v>1</v>
      </c>
      <c r="BI53" s="277"/>
      <c r="BJ53" s="272">
        <v>10.5</v>
      </c>
      <c r="BK53" s="278">
        <v>2</v>
      </c>
      <c r="BL53" s="274"/>
      <c r="BM53" s="275">
        <v>-7</v>
      </c>
      <c r="BN53" s="279">
        <v>0</v>
      </c>
      <c r="BO53" s="277"/>
      <c r="BP53" s="272">
        <v>0</v>
      </c>
      <c r="BQ53" s="278">
        <v>0</v>
      </c>
      <c r="BR53" s="274"/>
      <c r="BS53" s="275">
        <v>-7</v>
      </c>
      <c r="BT53" s="276">
        <v>0</v>
      </c>
      <c r="BU53" s="277"/>
      <c r="BV53" s="275">
        <f t="shared" si="12"/>
        <v>-52.403234567901237</v>
      </c>
      <c r="BW53" s="276">
        <f t="shared" si="13"/>
        <v>16</v>
      </c>
      <c r="BX53" s="277">
        <f t="shared" si="14"/>
        <v>5</v>
      </c>
      <c r="BY53" s="52"/>
      <c r="DX53" s="53"/>
      <c r="DY53" s="53"/>
      <c r="EF53" s="50"/>
      <c r="EG53" s="50"/>
    </row>
    <row r="54" spans="1:137">
      <c r="A54" s="282">
        <f t="shared" si="9"/>
        <v>21</v>
      </c>
      <c r="B54" s="282">
        <f t="shared" si="1"/>
        <v>25</v>
      </c>
      <c r="C54" s="282">
        <v>18</v>
      </c>
      <c r="D54" s="328" t="str">
        <f>INDEX(Table!E:E,MATCH(E54,Table!F:F,0))</f>
        <v>A</v>
      </c>
      <c r="E54" s="268" t="s">
        <v>325</v>
      </c>
      <c r="F54" s="280">
        <f t="shared" si="10"/>
        <v>4.6303696303696311</v>
      </c>
      <c r="G54" s="58">
        <f t="shared" si="11"/>
        <v>30</v>
      </c>
      <c r="H54" s="280">
        <v>-0.93846153846153868</v>
      </c>
      <c r="I54" s="148">
        <v>2</v>
      </c>
      <c r="J54" s="270">
        <f t="shared" si="7"/>
        <v>20</v>
      </c>
      <c r="K54" s="271"/>
      <c r="L54" s="271">
        <f>INDEX(Table!N:N,MATCH(E54,Table!F:F,0))</f>
        <v>0</v>
      </c>
      <c r="M54" s="270">
        <f t="shared" si="8"/>
        <v>20</v>
      </c>
      <c r="N54" s="272">
        <v>10.327272727272728</v>
      </c>
      <c r="O54" s="273">
        <v>3</v>
      </c>
      <c r="P54" s="274"/>
      <c r="Q54" s="275">
        <v>-4.8499999999999996</v>
      </c>
      <c r="R54" s="276">
        <v>1</v>
      </c>
      <c r="S54" s="277"/>
      <c r="T54" s="272">
        <v>37.81818181818182</v>
      </c>
      <c r="U54" s="278">
        <v>3</v>
      </c>
      <c r="V54" s="274">
        <v>10</v>
      </c>
      <c r="W54" s="275">
        <v>-7</v>
      </c>
      <c r="X54" s="276">
        <v>0</v>
      </c>
      <c r="Y54" s="277"/>
      <c r="Z54" s="272">
        <v>-5.3333333333333339</v>
      </c>
      <c r="AA54" s="278">
        <v>1</v>
      </c>
      <c r="AB54" s="274"/>
      <c r="AC54" s="275">
        <v>-0.20833333333333304</v>
      </c>
      <c r="AD54" s="276">
        <v>2</v>
      </c>
      <c r="AE54" s="277"/>
      <c r="AF54" s="272">
        <v>-5.35</v>
      </c>
      <c r="AG54" s="278">
        <v>1</v>
      </c>
      <c r="AH54" s="274"/>
      <c r="AI54" s="275">
        <v>-5.65</v>
      </c>
      <c r="AJ54" s="276">
        <v>1</v>
      </c>
      <c r="AK54" s="277"/>
      <c r="AL54" s="272">
        <v>0.11249999999999982</v>
      </c>
      <c r="AM54" s="278">
        <v>2</v>
      </c>
      <c r="AN54" s="274"/>
      <c r="AO54" s="275">
        <v>1.9124999999999996</v>
      </c>
      <c r="AP54" s="276">
        <v>2</v>
      </c>
      <c r="AQ54" s="277"/>
      <c r="AR54" s="272">
        <v>15.571428571428569</v>
      </c>
      <c r="AS54" s="278">
        <v>3</v>
      </c>
      <c r="AT54" s="274">
        <v>10</v>
      </c>
      <c r="AU54" s="275">
        <v>-7</v>
      </c>
      <c r="AV54" s="276">
        <v>0</v>
      </c>
      <c r="AW54" s="277"/>
      <c r="AX54" s="272">
        <v>-5.25</v>
      </c>
      <c r="AY54" s="278">
        <v>1</v>
      </c>
      <c r="AZ54" s="274"/>
      <c r="BA54" s="275">
        <v>2.2222222222222232</v>
      </c>
      <c r="BB54" s="276">
        <v>2</v>
      </c>
      <c r="BC54" s="277"/>
      <c r="BD54" s="272">
        <v>-2.25</v>
      </c>
      <c r="BE54" s="278">
        <v>2</v>
      </c>
      <c r="BF54" s="274"/>
      <c r="BG54" s="275">
        <v>-2.412698412698413</v>
      </c>
      <c r="BH54" s="279">
        <v>2</v>
      </c>
      <c r="BI54" s="277"/>
      <c r="BJ54" s="272">
        <v>-5</v>
      </c>
      <c r="BK54" s="278">
        <v>1</v>
      </c>
      <c r="BL54" s="274"/>
      <c r="BM54" s="275">
        <v>-7</v>
      </c>
      <c r="BN54" s="279">
        <v>0</v>
      </c>
      <c r="BO54" s="277"/>
      <c r="BP54" s="272">
        <v>-5.0909090909090908</v>
      </c>
      <c r="BQ54" s="278">
        <v>1</v>
      </c>
      <c r="BR54" s="274"/>
      <c r="BS54" s="275">
        <v>-0.93846153846153868</v>
      </c>
      <c r="BT54" s="276">
        <v>2</v>
      </c>
      <c r="BU54" s="277"/>
      <c r="BV54" s="275">
        <f t="shared" si="12"/>
        <v>4.6303696303696302</v>
      </c>
      <c r="BW54" s="276">
        <f t="shared" si="13"/>
        <v>30</v>
      </c>
      <c r="BX54" s="277">
        <f t="shared" si="14"/>
        <v>20</v>
      </c>
      <c r="BY54" s="52"/>
      <c r="DX54" s="53"/>
      <c r="DY54" s="53"/>
      <c r="EF54" s="50"/>
      <c r="EG54" s="50"/>
    </row>
    <row r="55" spans="1:137">
      <c r="A55" s="282">
        <f t="shared" si="9"/>
        <v>2</v>
      </c>
      <c r="B55" s="282">
        <f t="shared" si="1"/>
        <v>3</v>
      </c>
      <c r="C55" s="282">
        <v>4</v>
      </c>
      <c r="D55" s="328" t="str">
        <f>INDEX(Table!E:E,MATCH(E55,Table!F:F,0))</f>
        <v>C</v>
      </c>
      <c r="E55" s="268" t="s">
        <v>313</v>
      </c>
      <c r="F55" s="280">
        <f t="shared" si="10"/>
        <v>81.989544230342304</v>
      </c>
      <c r="G55" s="58">
        <f t="shared" si="11"/>
        <v>39</v>
      </c>
      <c r="H55" s="280">
        <v>15.466666666666669</v>
      </c>
      <c r="I55" s="148">
        <v>3</v>
      </c>
      <c r="J55" s="270">
        <f t="shared" si="7"/>
        <v>25</v>
      </c>
      <c r="K55" s="271"/>
      <c r="L55" s="271">
        <f>INDEX(Table!N:N,MATCH(E55,Table!F:F,0))</f>
        <v>36.225000000000001</v>
      </c>
      <c r="M55" s="270">
        <f t="shared" si="8"/>
        <v>61.225000000000001</v>
      </c>
      <c r="N55" s="272">
        <v>17.425454545454549</v>
      </c>
      <c r="O55" s="273">
        <v>3</v>
      </c>
      <c r="P55" s="274"/>
      <c r="Q55" s="275">
        <v>-4.95</v>
      </c>
      <c r="R55" s="276">
        <v>1</v>
      </c>
      <c r="S55" s="277"/>
      <c r="T55" s="272">
        <v>-0.44749999999999979</v>
      </c>
      <c r="U55" s="278">
        <v>2</v>
      </c>
      <c r="V55" s="274"/>
      <c r="W55" s="275">
        <v>6.666666666666643E-2</v>
      </c>
      <c r="X55" s="276">
        <v>2</v>
      </c>
      <c r="Y55" s="277"/>
      <c r="Z55" s="272">
        <v>-1.4615384615384617</v>
      </c>
      <c r="AA55" s="278">
        <v>2</v>
      </c>
      <c r="AB55" s="274"/>
      <c r="AC55" s="275">
        <v>-7</v>
      </c>
      <c r="AD55" s="276">
        <v>0</v>
      </c>
      <c r="AE55" s="277"/>
      <c r="AF55" s="272">
        <v>-7</v>
      </c>
      <c r="AG55" s="278">
        <v>0</v>
      </c>
      <c r="AH55" s="274"/>
      <c r="AI55" s="275">
        <v>30.25</v>
      </c>
      <c r="AJ55" s="276">
        <v>3</v>
      </c>
      <c r="AK55" s="277">
        <v>5</v>
      </c>
      <c r="AL55" s="272">
        <v>-1.7142857142857144</v>
      </c>
      <c r="AM55" s="278">
        <v>2</v>
      </c>
      <c r="AN55" s="274"/>
      <c r="AO55" s="275">
        <v>9.4546666666666646</v>
      </c>
      <c r="AP55" s="276">
        <v>3</v>
      </c>
      <c r="AQ55" s="277">
        <v>5</v>
      </c>
      <c r="AR55" s="272">
        <v>-5.45</v>
      </c>
      <c r="AS55" s="278">
        <v>1</v>
      </c>
      <c r="AT55" s="274"/>
      <c r="AU55" s="275">
        <v>16.27403846153846</v>
      </c>
      <c r="AV55" s="276">
        <v>3</v>
      </c>
      <c r="AW55" s="277"/>
      <c r="AX55" s="272">
        <v>-5.5</v>
      </c>
      <c r="AY55" s="278">
        <v>1</v>
      </c>
      <c r="AZ55" s="274"/>
      <c r="BA55" s="275">
        <v>-4.7</v>
      </c>
      <c r="BB55" s="276">
        <v>1</v>
      </c>
      <c r="BC55" s="277"/>
      <c r="BD55" s="272">
        <v>9.4166666666666643</v>
      </c>
      <c r="BE55" s="278">
        <v>3</v>
      </c>
      <c r="BF55" s="274"/>
      <c r="BG55" s="275">
        <v>-1.2444444444444454</v>
      </c>
      <c r="BH55" s="279">
        <v>2</v>
      </c>
      <c r="BI55" s="277"/>
      <c r="BJ55" s="272">
        <v>15.203125</v>
      </c>
      <c r="BK55" s="278">
        <v>3</v>
      </c>
      <c r="BL55" s="274">
        <v>5</v>
      </c>
      <c r="BM55" s="275">
        <v>9.3285996055226832</v>
      </c>
      <c r="BN55" s="279">
        <v>3</v>
      </c>
      <c r="BO55" s="277">
        <v>5</v>
      </c>
      <c r="BP55" s="272">
        <v>-1.4285714285714286</v>
      </c>
      <c r="BQ55" s="278">
        <v>1</v>
      </c>
      <c r="BR55" s="274"/>
      <c r="BS55" s="275">
        <v>15.466666666666669</v>
      </c>
      <c r="BT55" s="276">
        <v>3</v>
      </c>
      <c r="BU55" s="277">
        <v>5</v>
      </c>
      <c r="BV55" s="275">
        <f t="shared" si="12"/>
        <v>81.989544230342261</v>
      </c>
      <c r="BW55" s="276">
        <f t="shared" si="13"/>
        <v>39</v>
      </c>
      <c r="BX55" s="277">
        <f t="shared" si="14"/>
        <v>25</v>
      </c>
      <c r="BY55" s="52"/>
      <c r="DX55" s="53"/>
      <c r="DY55" s="53"/>
      <c r="EF55" s="50"/>
      <c r="EG55" s="50"/>
    </row>
    <row r="56" spans="1:137">
      <c r="A56" s="282">
        <f t="shared" si="9"/>
        <v>15</v>
      </c>
      <c r="B56" s="282">
        <f t="shared" si="1"/>
        <v>50</v>
      </c>
      <c r="C56" s="282">
        <v>12</v>
      </c>
      <c r="D56" s="328" t="str">
        <f>INDEX(Table!E:E,MATCH(E56,Table!F:F,0))</f>
        <v>A</v>
      </c>
      <c r="E56" s="268" t="s">
        <v>296</v>
      </c>
      <c r="F56" s="280">
        <f t="shared" si="10"/>
        <v>12.805</v>
      </c>
      <c r="G56" s="58">
        <f t="shared" si="11"/>
        <v>14</v>
      </c>
      <c r="H56" s="280">
        <v>-7</v>
      </c>
      <c r="I56" s="148">
        <v>0</v>
      </c>
      <c r="J56" s="270">
        <f t="shared" si="7"/>
        <v>15</v>
      </c>
      <c r="K56" s="271"/>
      <c r="L56" s="271">
        <f>INDEX(Table!N:N,MATCH(E56,Table!F:F,0))</f>
        <v>21.734999999999999</v>
      </c>
      <c r="M56" s="270">
        <f t="shared" si="8"/>
        <v>36.734999999999999</v>
      </c>
      <c r="N56" s="272">
        <v>-3.9</v>
      </c>
      <c r="O56" s="273">
        <v>1</v>
      </c>
      <c r="P56" s="274"/>
      <c r="Q56" s="275">
        <v>-7</v>
      </c>
      <c r="R56" s="276">
        <v>0</v>
      </c>
      <c r="S56" s="277"/>
      <c r="T56" s="272">
        <v>8.8000000000000007</v>
      </c>
      <c r="U56" s="278">
        <v>2</v>
      </c>
      <c r="V56" s="274"/>
      <c r="W56" s="275">
        <v>8.2100000000000009</v>
      </c>
      <c r="X56" s="276">
        <v>2</v>
      </c>
      <c r="Y56" s="277">
        <v>5</v>
      </c>
      <c r="Z56" s="272">
        <v>-3.7</v>
      </c>
      <c r="AA56" s="278">
        <v>1</v>
      </c>
      <c r="AB56" s="274"/>
      <c r="AC56" s="275">
        <v>-7</v>
      </c>
      <c r="AD56" s="276">
        <v>0</v>
      </c>
      <c r="AE56" s="277"/>
      <c r="AF56" s="272">
        <v>-7</v>
      </c>
      <c r="AG56" s="278">
        <v>0</v>
      </c>
      <c r="AH56" s="274"/>
      <c r="AI56" s="275">
        <v>-7</v>
      </c>
      <c r="AJ56" s="276">
        <v>0</v>
      </c>
      <c r="AK56" s="277"/>
      <c r="AL56" s="272">
        <v>8.77</v>
      </c>
      <c r="AM56" s="278">
        <v>2</v>
      </c>
      <c r="AN56" s="274"/>
      <c r="AO56" s="275">
        <v>-7</v>
      </c>
      <c r="AP56" s="276">
        <v>0</v>
      </c>
      <c r="AQ56" s="277"/>
      <c r="AR56" s="272">
        <v>-7</v>
      </c>
      <c r="AS56" s="278">
        <v>0</v>
      </c>
      <c r="AT56" s="274"/>
      <c r="AU56" s="275">
        <v>-7</v>
      </c>
      <c r="AV56" s="276">
        <v>0</v>
      </c>
      <c r="AW56" s="277"/>
      <c r="AX56" s="272">
        <v>-7</v>
      </c>
      <c r="AY56" s="278">
        <v>0</v>
      </c>
      <c r="AZ56" s="274"/>
      <c r="BA56" s="275">
        <v>-7</v>
      </c>
      <c r="BB56" s="276">
        <v>0</v>
      </c>
      <c r="BC56" s="277"/>
      <c r="BD56" s="272">
        <v>-7</v>
      </c>
      <c r="BE56" s="278">
        <v>0</v>
      </c>
      <c r="BF56" s="274"/>
      <c r="BG56" s="275">
        <v>-3.5</v>
      </c>
      <c r="BH56" s="279">
        <v>1</v>
      </c>
      <c r="BI56" s="277"/>
      <c r="BJ56" s="272">
        <v>-7</v>
      </c>
      <c r="BK56" s="278">
        <v>0</v>
      </c>
      <c r="BL56" s="274"/>
      <c r="BM56" s="275">
        <v>8.875</v>
      </c>
      <c r="BN56" s="279">
        <v>2</v>
      </c>
      <c r="BO56" s="277"/>
      <c r="BP56" s="272">
        <v>73.25</v>
      </c>
      <c r="BQ56" s="278">
        <v>3</v>
      </c>
      <c r="BR56" s="274">
        <v>10</v>
      </c>
      <c r="BS56" s="275">
        <v>-7</v>
      </c>
      <c r="BT56" s="276">
        <v>0</v>
      </c>
      <c r="BU56" s="277"/>
      <c r="BV56" s="275">
        <f t="shared" si="12"/>
        <v>12.805000000000001</v>
      </c>
      <c r="BW56" s="276">
        <f t="shared" si="13"/>
        <v>14</v>
      </c>
      <c r="BX56" s="277">
        <f t="shared" si="14"/>
        <v>15</v>
      </c>
      <c r="BY56" s="52"/>
      <c r="DX56" s="53"/>
      <c r="DY56" s="53"/>
      <c r="EF56" s="50"/>
      <c r="EG56" s="50"/>
    </row>
    <row r="57" spans="1:137">
      <c r="A57" s="282">
        <f t="shared" si="9"/>
        <v>51</v>
      </c>
      <c r="B57" s="282">
        <f t="shared" si="1"/>
        <v>11</v>
      </c>
      <c r="C57" s="282">
        <v>54</v>
      </c>
      <c r="D57" s="328" t="str">
        <f>INDEX(Table!E:E,MATCH(E57,Table!F:F,0))</f>
        <v>B</v>
      </c>
      <c r="E57" s="268" t="s">
        <v>315</v>
      </c>
      <c r="F57" s="280">
        <f t="shared" si="10"/>
        <v>-54.267499999999984</v>
      </c>
      <c r="G57" s="58">
        <f t="shared" si="11"/>
        <v>22</v>
      </c>
      <c r="H57" s="280">
        <v>2.3949999999999996</v>
      </c>
      <c r="I57" s="148">
        <v>2</v>
      </c>
      <c r="J57" s="270">
        <f t="shared" si="7"/>
        <v>5</v>
      </c>
      <c r="K57" s="271"/>
      <c r="L57" s="271">
        <f>INDEX(Table!N:N,MATCH(E57,Table!F:F,0))</f>
        <v>0</v>
      </c>
      <c r="M57" s="270">
        <f t="shared" si="8"/>
        <v>5</v>
      </c>
      <c r="N57" s="272">
        <v>-4.625</v>
      </c>
      <c r="O57" s="273">
        <v>1</v>
      </c>
      <c r="P57" s="274"/>
      <c r="Q57" s="275">
        <v>2.3599999999999994</v>
      </c>
      <c r="R57" s="276">
        <v>2</v>
      </c>
      <c r="S57" s="277"/>
      <c r="T57" s="272">
        <v>-5</v>
      </c>
      <c r="U57" s="278">
        <v>1</v>
      </c>
      <c r="V57" s="274"/>
      <c r="W57" s="275">
        <v>-0.95000000000000018</v>
      </c>
      <c r="X57" s="276">
        <v>1</v>
      </c>
      <c r="Y57" s="277"/>
      <c r="Z57" s="272">
        <v>-4.95</v>
      </c>
      <c r="AA57" s="278">
        <v>1</v>
      </c>
      <c r="AB57" s="274"/>
      <c r="AC57" s="275">
        <v>-7</v>
      </c>
      <c r="AD57" s="276">
        <v>0</v>
      </c>
      <c r="AE57" s="277"/>
      <c r="AF57" s="272">
        <v>-7</v>
      </c>
      <c r="AG57" s="278">
        <v>0</v>
      </c>
      <c r="AH57" s="274"/>
      <c r="AI57" s="275">
        <v>0.84999999999999964</v>
      </c>
      <c r="AJ57" s="276">
        <v>2</v>
      </c>
      <c r="AK57" s="277"/>
      <c r="AL57" s="272">
        <v>-7</v>
      </c>
      <c r="AM57" s="278">
        <v>0</v>
      </c>
      <c r="AN57" s="274"/>
      <c r="AO57" s="275">
        <v>-5.15</v>
      </c>
      <c r="AP57" s="276">
        <v>1</v>
      </c>
      <c r="AQ57" s="277"/>
      <c r="AR57" s="272">
        <v>-4.8499999999999996</v>
      </c>
      <c r="AS57" s="278">
        <v>1</v>
      </c>
      <c r="AT57" s="274"/>
      <c r="AU57" s="275">
        <v>-5.25</v>
      </c>
      <c r="AV57" s="276">
        <v>1</v>
      </c>
      <c r="AW57" s="277"/>
      <c r="AX57" s="272">
        <v>12.240000000000002</v>
      </c>
      <c r="AY57" s="278">
        <v>2</v>
      </c>
      <c r="AZ57" s="274">
        <v>5</v>
      </c>
      <c r="BA57" s="275">
        <v>-3.8</v>
      </c>
      <c r="BB57" s="276">
        <v>1</v>
      </c>
      <c r="BC57" s="277"/>
      <c r="BD57" s="272">
        <v>-4.55</v>
      </c>
      <c r="BE57" s="278">
        <v>1</v>
      </c>
      <c r="BF57" s="274"/>
      <c r="BG57" s="275">
        <v>-3.75</v>
      </c>
      <c r="BH57" s="279">
        <v>1</v>
      </c>
      <c r="BI57" s="277"/>
      <c r="BJ57" s="272">
        <v>0.9375</v>
      </c>
      <c r="BK57" s="278">
        <v>2</v>
      </c>
      <c r="BL57" s="274"/>
      <c r="BM57" s="275">
        <v>-5.05</v>
      </c>
      <c r="BN57" s="279">
        <v>1</v>
      </c>
      <c r="BO57" s="277"/>
      <c r="BP57" s="272">
        <v>-4.125</v>
      </c>
      <c r="BQ57" s="278">
        <v>1</v>
      </c>
      <c r="BR57" s="274"/>
      <c r="BS57" s="275">
        <v>2.3949999999999996</v>
      </c>
      <c r="BT57" s="276">
        <v>2</v>
      </c>
      <c r="BU57" s="277"/>
      <c r="BV57" s="275">
        <f t="shared" si="12"/>
        <v>-54.267500000000005</v>
      </c>
      <c r="BW57" s="276">
        <f t="shared" si="13"/>
        <v>22</v>
      </c>
      <c r="BX57" s="277">
        <f t="shared" si="14"/>
        <v>5</v>
      </c>
      <c r="BY57" s="52"/>
      <c r="DX57" s="53"/>
      <c r="DY57" s="53"/>
      <c r="EF57" s="50"/>
      <c r="EG57" s="50"/>
    </row>
    <row r="58" spans="1:137">
      <c r="A58" s="282">
        <f t="shared" si="9"/>
        <v>54</v>
      </c>
      <c r="B58" s="282">
        <f t="shared" si="1"/>
        <v>32</v>
      </c>
      <c r="C58" s="282">
        <v>56</v>
      </c>
      <c r="D58" s="328" t="str">
        <f>INDEX(Table!E:E,MATCH(E58,Table!F:F,0))</f>
        <v>B</v>
      </c>
      <c r="E58" s="268" t="s">
        <v>288</v>
      </c>
      <c r="F58" s="280">
        <f t="shared" si="10"/>
        <v>-58.936531100478469</v>
      </c>
      <c r="G58" s="58">
        <f t="shared" si="11"/>
        <v>25</v>
      </c>
      <c r="H58" s="280">
        <v>-1.4000000000000004</v>
      </c>
      <c r="I58" s="148">
        <v>2</v>
      </c>
      <c r="J58" s="270">
        <f t="shared" si="7"/>
        <v>0</v>
      </c>
      <c r="K58" s="271"/>
      <c r="L58" s="271">
        <f>INDEX(Table!N:N,MATCH(E58,Table!F:F,0))</f>
        <v>0</v>
      </c>
      <c r="M58" s="270">
        <f t="shared" si="8"/>
        <v>0</v>
      </c>
      <c r="N58" s="272">
        <v>0.72727272727272751</v>
      </c>
      <c r="O58" s="273">
        <v>2</v>
      </c>
      <c r="P58" s="274"/>
      <c r="Q58" s="275">
        <v>-0.53333333333333321</v>
      </c>
      <c r="R58" s="276">
        <v>2</v>
      </c>
      <c r="S58" s="277"/>
      <c r="T58" s="272">
        <v>4</v>
      </c>
      <c r="U58" s="278">
        <v>2</v>
      </c>
      <c r="V58" s="274"/>
      <c r="W58" s="275">
        <v>-5.65</v>
      </c>
      <c r="X58" s="276">
        <v>1</v>
      </c>
      <c r="Y58" s="277"/>
      <c r="Z58" s="272">
        <v>-4.4000000000000004</v>
      </c>
      <c r="AA58" s="278">
        <v>1</v>
      </c>
      <c r="AB58" s="274"/>
      <c r="AC58" s="275">
        <v>-7</v>
      </c>
      <c r="AD58" s="276">
        <v>0</v>
      </c>
      <c r="AE58" s="277"/>
      <c r="AF58" s="272">
        <v>-5.3</v>
      </c>
      <c r="AG58" s="278">
        <v>1</v>
      </c>
      <c r="AH58" s="274"/>
      <c r="AI58" s="275">
        <v>-7</v>
      </c>
      <c r="AJ58" s="276">
        <v>0</v>
      </c>
      <c r="AK58" s="277"/>
      <c r="AL58" s="272">
        <v>-3.7</v>
      </c>
      <c r="AM58" s="278">
        <v>1</v>
      </c>
      <c r="AN58" s="274"/>
      <c r="AO58" s="275">
        <v>-4.8499999999999996</v>
      </c>
      <c r="AP58" s="276">
        <v>1</v>
      </c>
      <c r="AQ58" s="277"/>
      <c r="AR58" s="272">
        <v>-0.84500000000000064</v>
      </c>
      <c r="AS58" s="278">
        <v>2</v>
      </c>
      <c r="AT58" s="274"/>
      <c r="AU58" s="275">
        <v>3.7300000000000004</v>
      </c>
      <c r="AV58" s="276">
        <v>2</v>
      </c>
      <c r="AW58" s="277"/>
      <c r="AX58" s="272">
        <v>-7</v>
      </c>
      <c r="AY58" s="278">
        <v>0</v>
      </c>
      <c r="AZ58" s="274"/>
      <c r="BA58" s="275">
        <v>-5.25</v>
      </c>
      <c r="BB58" s="276">
        <v>1</v>
      </c>
      <c r="BC58" s="277"/>
      <c r="BD58" s="272">
        <v>-5.2</v>
      </c>
      <c r="BE58" s="278">
        <v>1</v>
      </c>
      <c r="BF58" s="274"/>
      <c r="BG58" s="275">
        <v>-1.8245614035087723</v>
      </c>
      <c r="BH58" s="279">
        <v>2</v>
      </c>
      <c r="BI58" s="277"/>
      <c r="BJ58" s="272">
        <v>-3.6</v>
      </c>
      <c r="BK58" s="278">
        <v>1</v>
      </c>
      <c r="BL58" s="274"/>
      <c r="BM58" s="275">
        <v>-2.75</v>
      </c>
      <c r="BN58" s="279">
        <v>2</v>
      </c>
      <c r="BO58" s="277"/>
      <c r="BP58" s="272">
        <v>-1.0909090909090908</v>
      </c>
      <c r="BQ58" s="278">
        <v>1</v>
      </c>
      <c r="BR58" s="274"/>
      <c r="BS58" s="275">
        <v>-1.4000000000000004</v>
      </c>
      <c r="BT58" s="276">
        <v>2</v>
      </c>
      <c r="BU58" s="277"/>
      <c r="BV58" s="275">
        <f t="shared" si="12"/>
        <v>-58.936531100478469</v>
      </c>
      <c r="BW58" s="276">
        <f t="shared" si="13"/>
        <v>25</v>
      </c>
      <c r="BX58" s="277">
        <f t="shared" si="14"/>
        <v>0</v>
      </c>
      <c r="BY58" s="52"/>
      <c r="DX58" s="53"/>
      <c r="DY58" s="53"/>
      <c r="EF58" s="50"/>
      <c r="EG58" s="50"/>
    </row>
    <row r="59" spans="1:137">
      <c r="A59" s="282">
        <f t="shared" si="9"/>
        <v>26</v>
      </c>
      <c r="B59" s="282">
        <f t="shared" si="1"/>
        <v>50</v>
      </c>
      <c r="C59" s="282">
        <v>23</v>
      </c>
      <c r="D59" s="328" t="str">
        <f>INDEX(Table!E:E,MATCH(E59,Table!F:F,0))</f>
        <v>B</v>
      </c>
      <c r="E59" s="268" t="s">
        <v>328</v>
      </c>
      <c r="F59" s="280">
        <f t="shared" si="10"/>
        <v>-7.418289590526431</v>
      </c>
      <c r="G59" s="58">
        <f t="shared" si="11"/>
        <v>33</v>
      </c>
      <c r="H59" s="280">
        <v>-7</v>
      </c>
      <c r="I59" s="148">
        <v>0</v>
      </c>
      <c r="J59" s="270">
        <f t="shared" si="7"/>
        <v>0</v>
      </c>
      <c r="K59" s="271"/>
      <c r="L59" s="271">
        <f>INDEX(Table!N:N,MATCH(E59,Table!F:F,0))</f>
        <v>14.49</v>
      </c>
      <c r="M59" s="270">
        <f t="shared" si="8"/>
        <v>14.49</v>
      </c>
      <c r="N59" s="272">
        <v>13.969230769230769</v>
      </c>
      <c r="O59" s="273">
        <v>3</v>
      </c>
      <c r="P59" s="274"/>
      <c r="Q59" s="275">
        <v>-0.53333333333333321</v>
      </c>
      <c r="R59" s="276">
        <v>2</v>
      </c>
      <c r="S59" s="277"/>
      <c r="T59" s="272">
        <v>12.945454545454545</v>
      </c>
      <c r="U59" s="278">
        <v>3</v>
      </c>
      <c r="V59" s="274"/>
      <c r="W59" s="275">
        <v>-5.1666666666666661</v>
      </c>
      <c r="X59" s="276">
        <v>1</v>
      </c>
      <c r="Y59" s="277"/>
      <c r="Z59" s="272">
        <v>5.1516483516483511</v>
      </c>
      <c r="AA59" s="278">
        <v>3</v>
      </c>
      <c r="AB59" s="274"/>
      <c r="AC59" s="275">
        <v>-3.75</v>
      </c>
      <c r="AD59" s="276">
        <v>1</v>
      </c>
      <c r="AE59" s="277"/>
      <c r="AF59" s="272">
        <v>-5.1333333333333329</v>
      </c>
      <c r="AG59" s="278">
        <v>1</v>
      </c>
      <c r="AH59" s="274"/>
      <c r="AI59" s="275">
        <v>0.61249999999999982</v>
      </c>
      <c r="AJ59" s="276">
        <v>2</v>
      </c>
      <c r="AK59" s="277"/>
      <c r="AL59" s="272">
        <v>11.506666666666668</v>
      </c>
      <c r="AM59" s="278">
        <v>3</v>
      </c>
      <c r="AN59" s="274"/>
      <c r="AO59" s="275">
        <v>0.21052631578947434</v>
      </c>
      <c r="AP59" s="276">
        <v>2</v>
      </c>
      <c r="AQ59" s="277"/>
      <c r="AR59" s="272">
        <v>-5.35</v>
      </c>
      <c r="AS59" s="278">
        <v>1</v>
      </c>
      <c r="AT59" s="274"/>
      <c r="AU59" s="275">
        <v>-5.25</v>
      </c>
      <c r="AV59" s="276">
        <v>1</v>
      </c>
      <c r="AW59" s="277"/>
      <c r="AX59" s="272">
        <v>-5.3</v>
      </c>
      <c r="AY59" s="278">
        <v>1</v>
      </c>
      <c r="AZ59" s="274"/>
      <c r="BA59" s="275">
        <v>-5.25</v>
      </c>
      <c r="BB59" s="276">
        <v>1</v>
      </c>
      <c r="BC59" s="277"/>
      <c r="BD59" s="272">
        <v>-1.125</v>
      </c>
      <c r="BE59" s="278">
        <v>2</v>
      </c>
      <c r="BF59" s="274"/>
      <c r="BG59" s="275">
        <v>-1.2444444444444454</v>
      </c>
      <c r="BH59" s="279">
        <v>2</v>
      </c>
      <c r="BI59" s="277"/>
      <c r="BJ59" s="272">
        <v>-3.5</v>
      </c>
      <c r="BK59" s="278">
        <v>1</v>
      </c>
      <c r="BL59" s="274"/>
      <c r="BM59" s="275">
        <v>-1.4615384615384617</v>
      </c>
      <c r="BN59" s="279">
        <v>2</v>
      </c>
      <c r="BO59" s="277"/>
      <c r="BP59" s="272">
        <v>-1.75</v>
      </c>
      <c r="BQ59" s="278">
        <v>1</v>
      </c>
      <c r="BR59" s="274"/>
      <c r="BS59" s="275">
        <v>-7</v>
      </c>
      <c r="BT59" s="276">
        <v>0</v>
      </c>
      <c r="BU59" s="277"/>
      <c r="BV59" s="275">
        <f t="shared" si="12"/>
        <v>-7.4182895905264346</v>
      </c>
      <c r="BW59" s="276">
        <f t="shared" si="13"/>
        <v>33</v>
      </c>
      <c r="BX59" s="277">
        <f t="shared" si="14"/>
        <v>0</v>
      </c>
      <c r="BY59" s="52"/>
      <c r="DX59" s="53"/>
      <c r="DY59" s="53"/>
      <c r="EF59" s="50"/>
      <c r="EG59" s="50"/>
    </row>
    <row r="60" spans="1:137">
      <c r="A60" s="282">
        <f t="shared" ref="A60:A63" si="15">_xlfn.RANK.EQ(F60,totalscores,0)</f>
        <v>30</v>
      </c>
      <c r="B60" s="282">
        <f t="shared" ref="B60:B63" si="16">_xlfn.RANK.EQ(H60,thisweekscore,0)</f>
        <v>6</v>
      </c>
      <c r="C60" s="282">
        <v>36</v>
      </c>
      <c r="D60" s="328" t="str">
        <f>INDEX(Table!E:E,MATCH(E60,Table!F:F,0))</f>
        <v>A</v>
      </c>
      <c r="E60" s="268" t="s">
        <v>310</v>
      </c>
      <c r="F60" s="280">
        <f t="shared" ref="F60:F63" si="17">+N60+Q60+T60+W60+Z60+AC60+AF60+AI60+AL60+AO60+AR60+AU60+AX60+BA60+BD60+BG60+BJ60+BM60+BP60+BS60</f>
        <v>-9.1074458874458912</v>
      </c>
      <c r="G60" s="58">
        <f t="shared" ref="G60:G63" si="18">+O60+R60+U60+X60+AA60+AD60+AG60+AJ60+AM60+AP60+AS60+AV60+AY60+BB60+BE60+BH60+BK60+BN60+BQ60+BT60</f>
        <v>36</v>
      </c>
      <c r="H60" s="280">
        <v>11.818803418803419</v>
      </c>
      <c r="I60" s="148">
        <v>3</v>
      </c>
      <c r="J60" s="270">
        <f t="shared" ref="J60:J63" si="19">P60+S60+V60+Y60+AB60+AE60+AH60+AK60+AN60+AQ60+AT60+AW60+AZ60+BC60+BF60+BI60+BL60+BO60+BR60+BU60</f>
        <v>10</v>
      </c>
      <c r="K60" s="271"/>
      <c r="L60" s="271">
        <f>INDEX(Table!N:N,MATCH(E60,Table!F:F,0))</f>
        <v>0</v>
      </c>
      <c r="M60" s="270">
        <f t="shared" ref="M60:M63" si="20">K60+J60+L60</f>
        <v>10</v>
      </c>
      <c r="N60" s="272">
        <v>5.1099999999999994</v>
      </c>
      <c r="O60" s="273">
        <v>3</v>
      </c>
      <c r="P60" s="274"/>
      <c r="Q60" s="275">
        <v>-1.8909090909090907</v>
      </c>
      <c r="R60" s="276">
        <v>2</v>
      </c>
      <c r="S60" s="277"/>
      <c r="T60" s="272">
        <v>-5.2</v>
      </c>
      <c r="U60" s="278">
        <v>1</v>
      </c>
      <c r="V60" s="274"/>
      <c r="W60" s="275">
        <v>-4.95</v>
      </c>
      <c r="X60" s="276">
        <v>1</v>
      </c>
      <c r="Y60" s="277"/>
      <c r="Z60" s="272">
        <v>5.4095238095238081</v>
      </c>
      <c r="AA60" s="278">
        <v>3</v>
      </c>
      <c r="AB60" s="274">
        <v>5</v>
      </c>
      <c r="AC60" s="275">
        <v>9.1416666666666657</v>
      </c>
      <c r="AD60" s="276">
        <v>3</v>
      </c>
      <c r="AE60" s="277">
        <v>5</v>
      </c>
      <c r="AF60" s="272">
        <v>-7</v>
      </c>
      <c r="AG60" s="278">
        <v>0</v>
      </c>
      <c r="AH60" s="274"/>
      <c r="AI60" s="275">
        <v>-5.65</v>
      </c>
      <c r="AJ60" s="276">
        <v>1</v>
      </c>
      <c r="AK60" s="277"/>
      <c r="AL60" s="272">
        <v>-4.7</v>
      </c>
      <c r="AM60" s="278">
        <v>1</v>
      </c>
      <c r="AN60" s="274"/>
      <c r="AO60" s="275">
        <v>-2.0466666666666669</v>
      </c>
      <c r="AP60" s="276">
        <v>2</v>
      </c>
      <c r="AQ60" s="277"/>
      <c r="AR60" s="272">
        <v>-1.0357142857142865</v>
      </c>
      <c r="AS60" s="278">
        <v>2</v>
      </c>
      <c r="AT60" s="274"/>
      <c r="AU60" s="275">
        <v>-2.2727272727271597E-2</v>
      </c>
      <c r="AV60" s="276">
        <v>2</v>
      </c>
      <c r="AW60" s="277"/>
      <c r="AX60" s="272">
        <v>-7</v>
      </c>
      <c r="AY60" s="278">
        <v>0</v>
      </c>
      <c r="AZ60" s="274"/>
      <c r="BA60" s="275">
        <v>-0.5</v>
      </c>
      <c r="BB60" s="276">
        <v>2</v>
      </c>
      <c r="BC60" s="277"/>
      <c r="BD60" s="272">
        <v>-1.2777777777777777</v>
      </c>
      <c r="BE60" s="278">
        <v>2</v>
      </c>
      <c r="BF60" s="274"/>
      <c r="BG60" s="275">
        <v>-2.0219780219780219</v>
      </c>
      <c r="BH60" s="279">
        <v>2</v>
      </c>
      <c r="BI60" s="277"/>
      <c r="BJ60" s="272">
        <v>-1.666666666666667</v>
      </c>
      <c r="BK60" s="278">
        <v>2</v>
      </c>
      <c r="BL60" s="274"/>
      <c r="BM60" s="275">
        <v>5.125</v>
      </c>
      <c r="BN60" s="279">
        <v>3</v>
      </c>
      <c r="BO60" s="277"/>
      <c r="BP60" s="272">
        <v>-0.75</v>
      </c>
      <c r="BQ60" s="278">
        <v>1</v>
      </c>
      <c r="BR60" s="274"/>
      <c r="BS60" s="275">
        <v>11.818803418803419</v>
      </c>
      <c r="BT60" s="276">
        <v>3</v>
      </c>
      <c r="BU60" s="277"/>
      <c r="BV60" s="275">
        <f t="shared" ref="BV60:BV63" si="21">BS60+BP60+BM60+BJ60+BG60+BD60+BA60+AX60+AU60+AR60+AO60+AL60+AI60+AF60+AC60+Z60+W60+T60+Q60+N60</f>
        <v>-9.107445887445893</v>
      </c>
      <c r="BW60" s="276">
        <f t="shared" ref="BW60:BW63" si="22">BT60+BQ60+BN60+BK60+BH60+BE60+BB60+AY60+AV60+AS60+AP60+AM60+AJ60+AG60+AD60+AA60+X60+U60+R60+O60</f>
        <v>36</v>
      </c>
      <c r="BX60" s="277">
        <f t="shared" ref="BX60:BX63" si="23">BU60+BR60+BO60+BL60+BI60+BF60+BC60+AZ60+AW60+AT60+AQ60+AN60+AK60+AH60+AE60+AB60+Y60+V60+S60+P60</f>
        <v>10</v>
      </c>
      <c r="DX60" s="53"/>
      <c r="DY60" s="53"/>
      <c r="EF60" s="50"/>
      <c r="EG60" s="50"/>
    </row>
    <row r="61" spans="1:137">
      <c r="A61" s="282">
        <f t="shared" si="15"/>
        <v>17</v>
      </c>
      <c r="B61" s="282">
        <f t="shared" si="16"/>
        <v>12</v>
      </c>
      <c r="C61" s="282">
        <v>16</v>
      </c>
      <c r="D61" s="328" t="str">
        <f>INDEX(Table!E:E,MATCH(E61,Table!F:F,0))</f>
        <v>A</v>
      </c>
      <c r="E61" s="268" t="s">
        <v>290</v>
      </c>
      <c r="F61" s="280">
        <f t="shared" si="17"/>
        <v>10.640701704545467</v>
      </c>
      <c r="G61" s="58">
        <f t="shared" si="18"/>
        <v>29</v>
      </c>
      <c r="H61" s="280">
        <v>1.7650000000000006</v>
      </c>
      <c r="I61" s="148">
        <v>2</v>
      </c>
      <c r="J61" s="270">
        <f t="shared" si="19"/>
        <v>15</v>
      </c>
      <c r="K61" s="271"/>
      <c r="L61" s="271">
        <f>INDEX(Table!N:N,MATCH(E61,Table!F:F,0))</f>
        <v>9.3149999999999995</v>
      </c>
      <c r="M61" s="270">
        <f t="shared" si="20"/>
        <v>24.314999999999998</v>
      </c>
      <c r="N61" s="272">
        <v>-7</v>
      </c>
      <c r="O61" s="273">
        <v>3</v>
      </c>
      <c r="P61" s="274"/>
      <c r="Q61" s="275">
        <v>-4.7</v>
      </c>
      <c r="R61" s="276">
        <v>1</v>
      </c>
      <c r="S61" s="277"/>
      <c r="T61" s="272">
        <v>-3.7</v>
      </c>
      <c r="U61" s="278">
        <v>1</v>
      </c>
      <c r="V61" s="274"/>
      <c r="W61" s="275">
        <v>-3.3</v>
      </c>
      <c r="X61" s="276">
        <v>1</v>
      </c>
      <c r="Y61" s="277"/>
      <c r="Z61" s="272">
        <v>-4.7</v>
      </c>
      <c r="AA61" s="278">
        <v>1</v>
      </c>
      <c r="AB61" s="274"/>
      <c r="AC61" s="275">
        <v>-5</v>
      </c>
      <c r="AD61" s="276">
        <v>1</v>
      </c>
      <c r="AE61" s="277"/>
      <c r="AF61" s="272">
        <v>-4.375</v>
      </c>
      <c r="AG61" s="278">
        <v>1</v>
      </c>
      <c r="AH61" s="274"/>
      <c r="AI61" s="275">
        <v>-7</v>
      </c>
      <c r="AJ61" s="276">
        <v>0</v>
      </c>
      <c r="AK61" s="277"/>
      <c r="AL61" s="272">
        <v>24.716406249999999</v>
      </c>
      <c r="AM61" s="278">
        <v>3</v>
      </c>
      <c r="AN61" s="274">
        <v>5</v>
      </c>
      <c r="AO61" s="275">
        <v>-4.2</v>
      </c>
      <c r="AP61" s="276">
        <v>1</v>
      </c>
      <c r="AQ61" s="277"/>
      <c r="AR61" s="272">
        <v>-4.75</v>
      </c>
      <c r="AS61" s="278">
        <v>1</v>
      </c>
      <c r="AT61" s="274"/>
      <c r="AU61" s="275">
        <v>3.8125</v>
      </c>
      <c r="AV61" s="276">
        <v>2</v>
      </c>
      <c r="AW61" s="277"/>
      <c r="AX61" s="272">
        <v>-7</v>
      </c>
      <c r="AY61" s="278">
        <v>0</v>
      </c>
      <c r="AZ61" s="274"/>
      <c r="BA61" s="275">
        <v>-4.7</v>
      </c>
      <c r="BB61" s="276">
        <v>1</v>
      </c>
      <c r="BC61" s="277"/>
      <c r="BD61" s="272">
        <v>-4.8</v>
      </c>
      <c r="BE61" s="278">
        <v>1</v>
      </c>
      <c r="BF61" s="274"/>
      <c r="BG61" s="275">
        <v>21.736000000000001</v>
      </c>
      <c r="BH61" s="279">
        <v>3</v>
      </c>
      <c r="BI61" s="277">
        <v>10</v>
      </c>
      <c r="BJ61" s="272">
        <v>2.6312499999999996</v>
      </c>
      <c r="BK61" s="278">
        <v>2</v>
      </c>
      <c r="BL61" s="274"/>
      <c r="BM61" s="275">
        <v>-5.05</v>
      </c>
      <c r="BN61" s="279">
        <v>1</v>
      </c>
      <c r="BO61" s="277"/>
      <c r="BP61" s="272">
        <v>26.254545454545461</v>
      </c>
      <c r="BQ61" s="278">
        <v>3</v>
      </c>
      <c r="BR61" s="274"/>
      <c r="BS61" s="275">
        <v>1.7650000000000006</v>
      </c>
      <c r="BT61" s="276">
        <v>2</v>
      </c>
      <c r="BU61" s="277"/>
      <c r="BV61" s="275">
        <f t="shared" si="21"/>
        <v>10.640701704545471</v>
      </c>
      <c r="BW61" s="276">
        <f t="shared" si="22"/>
        <v>29</v>
      </c>
      <c r="BX61" s="277">
        <f t="shared" si="23"/>
        <v>15</v>
      </c>
      <c r="DX61" s="53"/>
      <c r="DY61" s="53"/>
      <c r="EF61" s="50"/>
      <c r="EG61" s="50"/>
    </row>
    <row r="62" spans="1:137">
      <c r="A62" s="282">
        <f t="shared" si="15"/>
        <v>41</v>
      </c>
      <c r="B62" s="282">
        <f t="shared" si="16"/>
        <v>24</v>
      </c>
      <c r="C62" s="282">
        <v>41</v>
      </c>
      <c r="D62" s="328" t="str">
        <f>INDEX(Table!E:E,MATCH(E62,Table!F:F,0))</f>
        <v>C</v>
      </c>
      <c r="E62" s="268" t="s">
        <v>335</v>
      </c>
      <c r="F62" s="280">
        <f t="shared" si="17"/>
        <v>-32.934463684463687</v>
      </c>
      <c r="G62" s="58">
        <f t="shared" si="18"/>
        <v>24</v>
      </c>
      <c r="H62" s="280">
        <v>-0.64999999999999947</v>
      </c>
      <c r="I62" s="148">
        <v>2</v>
      </c>
      <c r="J62" s="270">
        <f t="shared" si="19"/>
        <v>5</v>
      </c>
      <c r="K62" s="271"/>
      <c r="L62" s="271">
        <f>INDEX(Table!N:N,MATCH(E62,Table!F:F,0))</f>
        <v>0</v>
      </c>
      <c r="M62" s="270">
        <f t="shared" si="20"/>
        <v>5</v>
      </c>
      <c r="N62" s="272">
        <v>13.121666666666663</v>
      </c>
      <c r="O62" s="273">
        <v>3</v>
      </c>
      <c r="P62" s="274"/>
      <c r="Q62" s="275">
        <v>-4.7</v>
      </c>
      <c r="R62" s="276">
        <v>1</v>
      </c>
      <c r="S62" s="277"/>
      <c r="T62" s="272">
        <v>-7</v>
      </c>
      <c r="U62" s="278">
        <v>0</v>
      </c>
      <c r="V62" s="274"/>
      <c r="W62" s="275">
        <v>-7</v>
      </c>
      <c r="X62" s="276">
        <v>0</v>
      </c>
      <c r="Y62" s="277"/>
      <c r="Z62" s="272">
        <v>-3.5000000000000142E-2</v>
      </c>
      <c r="AA62" s="278">
        <v>2</v>
      </c>
      <c r="AB62" s="274"/>
      <c r="AC62" s="275">
        <v>-7</v>
      </c>
      <c r="AD62" s="276">
        <v>0</v>
      </c>
      <c r="AE62" s="277"/>
      <c r="AF62" s="272">
        <v>-5.4666666666666668</v>
      </c>
      <c r="AG62" s="278">
        <v>1</v>
      </c>
      <c r="AH62" s="274"/>
      <c r="AI62" s="275">
        <v>28.58</v>
      </c>
      <c r="AJ62" s="276">
        <v>3</v>
      </c>
      <c r="AK62" s="277">
        <v>5</v>
      </c>
      <c r="AL62" s="272">
        <v>-7</v>
      </c>
      <c r="AM62" s="278">
        <v>0</v>
      </c>
      <c r="AN62" s="274"/>
      <c r="AO62" s="275">
        <v>-5.4285714285714288</v>
      </c>
      <c r="AP62" s="276">
        <v>1</v>
      </c>
      <c r="AQ62" s="277"/>
      <c r="AR62" s="272">
        <v>-5.0909090909090908</v>
      </c>
      <c r="AS62" s="278">
        <v>1</v>
      </c>
      <c r="AT62" s="274"/>
      <c r="AU62" s="275">
        <v>0.2424242424242431</v>
      </c>
      <c r="AV62" s="276">
        <v>2</v>
      </c>
      <c r="AW62" s="277"/>
      <c r="AX62" s="272">
        <v>-7</v>
      </c>
      <c r="AY62" s="278">
        <v>0</v>
      </c>
      <c r="AZ62" s="274"/>
      <c r="BA62" s="275">
        <v>-5.25</v>
      </c>
      <c r="BB62" s="276">
        <v>1</v>
      </c>
      <c r="BC62" s="277"/>
      <c r="BD62" s="272">
        <v>-0.25</v>
      </c>
      <c r="BE62" s="278">
        <v>2</v>
      </c>
      <c r="BF62" s="274"/>
      <c r="BG62" s="275">
        <v>0.84999999999999964</v>
      </c>
      <c r="BH62" s="279">
        <v>2</v>
      </c>
      <c r="BI62" s="277"/>
      <c r="BJ62" s="272">
        <v>-1.8074074074074078</v>
      </c>
      <c r="BK62" s="278">
        <v>2</v>
      </c>
      <c r="BL62" s="274"/>
      <c r="BM62" s="275">
        <v>-7</v>
      </c>
      <c r="BN62" s="279">
        <v>0</v>
      </c>
      <c r="BO62" s="277"/>
      <c r="BP62" s="272">
        <v>-5.05</v>
      </c>
      <c r="BQ62" s="278">
        <v>1</v>
      </c>
      <c r="BR62" s="274"/>
      <c r="BS62" s="275">
        <v>-0.64999999999999947</v>
      </c>
      <c r="BT62" s="276">
        <v>2</v>
      </c>
      <c r="BU62" s="277"/>
      <c r="BV62" s="275">
        <f t="shared" si="21"/>
        <v>-32.934463684463687</v>
      </c>
      <c r="BW62" s="276">
        <f t="shared" si="22"/>
        <v>24</v>
      </c>
      <c r="BX62" s="277">
        <f t="shared" si="23"/>
        <v>5</v>
      </c>
      <c r="DX62" s="53"/>
      <c r="DY62" s="53"/>
      <c r="EF62" s="50"/>
      <c r="EG62" s="50"/>
    </row>
    <row r="63" spans="1:137">
      <c r="A63" s="282">
        <f t="shared" si="15"/>
        <v>42</v>
      </c>
      <c r="B63" s="282">
        <f t="shared" si="16"/>
        <v>13</v>
      </c>
      <c r="C63" s="282">
        <v>43</v>
      </c>
      <c r="D63" s="328" t="str">
        <f>INDEX(Table!E:E,MATCH(E63,Table!F:F,0))</f>
        <v>B</v>
      </c>
      <c r="E63" s="268" t="s">
        <v>308</v>
      </c>
      <c r="F63" s="280">
        <f t="shared" si="17"/>
        <v>-34.777481060606057</v>
      </c>
      <c r="G63" s="58">
        <f t="shared" si="18"/>
        <v>24</v>
      </c>
      <c r="H63" s="280">
        <v>1.163636363636364</v>
      </c>
      <c r="I63" s="148">
        <v>2</v>
      </c>
      <c r="J63" s="270">
        <f t="shared" si="19"/>
        <v>5</v>
      </c>
      <c r="K63" s="271"/>
      <c r="L63" s="271">
        <f>INDEX(Table!N:N,MATCH(E63,Table!F:F,0))</f>
        <v>0</v>
      </c>
      <c r="M63" s="270">
        <f t="shared" si="20"/>
        <v>5</v>
      </c>
      <c r="N63" s="272">
        <v>-7</v>
      </c>
      <c r="O63" s="273">
        <v>0</v>
      </c>
      <c r="P63" s="274"/>
      <c r="Q63" s="275">
        <v>3.390625</v>
      </c>
      <c r="R63" s="276">
        <v>2</v>
      </c>
      <c r="S63" s="277"/>
      <c r="T63" s="272">
        <v>-7</v>
      </c>
      <c r="U63" s="278">
        <v>0</v>
      </c>
      <c r="V63" s="274"/>
      <c r="W63" s="275">
        <v>-7</v>
      </c>
      <c r="X63" s="276">
        <v>0</v>
      </c>
      <c r="Y63" s="277"/>
      <c r="Z63" s="272">
        <v>-7</v>
      </c>
      <c r="AA63" s="278">
        <v>1</v>
      </c>
      <c r="AB63" s="274"/>
      <c r="AC63" s="275">
        <v>-4.5</v>
      </c>
      <c r="AD63" s="276">
        <v>1</v>
      </c>
      <c r="AE63" s="277"/>
      <c r="AF63" s="272">
        <v>-5.1333333333333329</v>
      </c>
      <c r="AG63" s="278">
        <v>2</v>
      </c>
      <c r="AH63" s="274"/>
      <c r="AI63" s="275">
        <v>-5.05</v>
      </c>
      <c r="AJ63" s="276">
        <v>2</v>
      </c>
      <c r="AK63" s="277"/>
      <c r="AL63" s="272">
        <v>-4.5</v>
      </c>
      <c r="AM63" s="278">
        <v>2</v>
      </c>
      <c r="AN63" s="274"/>
      <c r="AO63" s="275">
        <v>-5.0909090909090908</v>
      </c>
      <c r="AP63" s="276">
        <v>2</v>
      </c>
      <c r="AQ63" s="277"/>
      <c r="AR63" s="272">
        <v>-3.8</v>
      </c>
      <c r="AS63" s="278">
        <v>1</v>
      </c>
      <c r="AT63" s="274"/>
      <c r="AU63" s="275">
        <v>6.0625</v>
      </c>
      <c r="AV63" s="276">
        <v>1</v>
      </c>
      <c r="AW63" s="277"/>
      <c r="AX63" s="272">
        <v>-7</v>
      </c>
      <c r="AY63" s="278">
        <v>1</v>
      </c>
      <c r="AZ63" s="274"/>
      <c r="BA63" s="275">
        <v>-7</v>
      </c>
      <c r="BB63" s="276">
        <v>0</v>
      </c>
      <c r="BC63" s="277"/>
      <c r="BD63" s="272">
        <v>2.240000000000002</v>
      </c>
      <c r="BE63" s="278">
        <v>1</v>
      </c>
      <c r="BF63" s="274"/>
      <c r="BG63" s="275">
        <v>-7</v>
      </c>
      <c r="BH63" s="279">
        <v>0</v>
      </c>
      <c r="BI63" s="277"/>
      <c r="BJ63" s="272">
        <v>6.52</v>
      </c>
      <c r="BK63" s="278">
        <v>2</v>
      </c>
      <c r="BL63" s="274"/>
      <c r="BM63" s="275">
        <v>-4.5999999999999996</v>
      </c>
      <c r="BN63" s="279">
        <v>1</v>
      </c>
      <c r="BO63" s="277"/>
      <c r="BP63" s="272">
        <v>27.520000000000003</v>
      </c>
      <c r="BQ63" s="278">
        <v>3</v>
      </c>
      <c r="BR63" s="274">
        <v>5</v>
      </c>
      <c r="BS63" s="275">
        <v>1.163636363636364</v>
      </c>
      <c r="BT63" s="276">
        <v>2</v>
      </c>
      <c r="BU63" s="277"/>
      <c r="BV63" s="275">
        <f t="shared" si="21"/>
        <v>-34.777481060606057</v>
      </c>
      <c r="BW63" s="276">
        <f t="shared" si="22"/>
        <v>24</v>
      </c>
      <c r="BX63" s="277">
        <f t="shared" si="23"/>
        <v>5</v>
      </c>
      <c r="DX63" s="53"/>
      <c r="DY63" s="53"/>
      <c r="EF63" s="50"/>
      <c r="EG63" s="50"/>
    </row>
    <row r="64" spans="1:137">
      <c r="DX64" s="53"/>
      <c r="DY64" s="53"/>
      <c r="EF64" s="50"/>
      <c r="EG64" s="50"/>
    </row>
    <row r="65" spans="5:137">
      <c r="DX65" s="53"/>
      <c r="DY65" s="53"/>
      <c r="EF65" s="50"/>
      <c r="EG65" s="50"/>
    </row>
    <row r="66" spans="5:137" s="569" customFormat="1">
      <c r="E66" s="570"/>
      <c r="F66" s="571"/>
      <c r="H66" s="571"/>
      <c r="I66" s="572"/>
      <c r="J66" s="573">
        <f>SUM(J2:J59)</f>
        <v>465</v>
      </c>
      <c r="K66" s="573">
        <f>SUM(K2:K59)</f>
        <v>50</v>
      </c>
      <c r="L66" s="573"/>
      <c r="M66" s="573"/>
      <c r="N66" s="573"/>
      <c r="O66" s="573"/>
      <c r="P66" s="573">
        <f>SUM(P2:P63)</f>
        <v>25</v>
      </c>
      <c r="Q66" s="571"/>
      <c r="R66" s="573"/>
      <c r="S66" s="573">
        <f>SUM(S2:S63)</f>
        <v>25</v>
      </c>
      <c r="T66" s="573"/>
      <c r="U66" s="573"/>
      <c r="V66" s="573">
        <f>SUM(V2:V63)</f>
        <v>25</v>
      </c>
      <c r="W66" s="571"/>
      <c r="X66" s="573"/>
      <c r="Y66" s="573">
        <f>SUM(Y2:Y63)</f>
        <v>25</v>
      </c>
      <c r="Z66" s="573"/>
      <c r="AA66" s="573"/>
      <c r="AB66" s="573">
        <f>SUM(AB2:AB63)</f>
        <v>25</v>
      </c>
      <c r="AC66" s="573"/>
      <c r="AD66" s="573"/>
      <c r="AE66" s="573">
        <f>SUM(AE2:AE63)</f>
        <v>25</v>
      </c>
      <c r="AF66" s="573"/>
      <c r="AG66" s="573"/>
      <c r="AH66" s="573">
        <f>SUM(AH2:AH63)</f>
        <v>25</v>
      </c>
      <c r="AI66" s="573"/>
      <c r="AJ66" s="573"/>
      <c r="AK66" s="573">
        <f>SUM(AK2:AK63)</f>
        <v>25</v>
      </c>
      <c r="AL66" s="573"/>
      <c r="AM66" s="573"/>
      <c r="AN66" s="573">
        <f>SUM(AN2:AN63)</f>
        <v>25</v>
      </c>
      <c r="AO66" s="573"/>
      <c r="AP66" s="573"/>
      <c r="AQ66" s="573">
        <f>SUM(AQ2:AQ63)</f>
        <v>25</v>
      </c>
      <c r="AR66" s="573"/>
      <c r="AS66" s="573"/>
      <c r="AT66" s="573">
        <f>SUM(AT2:AT63)</f>
        <v>25</v>
      </c>
      <c r="AU66" s="573"/>
      <c r="AV66" s="573"/>
      <c r="AW66" s="573">
        <f>SUM(AW2:AW63)</f>
        <v>25</v>
      </c>
      <c r="AX66" s="573"/>
      <c r="AY66" s="573"/>
      <c r="AZ66" s="573">
        <f>SUM(AZ2:AZ63)</f>
        <v>25</v>
      </c>
      <c r="BA66" s="573"/>
      <c r="BB66" s="573"/>
      <c r="BC66" s="573">
        <f>SUM(BC2:BC63)</f>
        <v>25</v>
      </c>
      <c r="BD66" s="573"/>
      <c r="BE66" s="573"/>
      <c r="BF66" s="573">
        <f>SUM(BF2:BF63)</f>
        <v>25</v>
      </c>
      <c r="BG66" s="573"/>
      <c r="BH66" s="573"/>
      <c r="BI66" s="573">
        <f>SUM(BI2:BI63)</f>
        <v>25</v>
      </c>
      <c r="BJ66" s="573"/>
      <c r="BK66" s="573"/>
      <c r="BL66" s="573">
        <f>SUM(BL2:BL63)</f>
        <v>25</v>
      </c>
      <c r="BM66" s="573"/>
      <c r="BN66" s="573"/>
      <c r="BO66" s="573">
        <f>SUM(BO2:BO63)</f>
        <v>25</v>
      </c>
      <c r="BP66" s="573"/>
      <c r="BQ66" s="573"/>
      <c r="BR66" s="573">
        <f>SUM(BR2:BR63)</f>
        <v>25</v>
      </c>
      <c r="BS66" s="573"/>
      <c r="BT66" s="573"/>
      <c r="BU66" s="573">
        <f>SUM(BU2:BU63)</f>
        <v>25</v>
      </c>
      <c r="BV66" s="573"/>
      <c r="BW66" s="573"/>
      <c r="BX66" s="573">
        <f>SUM(BX2:BX63)</f>
        <v>500</v>
      </c>
      <c r="BY66" s="574"/>
      <c r="BZ66" s="574"/>
      <c r="CA66" s="574"/>
      <c r="CB66" s="574"/>
      <c r="CC66" s="574"/>
      <c r="CD66" s="574"/>
      <c r="CE66" s="574"/>
      <c r="CF66" s="574"/>
      <c r="CG66" s="574"/>
      <c r="CH66" s="574"/>
      <c r="CI66" s="574"/>
      <c r="CJ66" s="574"/>
      <c r="CK66" s="574"/>
      <c r="CL66" s="574"/>
      <c r="CM66" s="574"/>
      <c r="CN66" s="574"/>
      <c r="CO66" s="574"/>
      <c r="CP66" s="574"/>
      <c r="CQ66" s="574"/>
      <c r="CR66" s="574"/>
      <c r="CS66" s="574"/>
      <c r="CT66" s="574"/>
      <c r="CU66" s="574"/>
      <c r="CV66" s="574"/>
      <c r="CW66" s="574"/>
      <c r="CX66" s="574"/>
      <c r="CY66" s="574"/>
      <c r="CZ66" s="574"/>
      <c r="DA66" s="574"/>
      <c r="DB66" s="574"/>
      <c r="DC66" s="574"/>
      <c r="DD66" s="574"/>
      <c r="DE66" s="574"/>
      <c r="DF66" s="574"/>
      <c r="DG66" s="574"/>
      <c r="DH66" s="574"/>
      <c r="DI66" s="574"/>
      <c r="DJ66" s="574"/>
      <c r="DK66" s="574"/>
      <c r="DL66" s="574"/>
      <c r="DM66" s="574"/>
      <c r="DN66" s="574"/>
      <c r="DO66" s="574"/>
      <c r="DP66" s="574"/>
      <c r="DQ66" s="574"/>
      <c r="DR66" s="574"/>
      <c r="DS66" s="574"/>
      <c r="DT66" s="574"/>
      <c r="DU66" s="574"/>
      <c r="DV66" s="574"/>
      <c r="DW66" s="574"/>
      <c r="DX66" s="574"/>
      <c r="DY66" s="574"/>
      <c r="DZ66" s="574"/>
      <c r="EA66" s="574"/>
      <c r="EB66" s="574"/>
      <c r="EC66" s="574"/>
      <c r="ED66" s="574"/>
      <c r="EE66" s="574"/>
    </row>
    <row r="67" spans="5:137">
      <c r="DX67" s="53"/>
      <c r="DY67" s="53"/>
      <c r="EF67" s="50"/>
      <c r="EG67" s="50"/>
    </row>
    <row r="68" spans="5:137">
      <c r="DX68" s="53"/>
      <c r="DY68" s="53"/>
      <c r="EF68" s="50"/>
      <c r="EG68" s="50"/>
    </row>
    <row r="69" spans="5:137">
      <c r="DX69" s="53"/>
      <c r="DY69" s="53"/>
      <c r="EF69" s="50"/>
      <c r="EG69" s="50"/>
    </row>
    <row r="70" spans="5:137">
      <c r="DX70" s="53"/>
      <c r="DY70" s="53"/>
      <c r="EF70" s="50"/>
      <c r="EG70" s="50"/>
    </row>
    <row r="71" spans="5:137">
      <c r="DX71" s="53"/>
      <c r="DY71" s="53"/>
      <c r="EF71" s="50"/>
      <c r="EG71" s="50"/>
    </row>
    <row r="72" spans="5:137">
      <c r="DX72" s="53"/>
      <c r="DY72" s="53"/>
      <c r="EF72" s="50"/>
      <c r="EG72" s="50"/>
    </row>
    <row r="73" spans="5:137">
      <c r="DX73" s="53"/>
      <c r="DY73" s="53"/>
      <c r="EF73" s="50"/>
      <c r="EG73" s="50"/>
    </row>
    <row r="74" spans="5:137">
      <c r="DX74" s="53"/>
      <c r="DY74" s="53"/>
      <c r="EF74" s="50"/>
      <c r="EG74" s="50"/>
    </row>
    <row r="75" spans="5:137">
      <c r="DX75" s="53"/>
      <c r="DY75" s="53"/>
      <c r="EF75" s="50"/>
      <c r="EG75" s="50"/>
    </row>
    <row r="76" spans="5:137">
      <c r="DX76" s="53"/>
      <c r="DY76" s="53"/>
      <c r="EF76" s="50"/>
      <c r="EG76" s="50"/>
    </row>
  </sheetData>
  <autoFilter ref="A1:BX63" xr:uid="{00000000-0009-0000-0000-000002000000}"/>
  <phoneticPr fontId="0" type="noConversion"/>
  <conditionalFormatting sqref="J2:M59">
    <cfRule type="cellIs" dxfId="226" priority="5" stopIfTrue="1" operator="equal">
      <formula>0</formula>
    </cfRule>
  </conditionalFormatting>
  <conditionalFormatting sqref="J60:M63">
    <cfRule type="cellIs" dxfId="225" priority="1" stopIfTrue="1" operator="equal">
      <formula>0</formula>
    </cfRule>
  </conditionalFormatting>
  <hyperlinks>
    <hyperlink ref="A1" location="Menu!A1" display="Rank Seas" xr:uid="{00000000-0004-0000-0200-000000000000}"/>
  </hyperlinks>
  <printOptions headings="1" gridLines="1"/>
  <pageMargins left="0.74803149606299213" right="0.74803149606299213" top="0.98425196850393704" bottom="0.98425196850393704" header="0.51181102362204722" footer="0.51181102362204722"/>
  <pageSetup paperSize="9" scale="75"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rgb="FF7030A0"/>
    <pageSetUpPr fitToPage="1"/>
  </sheetPr>
  <dimension ref="A1:BF161"/>
  <sheetViews>
    <sheetView topLeftCell="V1" zoomScaleNormal="100" workbookViewId="0">
      <selection activeCell="AI2" sqref="AI2:AL4"/>
    </sheetView>
  </sheetViews>
  <sheetFormatPr defaultRowHeight="12.75"/>
  <cols>
    <col min="1" max="1" width="5.3984375" style="82" customWidth="1"/>
    <col min="2" max="2" width="7.3984375" customWidth="1"/>
    <col min="3" max="3" width="22.73046875" customWidth="1"/>
    <col min="4" max="4" width="8.265625" customWidth="1"/>
    <col min="5" max="5" width="4" customWidth="1"/>
    <col min="6" max="6" width="7.265625" customWidth="1"/>
    <col min="7" max="7" width="3.73046875" customWidth="1"/>
    <col min="8" max="8" width="7.3984375" customWidth="1"/>
    <col min="9" max="9" width="24.59765625" customWidth="1"/>
    <col min="10" max="10" width="8.265625" customWidth="1"/>
    <col min="11" max="11" width="3.265625" customWidth="1"/>
    <col min="12" max="12" width="7.265625" customWidth="1"/>
    <col min="13" max="13" width="4.59765625" customWidth="1"/>
    <col min="14" max="14" width="7.3984375" customWidth="1"/>
    <col min="15" max="15" width="22.86328125" customWidth="1"/>
    <col min="16" max="16" width="8.265625" customWidth="1"/>
    <col min="17" max="17" width="3.265625" customWidth="1"/>
    <col min="18" max="18" width="7.265625" customWidth="1"/>
    <col min="19" max="19" width="4.59765625" customWidth="1"/>
    <col min="20" max="20" width="7.3984375" customWidth="1"/>
    <col min="21" max="21" width="20.73046875" customWidth="1"/>
    <col min="22" max="22" width="8.265625" customWidth="1"/>
    <col min="23" max="23" width="3.265625" customWidth="1"/>
    <col min="25" max="25" width="7.3984375" customWidth="1"/>
    <col min="26" max="26" width="20.73046875" customWidth="1"/>
    <col min="27" max="27" width="8.265625" customWidth="1"/>
    <col min="28" max="28" width="3.265625" customWidth="1"/>
    <col min="30" max="30" width="7.3984375" customWidth="1"/>
    <col min="31" max="31" width="20.73046875" customWidth="1"/>
    <col min="32" max="32" width="8.265625" customWidth="1"/>
    <col min="33" max="33" width="3.265625" customWidth="1"/>
    <col min="35" max="35" width="7.3984375" customWidth="1"/>
    <col min="36" max="36" width="20.73046875" customWidth="1"/>
    <col min="37" max="37" width="8.265625" customWidth="1"/>
    <col min="38" max="38" width="3.265625" customWidth="1"/>
  </cols>
  <sheetData>
    <row r="1" spans="1:58" s="82" customFormat="1">
      <c r="A1" s="400" t="s">
        <v>363</v>
      </c>
      <c r="AD1" s="160"/>
      <c r="AE1" s="160"/>
      <c r="AF1" s="160"/>
      <c r="AG1" s="160"/>
      <c r="AH1" s="160"/>
      <c r="AI1" s="160"/>
      <c r="AJ1" s="160"/>
      <c r="AK1" s="160"/>
      <c r="AL1" s="160"/>
      <c r="AM1" s="160"/>
      <c r="AN1" s="160"/>
      <c r="AO1" s="160"/>
      <c r="AP1" s="160"/>
      <c r="AQ1" s="160"/>
      <c r="AR1" s="160"/>
      <c r="AS1" s="160"/>
      <c r="AT1" s="160"/>
      <c r="AU1" s="160"/>
      <c r="AV1" s="160"/>
      <c r="AW1" s="160"/>
      <c r="AX1" s="160"/>
      <c r="AY1" s="160"/>
      <c r="AZ1" s="160"/>
      <c r="BA1" s="160"/>
      <c r="BB1" s="160"/>
      <c r="BC1" s="160"/>
      <c r="BD1" s="160"/>
      <c r="BE1" s="160"/>
      <c r="BF1" s="160"/>
    </row>
    <row r="2" spans="1:58" ht="13.15">
      <c r="B2" s="61" t="s">
        <v>129</v>
      </c>
      <c r="C2" s="150" t="str">
        <f>IF(CupDraw!J1="","",CupDraw!J1)</f>
        <v/>
      </c>
      <c r="D2" s="62"/>
      <c r="E2" s="62"/>
      <c r="F2" s="80"/>
      <c r="G2" s="63"/>
      <c r="H2" s="61" t="str">
        <f>CupDraw!O1</f>
        <v>R1 (64)</v>
      </c>
      <c r="I2" s="150">
        <f>CupDraw!P1</f>
        <v>44450</v>
      </c>
      <c r="J2" s="62"/>
      <c r="K2" s="62"/>
      <c r="L2" s="84"/>
      <c r="M2" s="62"/>
      <c r="N2" s="61" t="str">
        <f>CupDraw!U1</f>
        <v>R2 (32)</v>
      </c>
      <c r="O2" s="150">
        <f>CupDraw!V1</f>
        <v>44471</v>
      </c>
      <c r="P2" s="62"/>
      <c r="Q2" s="62"/>
      <c r="R2" s="84"/>
      <c r="S2" s="62"/>
      <c r="T2" s="61" t="str">
        <f>CupDraw!AA1</f>
        <v>R3 (16)</v>
      </c>
      <c r="U2" s="150">
        <f>CupDraw!AB1</f>
        <v>44492</v>
      </c>
      <c r="V2" s="62"/>
      <c r="W2" s="62"/>
      <c r="X2" s="84"/>
      <c r="Y2" s="61" t="str">
        <f>CupDraw!AG1</f>
        <v>R4 (QF)</v>
      </c>
      <c r="Z2" s="150">
        <f>CupDraw!AH1</f>
        <v>44513</v>
      </c>
      <c r="AA2" s="62"/>
      <c r="AB2" s="62"/>
      <c r="AC2" s="82"/>
      <c r="AD2" s="61" t="str">
        <f>CupDraw!AM1</f>
        <v>R5 (SF)</v>
      </c>
      <c r="AE2" s="150">
        <f>CupDraw!AN1</f>
        <v>44534</v>
      </c>
      <c r="AF2" s="62"/>
      <c r="AG2" s="62"/>
      <c r="AH2" s="160"/>
      <c r="AI2" s="61" t="str">
        <f>CupDraw!AS1</f>
        <v>Final</v>
      </c>
      <c r="AJ2" s="150">
        <f>CupDraw!AT1</f>
        <v>44541</v>
      </c>
      <c r="AK2" s="62"/>
      <c r="AL2" s="62"/>
      <c r="AM2" s="160"/>
      <c r="AN2" s="160"/>
      <c r="AO2" s="160"/>
      <c r="AP2" s="160"/>
      <c r="AQ2" s="160"/>
      <c r="AR2" s="160"/>
      <c r="AS2" s="160"/>
      <c r="AT2" s="160"/>
      <c r="AU2" s="160"/>
      <c r="AV2" s="160"/>
      <c r="AW2" s="160"/>
      <c r="AX2" s="160"/>
      <c r="AY2" s="160"/>
      <c r="AZ2" s="160"/>
      <c r="BA2" s="160"/>
      <c r="BB2" s="160"/>
      <c r="BC2" s="160"/>
      <c r="BD2" s="160"/>
      <c r="BE2" s="160"/>
      <c r="BF2" s="160"/>
    </row>
    <row r="3" spans="1:58">
      <c r="B3" s="91">
        <f>CupDraw!I2</f>
        <v>1</v>
      </c>
      <c r="C3" s="76" t="str">
        <f>IF(CupDraw!J2="","",CupDraw!J2)</f>
        <v>Paul Adderley</v>
      </c>
      <c r="D3" s="77" t="str">
        <f>IF(CupDraw!K2="","",CupDraw!K2)</f>
        <v/>
      </c>
      <c r="E3" s="88" t="str">
        <f>IF(CupDraw!L2="","",CupDraw!L2)</f>
        <v/>
      </c>
      <c r="F3" s="81"/>
      <c r="G3" s="63"/>
      <c r="H3" s="728">
        <f>CupDraw!O2</f>
        <v>1</v>
      </c>
      <c r="I3" s="73" t="str">
        <f>IF(CupDraw!P2="","",CupDraw!P2)</f>
        <v>Paul Adderley</v>
      </c>
      <c r="J3" s="77">
        <f>IF(CupDraw!Q2="","",CupDraw!Q2)</f>
        <v>-5.7142857142857144</v>
      </c>
      <c r="K3" s="88" t="str">
        <f>IF(CupDraw!R2="","",CupDraw!R2)</f>
        <v/>
      </c>
      <c r="L3" s="85"/>
      <c r="M3" s="63"/>
      <c r="N3" s="65">
        <f>CupDraw!U2</f>
        <v>1</v>
      </c>
      <c r="O3" s="73" t="str">
        <f>CupDraw!V2</f>
        <v>Simon Greenhalgh</v>
      </c>
      <c r="P3" s="77">
        <f>IF(CupDraw!W2="","",CupDraw!W2)</f>
        <v>0.84999999999999964</v>
      </c>
      <c r="Q3" s="88" t="str">
        <f>IF(CupDraw!X2="","",CupDraw!X2)</f>
        <v/>
      </c>
      <c r="R3" s="85"/>
      <c r="S3" s="63"/>
      <c r="T3" s="65">
        <f>CupDraw!AA2</f>
        <v>1</v>
      </c>
      <c r="U3" s="73" t="str">
        <f>CupDraw!AB2</f>
        <v>Simon Greenhalgh</v>
      </c>
      <c r="V3" s="102">
        <f>IF(CupDraw!AC2="","",CupDraw!AC2)</f>
        <v>-4.8499999999999996</v>
      </c>
      <c r="W3" s="78" t="str">
        <f>CupDraw!AD2</f>
        <v/>
      </c>
      <c r="X3" s="85"/>
      <c r="Y3" s="65">
        <f>CupDraw!AG2</f>
        <v>1</v>
      </c>
      <c r="Z3" s="73" t="str">
        <f>CupDraw!AH2</f>
        <v>Charlie Griffiths</v>
      </c>
      <c r="AA3" s="102">
        <f>IF(CupDraw!AI2="","",CupDraw!AI2)</f>
        <v>-7</v>
      </c>
      <c r="AB3" s="78" t="str">
        <f>IF(CupDraw!AJ2="","",CupDraw!AJ2)</f>
        <v/>
      </c>
      <c r="AC3" s="82"/>
      <c r="AD3" s="65">
        <f>CupDraw!AM2</f>
        <v>1</v>
      </c>
      <c r="AE3" s="73" t="str">
        <f>IF(CupDraw!AN2="","",CupDraw!AN2)</f>
        <v>Paul Allen</v>
      </c>
      <c r="AF3" s="102">
        <f>IF(CupDraw!AO2="","",CupDraw!AO2)</f>
        <v>-1.8888888888888893</v>
      </c>
      <c r="AG3" s="78" t="str">
        <f>CupDraw!AP2</f>
        <v/>
      </c>
      <c r="AH3" s="160"/>
      <c r="AI3" s="65">
        <f>CupDraw!AS2</f>
        <v>1</v>
      </c>
      <c r="AJ3" s="75" t="str">
        <f>CupDraw!AT2</f>
        <v>Paul Allen</v>
      </c>
      <c r="AK3" s="102">
        <f>IF(CupDraw!AU2="","",CupDraw!AU2)</f>
        <v>-5.4666666666666668</v>
      </c>
      <c r="AL3" s="78" t="str">
        <f>CupDraw!AV2</f>
        <v/>
      </c>
      <c r="AM3" s="160"/>
      <c r="AN3" s="160"/>
      <c r="AO3" s="160"/>
      <c r="AP3" s="160"/>
      <c r="AQ3" s="160"/>
      <c r="AR3" s="160"/>
      <c r="AS3" s="160"/>
      <c r="AT3" s="160"/>
      <c r="AU3" s="160"/>
      <c r="AV3" s="160"/>
      <c r="AW3" s="160"/>
      <c r="AX3" s="160"/>
      <c r="AY3" s="160"/>
      <c r="AZ3" s="160"/>
      <c r="BA3" s="160"/>
      <c r="BB3" s="160"/>
      <c r="BC3" s="160"/>
      <c r="BD3" s="160"/>
      <c r="BE3" s="160"/>
      <c r="BF3" s="160"/>
    </row>
    <row r="4" spans="1:58">
      <c r="B4" s="90"/>
      <c r="C4" s="76" t="str">
        <f>IF(CupDraw!J3="","",CupDraw!J3)</f>
        <v>Simon Greenhalgh</v>
      </c>
      <c r="D4" s="77" t="str">
        <f>IF(CupDraw!K3="","",CupDraw!K3)</f>
        <v/>
      </c>
      <c r="E4" s="140" t="str">
        <f>IF(CupDraw!L3="","",CupDraw!L3)</f>
        <v/>
      </c>
      <c r="F4" s="81"/>
      <c r="G4" s="63"/>
      <c r="H4" s="729">
        <f>CupDraw!O3</f>
        <v>0</v>
      </c>
      <c r="I4" s="73" t="str">
        <f>IF(CupDraw!P3="","",CupDraw!P3)</f>
        <v>Simon Greenhalgh</v>
      </c>
      <c r="J4" s="77">
        <f>IF(CupDraw!Q3="","",CupDraw!Q3)</f>
        <v>-4.95</v>
      </c>
      <c r="K4" s="66" t="str">
        <f>IF(CupDraw!R3="","",CupDraw!R3)</f>
        <v/>
      </c>
      <c r="L4" s="85"/>
      <c r="M4" s="63"/>
      <c r="N4" s="68"/>
      <c r="O4" s="73" t="str">
        <f>CupDraw!V3</f>
        <v>Gareth Powell</v>
      </c>
      <c r="P4" s="77">
        <f>IF(CupDraw!W3="","",CupDraw!W3)</f>
        <v>-3.4</v>
      </c>
      <c r="Q4" s="69" t="str">
        <f>IF(CupDraw!X3="","",CupDraw!X3)</f>
        <v/>
      </c>
      <c r="R4" s="85"/>
      <c r="S4" s="63"/>
      <c r="T4" s="68"/>
      <c r="U4" s="73" t="str">
        <f>CupDraw!AB3</f>
        <v>Charlie Griffiths</v>
      </c>
      <c r="V4" s="102">
        <f>IF(CupDraw!AC3="","",CupDraw!AC3)</f>
        <v>-4.625</v>
      </c>
      <c r="W4" s="69"/>
      <c r="X4" s="85"/>
      <c r="Y4" s="68"/>
      <c r="Z4" s="73" t="str">
        <f>CupDraw!AH3</f>
        <v>Paul Allen</v>
      </c>
      <c r="AA4" s="102">
        <f>IF(CupDraw!AI3="","",CupDraw!AI3)</f>
        <v>-5.25</v>
      </c>
      <c r="AB4" s="69" t="str">
        <f>IF(CupDraw!AJ3="","",CupDraw!AJ3)</f>
        <v/>
      </c>
      <c r="AC4" s="82"/>
      <c r="AD4" s="68"/>
      <c r="AE4" s="73" t="str">
        <f>CupDraw!AN3</f>
        <v>Frank Allen</v>
      </c>
      <c r="AF4" s="102">
        <f>IF(CupDraw!AO3="","",CupDraw!AO3)</f>
        <v>-5</v>
      </c>
      <c r="AG4" s="69"/>
      <c r="AH4" s="160"/>
      <c r="AI4" s="72"/>
      <c r="AJ4" s="75" t="str">
        <f>CupDraw!AT3</f>
        <v>Paul Fiddler</v>
      </c>
      <c r="AK4" s="102">
        <f>IF(CupDraw!AU3="","",CupDraw!AU3)</f>
        <v>-7</v>
      </c>
      <c r="AL4" s="66"/>
      <c r="AM4" s="160"/>
      <c r="AN4" s="160"/>
      <c r="AO4" s="160"/>
      <c r="AP4" s="160"/>
      <c r="AQ4" s="160"/>
      <c r="AR4" s="160"/>
      <c r="AS4" s="160"/>
      <c r="AT4" s="160"/>
      <c r="AU4" s="160"/>
      <c r="AV4" s="160"/>
      <c r="AW4" s="160"/>
      <c r="AX4" s="160"/>
      <c r="AY4" s="160"/>
      <c r="AZ4" s="160"/>
      <c r="BA4" s="160"/>
      <c r="BB4" s="160"/>
      <c r="BC4" s="160"/>
      <c r="BD4" s="160"/>
      <c r="BE4" s="160"/>
      <c r="BF4" s="160"/>
    </row>
    <row r="5" spans="1:58">
      <c r="B5" s="91">
        <f>CupDraw!I4</f>
        <v>2</v>
      </c>
      <c r="C5" s="76" t="str">
        <f>IF(CupDraw!J4="","",CupDraw!J4)</f>
        <v>Gareth Powell</v>
      </c>
      <c r="D5" s="77" t="str">
        <f>IF(CupDraw!K4="","",CupDraw!K4)</f>
        <v/>
      </c>
      <c r="E5" s="88" t="str">
        <f>IF(CupDraw!L4="","",CupDraw!L4)</f>
        <v/>
      </c>
      <c r="F5" s="81"/>
      <c r="G5" s="63"/>
      <c r="H5" s="89">
        <f>CupDraw!O4</f>
        <v>2</v>
      </c>
      <c r="I5" s="73" t="str">
        <f>IF(CupDraw!P4="","",CupDraw!P4)</f>
        <v>Gareth Powell</v>
      </c>
      <c r="J5" s="77">
        <f>IF(CupDraw!Q4="","",CupDraw!Q4)</f>
        <v>1.5999999999999996</v>
      </c>
      <c r="K5" s="88" t="str">
        <f>IF(CupDraw!R4="","",CupDraw!R4)</f>
        <v/>
      </c>
      <c r="L5" s="85"/>
      <c r="M5" s="63"/>
      <c r="N5" s="65">
        <f>CupDraw!U4</f>
        <v>2</v>
      </c>
      <c r="O5" s="73" t="str">
        <f>CupDraw!V4</f>
        <v>Lennie Bow</v>
      </c>
      <c r="P5" s="77">
        <f>IF(CupDraw!W4="","",CupDraw!W4)</f>
        <v>-5.05</v>
      </c>
      <c r="Q5" s="88" t="str">
        <f>IF(CupDraw!X4="","",CupDraw!X4)</f>
        <v/>
      </c>
      <c r="R5" s="85"/>
      <c r="S5" s="63"/>
      <c r="T5" s="65">
        <f>CupDraw!AA4</f>
        <v>2</v>
      </c>
      <c r="U5" s="73" t="str">
        <f>CupDraw!AB4</f>
        <v>Mo Sudell</v>
      </c>
      <c r="V5" s="102">
        <f>IF(CupDraw!AC4="","",CupDraw!AC4)</f>
        <v>-5.35</v>
      </c>
      <c r="W5" s="78" t="str">
        <f>CupDraw!AD4</f>
        <v/>
      </c>
      <c r="X5" s="85"/>
      <c r="Y5" s="65">
        <f>CupDraw!AG4</f>
        <v>2</v>
      </c>
      <c r="Z5" s="73" t="str">
        <f>CupDraw!AH4</f>
        <v>Frank Allen</v>
      </c>
      <c r="AA5" s="102">
        <f>IF(CupDraw!AI4="","",CupDraw!AI4)</f>
        <v>-0.84999999999999964</v>
      </c>
      <c r="AB5" s="78" t="str">
        <f>IF(CupDraw!AJ4="","",CupDraw!AJ4)</f>
        <v/>
      </c>
      <c r="AC5" s="82"/>
      <c r="AD5" s="65">
        <f>CupDraw!AM4</f>
        <v>2</v>
      </c>
      <c r="AE5" s="73" t="str">
        <f>CupDraw!AN4</f>
        <v>Dave Orrell</v>
      </c>
      <c r="AF5" s="102">
        <f>IF(CupDraw!AO4="","",CupDraw!AO4)</f>
        <v>-0.66666666666666607</v>
      </c>
      <c r="AG5" s="78" t="str">
        <f>CupDraw!AP4</f>
        <v/>
      </c>
      <c r="AH5" s="160"/>
      <c r="AI5" s="82"/>
      <c r="AJ5" s="82"/>
      <c r="AK5" s="82"/>
      <c r="AL5" s="82"/>
      <c r="AM5" s="160"/>
      <c r="AN5" s="160"/>
      <c r="AO5" s="160"/>
      <c r="AP5" s="160"/>
      <c r="AQ5" s="160"/>
      <c r="AR5" s="160"/>
      <c r="AS5" s="160"/>
      <c r="AT5" s="160"/>
      <c r="AU5" s="160"/>
      <c r="AV5" s="160"/>
      <c r="AW5" s="160"/>
      <c r="AX5" s="160"/>
      <c r="AY5" s="160"/>
      <c r="AZ5" s="160"/>
      <c r="BA5" s="160"/>
      <c r="BB5" s="160"/>
      <c r="BC5" s="160"/>
      <c r="BD5" s="160"/>
      <c r="BE5" s="160"/>
      <c r="BF5" s="160"/>
    </row>
    <row r="6" spans="1:58">
      <c r="B6" s="90"/>
      <c r="C6" s="76" t="str">
        <f>IF(CupDraw!J5="","",CupDraw!J5)</f>
        <v>Tom Robinson</v>
      </c>
      <c r="D6" s="77" t="str">
        <f>IF(CupDraw!K5="","",CupDraw!K5)</f>
        <v/>
      </c>
      <c r="E6" s="140" t="str">
        <f>IF(CupDraw!L5="","",CupDraw!L5)</f>
        <v/>
      </c>
      <c r="F6" s="81"/>
      <c r="G6" s="63"/>
      <c r="H6" s="90"/>
      <c r="I6" s="73" t="str">
        <f>IF(CupDraw!P5="","",CupDraw!P5)</f>
        <v>Tom Robinson</v>
      </c>
      <c r="J6" s="77">
        <f>IF(CupDraw!Q5="","",CupDraw!Q5)</f>
        <v>-3.5000000000000142E-2</v>
      </c>
      <c r="K6" s="66" t="str">
        <f>IF(CupDraw!R5="","",CupDraw!R5)</f>
        <v/>
      </c>
      <c r="L6" s="85"/>
      <c r="M6" s="63"/>
      <c r="N6" s="68"/>
      <c r="O6" s="73" t="str">
        <f>CupDraw!V5</f>
        <v>Charlie Griffiths</v>
      </c>
      <c r="P6" s="77">
        <f>IF(CupDraw!W5="","",CupDraw!W5)</f>
        <v>-2.5</v>
      </c>
      <c r="Q6" s="69" t="str">
        <f>IF(CupDraw!X5="","",CupDraw!X5)</f>
        <v/>
      </c>
      <c r="R6" s="85"/>
      <c r="S6" s="63"/>
      <c r="T6" s="68"/>
      <c r="U6" s="73" t="str">
        <f>CupDraw!AB5</f>
        <v>Paul Allen</v>
      </c>
      <c r="V6" s="102">
        <f>IF(CupDraw!AC5="","",CupDraw!AC5)</f>
        <v>-4.8499999999999996</v>
      </c>
      <c r="W6" s="69"/>
      <c r="X6" s="85"/>
      <c r="Y6" s="68"/>
      <c r="Z6" s="73" t="str">
        <f>CupDraw!AH5</f>
        <v>John Ronan</v>
      </c>
      <c r="AA6" s="102">
        <f>IF(CupDraw!AI5="","",CupDraw!AI5)</f>
        <v>-7</v>
      </c>
      <c r="AB6" s="69" t="str">
        <f>IF(CupDraw!AJ5="","",CupDraw!AJ5)</f>
        <v/>
      </c>
      <c r="AC6" s="82"/>
      <c r="AD6" s="72"/>
      <c r="AE6" s="73" t="str">
        <f>CupDraw!AN5</f>
        <v>Paul Fiddler</v>
      </c>
      <c r="AF6" s="102">
        <f>IF(CupDraw!AO5="","",CupDraw!AO5)</f>
        <v>0.66249999999999964</v>
      </c>
      <c r="AG6" s="66"/>
      <c r="AH6" s="160"/>
      <c r="AI6" s="64"/>
      <c r="AJ6" s="62"/>
      <c r="AK6" s="62"/>
      <c r="AL6" s="62"/>
      <c r="AM6" s="160"/>
      <c r="AN6" s="160"/>
      <c r="AO6" s="160"/>
      <c r="AP6" s="160"/>
      <c r="AQ6" s="160"/>
      <c r="AR6" s="160"/>
      <c r="AS6" s="160"/>
      <c r="AT6" s="160"/>
      <c r="AU6" s="160"/>
      <c r="AV6" s="160"/>
      <c r="AW6" s="160"/>
      <c r="AX6" s="160"/>
      <c r="AY6" s="160"/>
      <c r="AZ6" s="160"/>
      <c r="BA6" s="160"/>
      <c r="BB6" s="160"/>
      <c r="BC6" s="160"/>
      <c r="BD6" s="160"/>
      <c r="BE6" s="160"/>
      <c r="BF6" s="160"/>
    </row>
    <row r="7" spans="1:58">
      <c r="B7" s="91">
        <f>CupDraw!I6</f>
        <v>3</v>
      </c>
      <c r="C7" s="76" t="str">
        <f>IF(CupDraw!J6="","",CupDraw!J6)</f>
        <v>Sally Williams</v>
      </c>
      <c r="D7" s="77" t="str">
        <f>IF(CupDraw!K6="","",CupDraw!K6)</f>
        <v/>
      </c>
      <c r="E7" s="88" t="str">
        <f>IF(CupDraw!L6="","",CupDraw!L6)</f>
        <v/>
      </c>
      <c r="F7" s="81"/>
      <c r="G7" s="63"/>
      <c r="H7" s="91">
        <f>CupDraw!O6</f>
        <v>3</v>
      </c>
      <c r="I7" s="73" t="str">
        <f>IF(CupDraw!P6="","",CupDraw!P6)</f>
        <v>Sally Williams</v>
      </c>
      <c r="J7" s="77">
        <f>IF(CupDraw!Q6="","",CupDraw!Q6)</f>
        <v>-3.7</v>
      </c>
      <c r="K7" s="88" t="str">
        <f>IF(CupDraw!R6="","",CupDraw!R6)</f>
        <v/>
      </c>
      <c r="L7" s="85"/>
      <c r="M7" s="63"/>
      <c r="N7" s="65">
        <f>CupDraw!U6</f>
        <v>3</v>
      </c>
      <c r="O7" s="73" t="str">
        <f>CupDraw!V6</f>
        <v>Gareth McGuire</v>
      </c>
      <c r="P7" s="77">
        <f>IF(CupDraw!W6="","",CupDraw!W6)</f>
        <v>-7</v>
      </c>
      <c r="Q7" s="88" t="str">
        <f>IF(CupDraw!X6="","",CupDraw!X6)</f>
        <v/>
      </c>
      <c r="R7" s="85"/>
      <c r="S7" s="63"/>
      <c r="T7" s="65">
        <f>CupDraw!AA6</f>
        <v>3</v>
      </c>
      <c r="U7" s="73" t="str">
        <f>CupDraw!AB6</f>
        <v>Martin Molyneux</v>
      </c>
      <c r="V7" s="102">
        <f>IF(CupDraw!AC6="","",CupDraw!AC6)</f>
        <v>-7</v>
      </c>
      <c r="W7" s="78" t="str">
        <f>CupDraw!AD6</f>
        <v/>
      </c>
      <c r="X7" s="85"/>
      <c r="Y7" s="65">
        <f>CupDraw!AG6</f>
        <v>3</v>
      </c>
      <c r="Z7" s="73" t="str">
        <f>CupDraw!AH6</f>
        <v>Dave Orrell</v>
      </c>
      <c r="AA7" s="102">
        <f>IF(CupDraw!AI6="","",CupDraw!AI6)</f>
        <v>-1.125</v>
      </c>
      <c r="AB7" s="78" t="str">
        <f>IF(CupDraw!AJ6="","",CupDraw!AJ6)</f>
        <v/>
      </c>
      <c r="AC7" s="82"/>
      <c r="AD7" s="82"/>
      <c r="AE7" s="82"/>
      <c r="AF7" s="703" t="str">
        <f>IF(CupDraw!AO6="","",CupDraw!AO6)</f>
        <v/>
      </c>
      <c r="AG7" s="82"/>
      <c r="AH7" s="160"/>
      <c r="AI7" s="64" t="str">
        <f>CupDraw!AS6</f>
        <v>Earlier ties</v>
      </c>
      <c r="AJ7" s="62"/>
      <c r="AK7" s="62"/>
      <c r="AL7" s="62"/>
      <c r="AM7" s="160"/>
      <c r="AN7" s="160"/>
      <c r="AO7" s="160"/>
      <c r="AP7" s="160"/>
      <c r="AQ7" s="160"/>
      <c r="AR7" s="160"/>
      <c r="AS7" s="160"/>
      <c r="AT7" s="160"/>
      <c r="AU7" s="160"/>
      <c r="AV7" s="160"/>
      <c r="AW7" s="160"/>
      <c r="AX7" s="160"/>
      <c r="AY7" s="160"/>
      <c r="AZ7" s="160"/>
      <c r="BA7" s="160"/>
      <c r="BB7" s="160"/>
      <c r="BC7" s="160"/>
      <c r="BD7" s="160"/>
      <c r="BE7" s="160"/>
      <c r="BF7" s="160"/>
    </row>
    <row r="8" spans="1:58">
      <c r="B8" s="90"/>
      <c r="C8" s="76" t="str">
        <f>IF(CupDraw!J7="","",CupDraw!J7)</f>
        <v>Lennie Bow</v>
      </c>
      <c r="D8" s="77" t="str">
        <f>IF(CupDraw!K7="","",CupDraw!K7)</f>
        <v/>
      </c>
      <c r="E8" s="140" t="str">
        <f>IF(CupDraw!L7="","",CupDraw!L7)</f>
        <v/>
      </c>
      <c r="F8" s="81"/>
      <c r="G8" s="63"/>
      <c r="H8" s="90"/>
      <c r="I8" s="73" t="str">
        <f>IF(CupDraw!P7="","",CupDraw!P7)</f>
        <v>Lennie Bow</v>
      </c>
      <c r="J8" s="77">
        <f>IF(CupDraw!Q7="","",CupDraw!Q7)</f>
        <v>-0.1538461538461533</v>
      </c>
      <c r="K8" s="66" t="str">
        <f>IF(CupDraw!R7="","",CupDraw!R7)</f>
        <v/>
      </c>
      <c r="L8" s="85"/>
      <c r="M8" s="63"/>
      <c r="N8" s="68"/>
      <c r="O8" s="73" t="str">
        <f>CupDraw!V7</f>
        <v>Mo Sudell</v>
      </c>
      <c r="P8" s="77">
        <f>IF(CupDraw!W7="","",CupDraw!W7)</f>
        <v>4.545454545454497E-2</v>
      </c>
      <c r="Q8" s="69" t="str">
        <f>IF(CupDraw!X7="","",CupDraw!X7)</f>
        <v/>
      </c>
      <c r="R8" s="85"/>
      <c r="S8" s="63"/>
      <c r="T8" s="68"/>
      <c r="U8" s="73" t="str">
        <f>CupDraw!AB7</f>
        <v>Frank Allen</v>
      </c>
      <c r="V8" s="102">
        <f>IF(CupDraw!AC7="","",CupDraw!AC7)</f>
        <v>-5.3</v>
      </c>
      <c r="W8" s="69"/>
      <c r="X8" s="85"/>
      <c r="Y8" s="68"/>
      <c r="Z8" s="73" t="str">
        <f>CupDraw!AH7</f>
        <v>Stephen Troop</v>
      </c>
      <c r="AA8" s="102">
        <f>IF(CupDraw!AI7="","",CupDraw!AI7)</f>
        <v>-5.25</v>
      </c>
      <c r="AB8" s="69" t="str">
        <f>IF(CupDraw!AJ7="","",CupDraw!AJ7)</f>
        <v/>
      </c>
      <c r="AC8" s="82"/>
      <c r="AD8" s="64" t="str">
        <f>CupDraw!AM7</f>
        <v>Earlier ties</v>
      </c>
      <c r="AE8" s="62"/>
      <c r="AF8" s="704" t="str">
        <f>IF(CupDraw!AO7="","",CupDraw!AO7)</f>
        <v/>
      </c>
      <c r="AG8" s="62"/>
      <c r="AH8" s="160"/>
      <c r="AI8" s="728"/>
      <c r="AJ8" s="73" t="str">
        <f>IF(CupDraw!AT7="","",CupDraw!AT7)</f>
        <v/>
      </c>
      <c r="AK8" s="74" t="str">
        <f>IF(CupDraw!AU7="","",CupDraw!AU7)</f>
        <v/>
      </c>
      <c r="AL8" s="88" t="str">
        <f>IF(CupDraw!AV7="","",CupDraw!AV7)</f>
        <v/>
      </c>
      <c r="AM8" s="160"/>
      <c r="AN8" s="160"/>
      <c r="AO8" s="160"/>
      <c r="AP8" s="160"/>
      <c r="AQ8" s="160"/>
      <c r="AR8" s="160"/>
      <c r="AS8" s="160"/>
      <c r="AT8" s="160"/>
      <c r="AU8" s="160"/>
      <c r="AV8" s="160"/>
      <c r="AW8" s="160"/>
      <c r="AX8" s="160"/>
      <c r="AY8" s="160"/>
      <c r="AZ8" s="160"/>
      <c r="BA8" s="160"/>
      <c r="BB8" s="160"/>
      <c r="BC8" s="160"/>
      <c r="BD8" s="160"/>
      <c r="BE8" s="160"/>
      <c r="BF8" s="160"/>
    </row>
    <row r="9" spans="1:58">
      <c r="B9" s="91">
        <f>CupDraw!I8</f>
        <v>4</v>
      </c>
      <c r="C9" s="76" t="str">
        <f>IF(CupDraw!J8="","",CupDraw!J8)</f>
        <v>Charlie Griffiths</v>
      </c>
      <c r="D9" s="77" t="str">
        <f>IF(CupDraw!K8="","",CupDraw!K8)</f>
        <v/>
      </c>
      <c r="E9" s="88" t="str">
        <f>IF(CupDraw!L8="","",CupDraw!L8)</f>
        <v/>
      </c>
      <c r="F9" s="81"/>
      <c r="G9" s="62"/>
      <c r="H9" s="91">
        <f>CupDraw!O8</f>
        <v>4</v>
      </c>
      <c r="I9" s="73" t="str">
        <f>IF(CupDraw!P8="","",CupDraw!P8)</f>
        <v>Charlie Griffiths</v>
      </c>
      <c r="J9" s="77">
        <f>IF(CupDraw!Q8="","",CupDraw!Q8)</f>
        <v>-3.9</v>
      </c>
      <c r="K9" s="88" t="str">
        <f>IF(CupDraw!R8="","",CupDraw!R8)</f>
        <v/>
      </c>
      <c r="L9" s="85"/>
      <c r="M9" s="63"/>
      <c r="N9" s="65">
        <f>CupDraw!U8</f>
        <v>4</v>
      </c>
      <c r="O9" s="73" t="str">
        <f>CupDraw!V8</f>
        <v>David Dunn</v>
      </c>
      <c r="P9" s="77">
        <f>IF(CupDraw!W8="","",CupDraw!W8)</f>
        <v>-7</v>
      </c>
      <c r="Q9" s="88" t="str">
        <f>IF(CupDraw!X8="","",CupDraw!X8)</f>
        <v/>
      </c>
      <c r="R9" s="85"/>
      <c r="S9" s="63"/>
      <c r="T9" s="65">
        <f>CupDraw!AA8</f>
        <v>4</v>
      </c>
      <c r="U9" s="73" t="str">
        <f>CupDraw!AB8</f>
        <v>Mal Stott</v>
      </c>
      <c r="V9" s="102">
        <f>IF(CupDraw!AC8="","",CupDraw!AC8)</f>
        <v>-4.625</v>
      </c>
      <c r="W9" s="78" t="str">
        <f>CupDraw!AD8</f>
        <v/>
      </c>
      <c r="X9" s="85"/>
      <c r="Y9" s="65">
        <f>CupDraw!AG8</f>
        <v>4</v>
      </c>
      <c r="Z9" s="73" t="str">
        <f>CupDraw!AH8</f>
        <v>Paul Fiddler</v>
      </c>
      <c r="AA9" s="102">
        <f>IF(CupDraw!AI8="","",CupDraw!AI8)</f>
        <v>-4.7</v>
      </c>
      <c r="AB9" s="78" t="str">
        <f>IF(CupDraw!AJ8="","",CupDraw!AJ8)</f>
        <v/>
      </c>
      <c r="AC9" s="82"/>
      <c r="AD9" s="728"/>
      <c r="AE9" s="73" t="str">
        <f>IF(CupDraw!AN8="","",CupDraw!AN8)</f>
        <v/>
      </c>
      <c r="AF9" s="102" t="str">
        <f>IF(CupDraw!AO8="","",CupDraw!AO8)</f>
        <v/>
      </c>
      <c r="AG9" s="88" t="str">
        <f>CupDraw!AP8</f>
        <v/>
      </c>
      <c r="AH9" s="160"/>
      <c r="AI9" s="729"/>
      <c r="AJ9" s="73" t="str">
        <f>IF(CupDraw!AT8="","",CupDraw!AT8)</f>
        <v/>
      </c>
      <c r="AK9" s="74" t="str">
        <f>IF(CupDraw!AU8="","",CupDraw!AU8)</f>
        <v/>
      </c>
      <c r="AL9" s="66" t="str">
        <f>IF(CupDraw!AV8="","",CupDraw!AV8)</f>
        <v/>
      </c>
      <c r="AM9" s="160"/>
      <c r="AN9" s="160"/>
      <c r="AO9" s="160"/>
      <c r="AP9" s="160"/>
      <c r="AQ9" s="160"/>
      <c r="AR9" s="160"/>
      <c r="AS9" s="160"/>
      <c r="AT9" s="160"/>
      <c r="AU9" s="160"/>
      <c r="AV9" s="160"/>
      <c r="AW9" s="160"/>
      <c r="AX9" s="160"/>
      <c r="AY9" s="160"/>
      <c r="AZ9" s="160"/>
      <c r="BA9" s="160"/>
      <c r="BB9" s="160"/>
      <c r="BC9" s="160"/>
      <c r="BD9" s="160"/>
      <c r="BE9" s="160"/>
      <c r="BF9" s="160"/>
    </row>
    <row r="10" spans="1:58">
      <c r="B10" s="90"/>
      <c r="C10" s="76" t="str">
        <f>IF(CupDraw!J9="","",CupDraw!J9)</f>
        <v>Alan Rogers</v>
      </c>
      <c r="D10" s="77" t="str">
        <f>IF(CupDraw!K9="","",CupDraw!K9)</f>
        <v/>
      </c>
      <c r="E10" s="140" t="str">
        <f>IF(CupDraw!L9="","",CupDraw!L9)</f>
        <v/>
      </c>
      <c r="F10" s="81"/>
      <c r="G10" s="62"/>
      <c r="H10" s="90"/>
      <c r="I10" s="73" t="str">
        <f>IF(CupDraw!P9="","",CupDraw!P9)</f>
        <v>Alan Rogers</v>
      </c>
      <c r="J10" s="77">
        <f>IF(CupDraw!Q9="","",CupDraw!Q9)</f>
        <v>-7</v>
      </c>
      <c r="K10" s="66" t="str">
        <f>IF(CupDraw!R9="","",CupDraw!R9)</f>
        <v/>
      </c>
      <c r="L10" s="85"/>
      <c r="M10" s="63"/>
      <c r="N10" s="68"/>
      <c r="O10" s="73" t="str">
        <f>CupDraw!V9</f>
        <v>Paul Allen</v>
      </c>
      <c r="P10" s="77">
        <f>IF(CupDraw!W9="","",CupDraw!W9)</f>
        <v>2.8000000000000007</v>
      </c>
      <c r="Q10" s="69" t="str">
        <f>IF(CupDraw!X9="","",CupDraw!X9)</f>
        <v/>
      </c>
      <c r="R10" s="85"/>
      <c r="S10" s="63"/>
      <c r="T10" s="68"/>
      <c r="U10" s="73" t="str">
        <f>CupDraw!AB9</f>
        <v>John Ronan</v>
      </c>
      <c r="V10" s="102">
        <f>IF(CupDraw!AC9="","",CupDraw!AC9)</f>
        <v>1.163636363636364</v>
      </c>
      <c r="W10" s="69"/>
      <c r="X10" s="85"/>
      <c r="Y10" s="72"/>
      <c r="Z10" s="73" t="str">
        <f>CupDraw!AH9</f>
        <v>Dan Gibbard</v>
      </c>
      <c r="AA10" s="102">
        <f>IF(CupDraw!AI9="","",CupDraw!AI9)</f>
        <v>-7</v>
      </c>
      <c r="AB10" s="66" t="str">
        <f>IF(CupDraw!AJ9="","",CupDraw!AJ9)</f>
        <v/>
      </c>
      <c r="AC10" s="82"/>
      <c r="AD10" s="729"/>
      <c r="AE10" s="73" t="str">
        <f>IF(CupDraw!AN9="","",CupDraw!AN9)</f>
        <v/>
      </c>
      <c r="AF10" s="102" t="str">
        <f>IF(CupDraw!AO9="","",CupDraw!AO9)</f>
        <v/>
      </c>
      <c r="AG10" s="66"/>
      <c r="AH10" s="160"/>
      <c r="AI10" s="726"/>
      <c r="AJ10" s="73" t="str">
        <f>IF(CupDraw!AT9="","",CupDraw!AT9)</f>
        <v/>
      </c>
      <c r="AK10" s="74" t="str">
        <f>IF(CupDraw!AU9="","",CupDraw!AU9)</f>
        <v/>
      </c>
      <c r="AL10" s="88" t="str">
        <f>IF(CupDraw!AV9="","",CupDraw!AV9)</f>
        <v/>
      </c>
      <c r="AM10" s="160"/>
      <c r="AN10" s="160"/>
      <c r="AO10" s="160"/>
      <c r="AP10" s="160"/>
      <c r="AQ10" s="160"/>
      <c r="AR10" s="160"/>
      <c r="AS10" s="160"/>
      <c r="AT10" s="160"/>
      <c r="AU10" s="160"/>
      <c r="AV10" s="160"/>
      <c r="AW10" s="160"/>
      <c r="AX10" s="160"/>
      <c r="AY10" s="160"/>
      <c r="AZ10" s="160"/>
      <c r="BA10" s="160"/>
      <c r="BB10" s="160"/>
      <c r="BC10" s="160"/>
      <c r="BD10" s="160"/>
      <c r="BE10" s="160"/>
      <c r="BF10" s="160"/>
    </row>
    <row r="11" spans="1:58">
      <c r="B11" s="91">
        <f>CupDraw!I10</f>
        <v>5</v>
      </c>
      <c r="C11" s="76" t="str">
        <f>IF(CupDraw!J10="","",CupDraw!J10)</f>
        <v>Gareth McGuire</v>
      </c>
      <c r="D11" s="77" t="str">
        <f>IF(CupDraw!K10="","",CupDraw!K10)</f>
        <v/>
      </c>
      <c r="E11" s="88" t="str">
        <f>IF(CupDraw!L10="","",CupDraw!L10)</f>
        <v/>
      </c>
      <c r="F11" s="81"/>
      <c r="G11" s="62"/>
      <c r="H11" s="91">
        <f>CupDraw!O10</f>
        <v>5</v>
      </c>
      <c r="I11" s="73" t="str">
        <f>IF(CupDraw!P10="","",CupDraw!P10)</f>
        <v>Gareth McGuire</v>
      </c>
      <c r="J11" s="77">
        <f>IF(CupDraw!Q10="","",CupDraw!Q10)</f>
        <v>-0.44444444444444464</v>
      </c>
      <c r="K11" s="88" t="str">
        <f>IF(CupDraw!R10="","",CupDraw!R10)</f>
        <v/>
      </c>
      <c r="L11" s="85"/>
      <c r="M11" s="63"/>
      <c r="N11" s="65">
        <f>CupDraw!U10</f>
        <v>5</v>
      </c>
      <c r="O11" s="73" t="str">
        <f>CupDraw!V10</f>
        <v>Oscar Jackson</v>
      </c>
      <c r="P11" s="77">
        <f>IF(CupDraw!W10="","",CupDraw!W10)</f>
        <v>-4.75</v>
      </c>
      <c r="Q11" s="88" t="str">
        <f>IF(CupDraw!X10="","",CupDraw!X10)</f>
        <v/>
      </c>
      <c r="R11" s="85"/>
      <c r="S11" s="63"/>
      <c r="T11" s="65">
        <f>CupDraw!AA10</f>
        <v>5</v>
      </c>
      <c r="U11" s="73" t="str">
        <f>CupDraw!AB10</f>
        <v>Alan Bond</v>
      </c>
      <c r="V11" s="102">
        <f>IF(CupDraw!AC10="","",CupDraw!AC10)</f>
        <v>-5.2</v>
      </c>
      <c r="W11" s="78" t="str">
        <f>CupDraw!AD10</f>
        <v/>
      </c>
      <c r="X11" s="85"/>
      <c r="Y11" s="82"/>
      <c r="Z11" s="82"/>
      <c r="AA11" s="94"/>
      <c r="AB11" s="82"/>
      <c r="AC11" s="82"/>
      <c r="AD11" s="89"/>
      <c r="AE11" s="73" t="str">
        <f>IF(CupDraw!AN10="","",CupDraw!AN10)</f>
        <v/>
      </c>
      <c r="AF11" s="102" t="str">
        <f>IF(CupDraw!AO10="","",CupDraw!AO10)</f>
        <v/>
      </c>
      <c r="AG11" s="88" t="str">
        <f>CupDraw!AP10</f>
        <v/>
      </c>
      <c r="AH11" s="160"/>
      <c r="AI11" s="727"/>
      <c r="AJ11" s="73" t="str">
        <f>IF(CupDraw!AT10="","",CupDraw!AT10)</f>
        <v/>
      </c>
      <c r="AK11" s="74" t="str">
        <f>IF(CupDraw!AU10="","",CupDraw!AU10)</f>
        <v/>
      </c>
      <c r="AL11" s="66" t="str">
        <f>IF(CupDraw!AV10="","",CupDraw!AV10)</f>
        <v/>
      </c>
      <c r="AM11" s="160"/>
      <c r="AN11" s="160"/>
      <c r="AO11" s="160"/>
      <c r="AP11" s="160"/>
      <c r="AQ11" s="160"/>
      <c r="AR11" s="160"/>
      <c r="AS11" s="160"/>
      <c r="AT11" s="160"/>
      <c r="AU11" s="160"/>
      <c r="AV11" s="160"/>
      <c r="AW11" s="160"/>
      <c r="AX11" s="160"/>
      <c r="AY11" s="160"/>
      <c r="AZ11" s="160"/>
      <c r="BA11" s="160"/>
      <c r="BB11" s="160"/>
      <c r="BC11" s="160"/>
      <c r="BD11" s="160"/>
      <c r="BE11" s="160"/>
      <c r="BF11" s="160"/>
    </row>
    <row r="12" spans="1:58">
      <c r="B12" s="90"/>
      <c r="C12" s="76" t="str">
        <f>IF(CupDraw!J11="","",CupDraw!J11)</f>
        <v>Nick Blocksidge</v>
      </c>
      <c r="D12" s="77" t="str">
        <f>IF(CupDraw!K11="","",CupDraw!K11)</f>
        <v/>
      </c>
      <c r="E12" s="140" t="str">
        <f>IF(CupDraw!L11="","",CupDraw!L11)</f>
        <v/>
      </c>
      <c r="F12" s="81"/>
      <c r="G12" s="62"/>
      <c r="H12" s="90"/>
      <c r="I12" s="73" t="str">
        <f>IF(CupDraw!P11="","",CupDraw!P11)</f>
        <v>Nick Blocksidge</v>
      </c>
      <c r="J12" s="77">
        <f>IF(CupDraw!Q11="","",CupDraw!Q11)</f>
        <v>-3.7</v>
      </c>
      <c r="K12" s="66" t="str">
        <f>IF(CupDraw!R11="","",CupDraw!R11)</f>
        <v/>
      </c>
      <c r="L12" s="85"/>
      <c r="M12" s="63"/>
      <c r="N12" s="68"/>
      <c r="O12" s="73" t="str">
        <f>CupDraw!V11</f>
        <v>Martin Molyneux</v>
      </c>
      <c r="P12" s="77">
        <f>IF(CupDraw!W11="","",CupDraw!W11)</f>
        <v>-0.83249999999999957</v>
      </c>
      <c r="Q12" s="69" t="str">
        <f>IF(CupDraw!X11="","",CupDraw!X11)</f>
        <v/>
      </c>
      <c r="R12" s="85"/>
      <c r="S12" s="63"/>
      <c r="T12" s="68"/>
      <c r="U12" s="73" t="str">
        <f>CupDraw!AB11</f>
        <v>Dave Orrell</v>
      </c>
      <c r="V12" s="102">
        <f>IF(CupDraw!AC11="","",CupDraw!AC11)</f>
        <v>0.50499999999999901</v>
      </c>
      <c r="W12" s="69"/>
      <c r="X12" s="85"/>
      <c r="Y12" s="82"/>
      <c r="Z12" s="82"/>
      <c r="AA12" s="94"/>
      <c r="AB12" s="82"/>
      <c r="AC12" s="82"/>
      <c r="AD12" s="90"/>
      <c r="AE12" s="73" t="str">
        <f>IF(CupDraw!AN11="","",CupDraw!AN11)</f>
        <v/>
      </c>
      <c r="AF12" s="102" t="str">
        <f>IF(CupDraw!AO11="","",CupDraw!AO11)</f>
        <v/>
      </c>
      <c r="AG12" s="66"/>
      <c r="AH12" s="160"/>
      <c r="AI12" s="160"/>
      <c r="AJ12" s="160"/>
      <c r="AK12" s="160"/>
      <c r="AL12" s="160"/>
      <c r="AM12" s="160"/>
      <c r="AN12" s="160"/>
      <c r="AO12" s="160"/>
      <c r="AP12" s="160"/>
      <c r="AQ12" s="160"/>
      <c r="AR12" s="160"/>
      <c r="AS12" s="160"/>
      <c r="AT12" s="160"/>
      <c r="AU12" s="160"/>
      <c r="AV12" s="160"/>
      <c r="AW12" s="160"/>
      <c r="AX12" s="160"/>
      <c r="AY12" s="160"/>
      <c r="AZ12" s="160"/>
      <c r="BA12" s="160"/>
      <c r="BB12" s="160"/>
      <c r="BC12" s="160"/>
      <c r="BD12" s="160"/>
      <c r="BE12" s="160"/>
      <c r="BF12" s="160"/>
    </row>
    <row r="13" spans="1:58">
      <c r="B13" s="91">
        <f>CupDraw!I12</f>
        <v>6</v>
      </c>
      <c r="C13" s="76" t="str">
        <f>IF(CupDraw!J12="","",CupDraw!J12)</f>
        <v>Mo Sudell</v>
      </c>
      <c r="D13" s="77" t="str">
        <f>IF(CupDraw!K12="","",CupDraw!K12)</f>
        <v/>
      </c>
      <c r="E13" s="88" t="str">
        <f>IF(CupDraw!L12="","",CupDraw!L12)</f>
        <v/>
      </c>
      <c r="F13" s="81"/>
      <c r="G13" s="62"/>
      <c r="H13" s="91">
        <f>CupDraw!O12</f>
        <v>6</v>
      </c>
      <c r="I13" s="73" t="str">
        <f>IF(CupDraw!P12="","",CupDraw!P12)</f>
        <v>Mo Sudell</v>
      </c>
      <c r="J13" s="77">
        <f>IF(CupDraw!Q12="","",CupDraw!Q12)</f>
        <v>-0.67692307692307629</v>
      </c>
      <c r="K13" s="88" t="str">
        <f>IF(CupDraw!R12="","",CupDraw!R12)</f>
        <v/>
      </c>
      <c r="L13" s="85"/>
      <c r="M13" s="63"/>
      <c r="N13" s="65">
        <f>CupDraw!U12</f>
        <v>6</v>
      </c>
      <c r="O13" s="73" t="str">
        <f>CupDraw!V12</f>
        <v>Frank Allen</v>
      </c>
      <c r="P13" s="77">
        <f>IF(CupDraw!W12="","",CupDraw!W12)</f>
        <v>-1.0674999999999999</v>
      </c>
      <c r="Q13" s="88" t="str">
        <f>IF(CupDraw!X12="","",CupDraw!X12)</f>
        <v/>
      </c>
      <c r="R13" s="85"/>
      <c r="S13" s="63"/>
      <c r="T13" s="65">
        <f>CupDraw!AA12</f>
        <v>6</v>
      </c>
      <c r="U13" s="73" t="str">
        <f>CupDraw!AB12</f>
        <v>Chris Griffin</v>
      </c>
      <c r="V13" s="102">
        <f>IF(CupDraw!AC12="","",CupDraw!AC12)</f>
        <v>-5.5555555555555554</v>
      </c>
      <c r="W13" s="78" t="str">
        <f>CupDraw!AD12</f>
        <v/>
      </c>
      <c r="X13" s="85"/>
      <c r="Y13" s="62" t="str">
        <f>CupDraw!AG12</f>
        <v>Earlier Ties</v>
      </c>
      <c r="Z13" s="62"/>
      <c r="AA13" s="93"/>
      <c r="AB13" s="62"/>
      <c r="AC13" s="82"/>
      <c r="AD13" s="160"/>
      <c r="AE13" s="160"/>
      <c r="AF13" s="160"/>
      <c r="AG13" s="160"/>
      <c r="AH13" s="160"/>
      <c r="AI13" s="160"/>
      <c r="AJ13" s="160"/>
      <c r="AK13" s="160"/>
      <c r="AL13" s="160"/>
      <c r="AM13" s="160"/>
      <c r="AN13" s="160"/>
      <c r="AO13" s="160"/>
      <c r="AP13" s="160"/>
      <c r="AQ13" s="160"/>
      <c r="AR13" s="160"/>
      <c r="AS13" s="160"/>
      <c r="AT13" s="160"/>
      <c r="AU13" s="160"/>
      <c r="AV13" s="160"/>
      <c r="AW13" s="160"/>
      <c r="AX13" s="160"/>
      <c r="AY13" s="160"/>
      <c r="AZ13" s="160"/>
      <c r="BA13" s="160"/>
      <c r="BB13" s="160"/>
      <c r="BC13" s="160"/>
      <c r="BD13" s="160"/>
      <c r="BE13" s="160"/>
      <c r="BF13" s="160"/>
    </row>
    <row r="14" spans="1:58">
      <c r="B14" s="90"/>
      <c r="C14" s="76" t="str">
        <f>IF(CupDraw!J13="","",CupDraw!J13)</f>
        <v>Ashley Houghton</v>
      </c>
      <c r="D14" s="77" t="str">
        <f>IF(CupDraw!K13="","",CupDraw!K13)</f>
        <v/>
      </c>
      <c r="E14" s="140" t="str">
        <f>IF(CupDraw!L13="","",CupDraw!L13)</f>
        <v/>
      </c>
      <c r="F14" s="81"/>
      <c r="G14" s="62"/>
      <c r="H14" s="90"/>
      <c r="I14" s="73" t="str">
        <f>IF(CupDraw!P13="","",CupDraw!P13)</f>
        <v>Ashley Houghton</v>
      </c>
      <c r="J14" s="77">
        <f>IF(CupDraw!Q13="","",CupDraw!Q13)</f>
        <v>-7</v>
      </c>
      <c r="K14" s="66" t="str">
        <f>IF(CupDraw!R13="","",CupDraw!R13)</f>
        <v/>
      </c>
      <c r="L14" s="85"/>
      <c r="M14" s="63"/>
      <c r="N14" s="68"/>
      <c r="O14" s="73" t="str">
        <f>CupDraw!V13</f>
        <v>Pete Baron</v>
      </c>
      <c r="P14" s="77">
        <f>IF(CupDraw!W13="","",CupDraw!W13)</f>
        <v>-4</v>
      </c>
      <c r="Q14" s="69" t="str">
        <f>IF(CupDraw!X13="","",CupDraw!X13)</f>
        <v/>
      </c>
      <c r="R14" s="85"/>
      <c r="S14" s="63"/>
      <c r="T14" s="68"/>
      <c r="U14" s="73" t="str">
        <f>CupDraw!AB13</f>
        <v>Stephen Troop</v>
      </c>
      <c r="V14" s="102">
        <f>IF(CupDraw!AC13="","",CupDraw!AC13)</f>
        <v>-5.35</v>
      </c>
      <c r="W14" s="69"/>
      <c r="X14" s="85"/>
      <c r="Y14" s="65"/>
      <c r="Z14" s="75" t="str">
        <f>IF(CupDraw!AH13="","",CupDraw!AH13)</f>
        <v/>
      </c>
      <c r="AA14" s="77" t="str">
        <f>IF(CupDraw!AI13="","",CupDraw!AI13)</f>
        <v/>
      </c>
      <c r="AB14" s="88" t="str">
        <f>IF(CupDraw!AJ13="","",CupDraw!AJ13)</f>
        <v/>
      </c>
      <c r="AC14" s="82"/>
      <c r="AD14" s="160"/>
      <c r="AE14" s="160"/>
      <c r="AF14" s="160"/>
      <c r="AG14" s="160"/>
      <c r="AH14" s="160"/>
      <c r="AI14" s="160"/>
      <c r="AJ14" s="160"/>
      <c r="AK14" s="160"/>
      <c r="AL14" s="160"/>
      <c r="AM14" s="160"/>
      <c r="AN14" s="160"/>
      <c r="AO14" s="160"/>
      <c r="AP14" s="160"/>
      <c r="AQ14" s="160"/>
      <c r="AR14" s="160"/>
      <c r="AS14" s="160"/>
      <c r="AT14" s="160"/>
      <c r="AU14" s="160"/>
      <c r="AV14" s="160"/>
      <c r="AW14" s="160"/>
      <c r="AX14" s="160"/>
      <c r="AY14" s="160"/>
      <c r="AZ14" s="160"/>
      <c r="BA14" s="160"/>
      <c r="BB14" s="160"/>
      <c r="BC14" s="160"/>
      <c r="BD14" s="160"/>
      <c r="BE14" s="160"/>
      <c r="BF14" s="160"/>
    </row>
    <row r="15" spans="1:58">
      <c r="B15" s="91">
        <f>CupDraw!I14</f>
        <v>7</v>
      </c>
      <c r="C15" s="76" t="str">
        <f>IF(CupDraw!J14="","",CupDraw!J14)</f>
        <v>David Dunn</v>
      </c>
      <c r="D15" s="77" t="str">
        <f>IF(CupDraw!K14="","",CupDraw!K14)</f>
        <v/>
      </c>
      <c r="E15" s="88" t="str">
        <f>IF(CupDraw!L14="","",CupDraw!L14)</f>
        <v/>
      </c>
      <c r="F15" s="81"/>
      <c r="G15" s="62"/>
      <c r="H15" s="91">
        <f>CupDraw!O14</f>
        <v>7</v>
      </c>
      <c r="I15" s="73" t="str">
        <f>IF(CupDraw!P14="","",CupDraw!P14)</f>
        <v>David Dunn</v>
      </c>
      <c r="J15" s="77">
        <f>IF(CupDraw!Q14="","",CupDraw!Q14)</f>
        <v>-0.22857142857142954</v>
      </c>
      <c r="K15" s="88" t="str">
        <f>IF(CupDraw!R14="","",CupDraw!R14)</f>
        <v/>
      </c>
      <c r="L15" s="85"/>
      <c r="M15" s="63"/>
      <c r="N15" s="65">
        <f>CupDraw!U14</f>
        <v>7</v>
      </c>
      <c r="O15" s="73" t="str">
        <f>CupDraw!V14</f>
        <v>Ian Davies</v>
      </c>
      <c r="P15" s="77">
        <f>IF(CupDraw!W14="","",CupDraw!W14)</f>
        <v>-7</v>
      </c>
      <c r="Q15" s="88" t="str">
        <f>IF(CupDraw!X14="","",CupDraw!X14)</f>
        <v/>
      </c>
      <c r="R15" s="85"/>
      <c r="S15" s="63"/>
      <c r="T15" s="65">
        <f>CupDraw!AA14</f>
        <v>7</v>
      </c>
      <c r="U15" s="73" t="str">
        <f>CupDraw!AB14</f>
        <v>Mark Saunders</v>
      </c>
      <c r="V15" s="102">
        <f>IF(CupDraw!AC14="","",CupDraw!AC14)</f>
        <v>-4.3</v>
      </c>
      <c r="W15" s="78" t="str">
        <f>CupDraw!AD14</f>
        <v/>
      </c>
      <c r="X15" s="85"/>
      <c r="Y15" s="68"/>
      <c r="Z15" s="75" t="str">
        <f>IF(CupDraw!AH14="","",CupDraw!AH14)</f>
        <v/>
      </c>
      <c r="AA15" s="77" t="str">
        <f>IF(CupDraw!AI14="","",CupDraw!AI14)</f>
        <v/>
      </c>
      <c r="AB15" s="69" t="str">
        <f>IF(CupDraw!AJ14="","",CupDraw!AJ14)</f>
        <v/>
      </c>
      <c r="AC15" s="82"/>
      <c r="AD15" s="160"/>
      <c r="AE15" s="160"/>
      <c r="AF15" s="160"/>
      <c r="AG15" s="160"/>
      <c r="AH15" s="160"/>
      <c r="AI15" s="160"/>
      <c r="AJ15" s="160"/>
      <c r="AK15" s="160"/>
      <c r="AL15" s="160"/>
      <c r="AM15" s="160"/>
      <c r="AN15" s="160"/>
      <c r="AO15" s="160"/>
      <c r="AP15" s="160"/>
      <c r="AQ15" s="160"/>
      <c r="AR15" s="160"/>
      <c r="AS15" s="160"/>
      <c r="AT15" s="160"/>
      <c r="AU15" s="160"/>
      <c r="AV15" s="160"/>
      <c r="AW15" s="160"/>
      <c r="AX15" s="160"/>
      <c r="AY15" s="160"/>
      <c r="AZ15" s="160"/>
      <c r="BA15" s="160"/>
      <c r="BB15" s="160"/>
      <c r="BC15" s="160"/>
      <c r="BD15" s="160"/>
      <c r="BE15" s="160"/>
      <c r="BF15" s="160"/>
    </row>
    <row r="16" spans="1:58">
      <c r="B16" s="90"/>
      <c r="C16" s="76" t="str">
        <f>IF(CupDraw!J15="","",CupDraw!J15)</f>
        <v>Mark Bunn</v>
      </c>
      <c r="D16" s="77" t="str">
        <f>IF(CupDraw!K15="","",CupDraw!K15)</f>
        <v/>
      </c>
      <c r="E16" s="140" t="str">
        <f>IF(CupDraw!L15="","",CupDraw!L15)</f>
        <v/>
      </c>
      <c r="F16" s="81"/>
      <c r="G16" s="62"/>
      <c r="H16" s="90"/>
      <c r="I16" s="73" t="str">
        <f>IF(CupDraw!P15="","",CupDraw!P15)</f>
        <v>Mark Bunn</v>
      </c>
      <c r="J16" s="77">
        <f>IF(CupDraw!Q15="","",CupDraw!Q15)</f>
        <v>-7</v>
      </c>
      <c r="K16" s="66" t="str">
        <f>IF(CupDraw!R15="","",CupDraw!R15)</f>
        <v/>
      </c>
      <c r="L16" s="85"/>
      <c r="M16" s="63"/>
      <c r="N16" s="68"/>
      <c r="O16" s="73" t="str">
        <f>CupDraw!V15</f>
        <v>Mal Stott</v>
      </c>
      <c r="P16" s="77">
        <f>IF(CupDraw!W15="","",CupDraw!W15)</f>
        <v>0.18181818181818166</v>
      </c>
      <c r="Q16" s="69" t="str">
        <f>IF(CupDraw!X15="","",CupDraw!X15)</f>
        <v/>
      </c>
      <c r="R16" s="85"/>
      <c r="S16" s="63"/>
      <c r="T16" s="68"/>
      <c r="U16" s="73" t="str">
        <f>CupDraw!AB15</f>
        <v>Paul Fiddler</v>
      </c>
      <c r="V16" s="102">
        <f>IF(CupDraw!AC15="","",CupDraw!AC15)</f>
        <v>0.82000000000000028</v>
      </c>
      <c r="W16" s="69"/>
      <c r="X16" s="85"/>
      <c r="Y16" s="65"/>
      <c r="Z16" s="67" t="str">
        <f>IF(CupDraw!AH15="","",CupDraw!AH15)</f>
        <v/>
      </c>
      <c r="AA16" s="77" t="str">
        <f>IF(CupDraw!AI15="","",CupDraw!AI15)</f>
        <v/>
      </c>
      <c r="AB16" s="88" t="str">
        <f>IF(CupDraw!AJ15="","",CupDraw!AJ15)</f>
        <v/>
      </c>
      <c r="AC16" s="82"/>
      <c r="AD16" s="160"/>
      <c r="AE16" s="160"/>
      <c r="AF16" s="160"/>
      <c r="AG16" s="160"/>
      <c r="AH16" s="160"/>
      <c r="AI16" s="160"/>
      <c r="AJ16" s="160"/>
      <c r="AK16" s="160"/>
      <c r="AL16" s="160"/>
      <c r="AM16" s="160"/>
      <c r="AN16" s="160"/>
      <c r="AO16" s="160"/>
      <c r="AP16" s="160"/>
      <c r="AQ16" s="160"/>
      <c r="AR16" s="160"/>
      <c r="AS16" s="160"/>
      <c r="AT16" s="160"/>
      <c r="AU16" s="160"/>
      <c r="AV16" s="160"/>
      <c r="AW16" s="160"/>
      <c r="AX16" s="160"/>
      <c r="AY16" s="160"/>
      <c r="AZ16" s="160"/>
      <c r="BA16" s="160"/>
      <c r="BB16" s="160"/>
      <c r="BC16" s="160"/>
      <c r="BD16" s="160"/>
      <c r="BE16" s="160"/>
      <c r="BF16" s="160"/>
    </row>
    <row r="17" spans="2:58">
      <c r="B17" s="91">
        <f>CupDraw!I16</f>
        <v>8</v>
      </c>
      <c r="C17" s="76" t="str">
        <f>IF(CupDraw!J16="","",CupDraw!J16)</f>
        <v>Paul Barnes</v>
      </c>
      <c r="D17" s="77" t="str">
        <f>IF(CupDraw!K16="","",CupDraw!K16)</f>
        <v/>
      </c>
      <c r="E17" s="88" t="str">
        <f>IF(CupDraw!L16="","",CupDraw!L16)</f>
        <v/>
      </c>
      <c r="F17" s="81"/>
      <c r="G17" s="62"/>
      <c r="H17" s="91">
        <f>CupDraw!O16</f>
        <v>8</v>
      </c>
      <c r="I17" s="73" t="str">
        <f>IF(CupDraw!P16="","",CupDraw!P16)</f>
        <v>Paul Barnes</v>
      </c>
      <c r="J17" s="77">
        <f>IF(CupDraw!Q16="","",CupDraw!Q16)</f>
        <v>-7</v>
      </c>
      <c r="K17" s="88" t="str">
        <f>IF(CupDraw!R16="","",CupDraw!R16)</f>
        <v/>
      </c>
      <c r="L17" s="85"/>
      <c r="M17" s="63"/>
      <c r="N17" s="65">
        <f>CupDraw!U16</f>
        <v>8</v>
      </c>
      <c r="O17" s="73" t="str">
        <f>CupDraw!V16</f>
        <v>John Ronan</v>
      </c>
      <c r="P17" s="77">
        <f>IF(CupDraw!W16="","",CupDraw!W16)</f>
        <v>-5</v>
      </c>
      <c r="Q17" s="88" t="str">
        <f>IF(CupDraw!X16="","",CupDraw!X16)</f>
        <v/>
      </c>
      <c r="R17" s="85"/>
      <c r="S17" s="63"/>
      <c r="T17" s="65">
        <f>CupDraw!AA16</f>
        <v>8</v>
      </c>
      <c r="U17" s="73" t="str">
        <f>CupDraw!AB16</f>
        <v>Rob England</v>
      </c>
      <c r="V17" s="102">
        <f>IF(CupDraw!AC16="","",CupDraw!AC16)</f>
        <v>-5.45</v>
      </c>
      <c r="W17" s="78" t="str">
        <f>CupDraw!AD16</f>
        <v/>
      </c>
      <c r="X17" s="85"/>
      <c r="Y17" s="72"/>
      <c r="Z17" s="67" t="str">
        <f>IF(CupDraw!AH16="","",CupDraw!AH16)</f>
        <v/>
      </c>
      <c r="AA17" s="77" t="str">
        <f>IF(CupDraw!AI16="","",CupDraw!AI16)</f>
        <v/>
      </c>
      <c r="AB17" s="66" t="str">
        <f>IF(CupDraw!AJ16="","",CupDraw!AJ16)</f>
        <v/>
      </c>
      <c r="AC17" s="82"/>
      <c r="AD17" s="160"/>
      <c r="AE17" s="160"/>
      <c r="AF17" s="160"/>
      <c r="AG17" s="160"/>
      <c r="AH17" s="160"/>
      <c r="AI17" s="160"/>
      <c r="AJ17" s="160"/>
      <c r="AK17" s="160"/>
      <c r="AL17" s="160"/>
      <c r="AM17" s="160"/>
      <c r="AN17" s="160"/>
      <c r="AO17" s="160"/>
      <c r="AP17" s="160"/>
      <c r="AQ17" s="160"/>
      <c r="AR17" s="160"/>
      <c r="AS17" s="160"/>
      <c r="AT17" s="160"/>
      <c r="AU17" s="160"/>
      <c r="AV17" s="160"/>
      <c r="AW17" s="160"/>
      <c r="AX17" s="160"/>
      <c r="AY17" s="160"/>
      <c r="AZ17" s="160"/>
      <c r="BA17" s="160"/>
      <c r="BB17" s="160"/>
      <c r="BC17" s="160"/>
      <c r="BD17" s="160"/>
      <c r="BE17" s="160"/>
      <c r="BF17" s="160"/>
    </row>
    <row r="18" spans="2:58">
      <c r="B18" s="90"/>
      <c r="C18" s="76" t="str">
        <f>IF(CupDraw!J17="","",CupDraw!J17)</f>
        <v>Paul Allen</v>
      </c>
      <c r="D18" s="77" t="str">
        <f>IF(CupDraw!K17="","",CupDraw!K17)</f>
        <v/>
      </c>
      <c r="E18" s="140" t="str">
        <f>IF(CupDraw!L17="","",CupDraw!L17)</f>
        <v/>
      </c>
      <c r="F18" s="81"/>
      <c r="G18" s="62"/>
      <c r="H18" s="90"/>
      <c r="I18" s="73" t="str">
        <f>IF(CupDraw!P17="","",CupDraw!P17)</f>
        <v>Paul Allen</v>
      </c>
      <c r="J18" s="77">
        <f>IF(CupDraw!Q17="","",CupDraw!Q17)</f>
        <v>-5.384615384615385</v>
      </c>
      <c r="K18" s="66" t="str">
        <f>IF(CupDraw!R17="","",CupDraw!R17)</f>
        <v/>
      </c>
      <c r="L18" s="85"/>
      <c r="M18" s="63"/>
      <c r="N18" s="68"/>
      <c r="O18" s="73" t="str">
        <f>CupDraw!V17</f>
        <v>Steve Baxter</v>
      </c>
      <c r="P18" s="77">
        <f>IF(CupDraw!W17="","",CupDraw!W17)</f>
        <v>-5.65</v>
      </c>
      <c r="Q18" s="69" t="str">
        <f>IF(CupDraw!X17="","",CupDraw!X17)</f>
        <v/>
      </c>
      <c r="R18" s="85"/>
      <c r="S18" s="63"/>
      <c r="T18" s="72"/>
      <c r="U18" s="73" t="str">
        <f>CupDraw!AB17</f>
        <v>Dan Gibbard</v>
      </c>
      <c r="V18" s="102">
        <f>IF(CupDraw!AC17="","",CupDraw!AC17)</f>
        <v>-4.75</v>
      </c>
      <c r="W18" s="66"/>
      <c r="X18" s="85"/>
      <c r="Y18" s="65"/>
      <c r="Z18" s="75" t="str">
        <f>IF(CupDraw!AH17="","",CupDraw!AH17)</f>
        <v/>
      </c>
      <c r="AA18" s="77" t="str">
        <f>IF(CupDraw!AI17="","",CupDraw!AI17)</f>
        <v/>
      </c>
      <c r="AB18" s="88" t="str">
        <f>IF(CupDraw!AJ17="","",CupDraw!AJ17)</f>
        <v/>
      </c>
      <c r="AC18" s="82"/>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0"/>
      <c r="BA18" s="160"/>
      <c r="BB18" s="160"/>
      <c r="BC18" s="160"/>
      <c r="BD18" s="160"/>
      <c r="BE18" s="160"/>
      <c r="BF18" s="160"/>
    </row>
    <row r="19" spans="2:58">
      <c r="B19" s="91">
        <f>CupDraw!I18</f>
        <v>9</v>
      </c>
      <c r="C19" s="76" t="str">
        <f>IF(CupDraw!J18="","",CupDraw!J18)</f>
        <v>Alan White</v>
      </c>
      <c r="D19" s="77" t="str">
        <f>IF(CupDraw!K18="","",CupDraw!K18)</f>
        <v/>
      </c>
      <c r="E19" s="88" t="str">
        <f>IF(CupDraw!L18="","",CupDraw!L18)</f>
        <v/>
      </c>
      <c r="F19" s="81"/>
      <c r="G19" s="62"/>
      <c r="H19" s="91">
        <f>CupDraw!O18</f>
        <v>9</v>
      </c>
      <c r="I19" s="73" t="str">
        <f>IF(CupDraw!P18="","",CupDraw!P18)</f>
        <v>Alan White</v>
      </c>
      <c r="J19" s="77">
        <f>IF(CupDraw!Q18="","",CupDraw!Q18)</f>
        <v>-7</v>
      </c>
      <c r="K19" s="88" t="str">
        <f>IF(CupDraw!R18="","",CupDraw!R18)</f>
        <v/>
      </c>
      <c r="L19" s="85"/>
      <c r="M19" s="63"/>
      <c r="N19" s="65">
        <f>CupDraw!U18</f>
        <v>9</v>
      </c>
      <c r="O19" s="73" t="str">
        <f>CupDraw!V18</f>
        <v>Alan Bond</v>
      </c>
      <c r="P19" s="77">
        <f>IF(CupDraw!W18="","",CupDraw!W18)</f>
        <v>-4.75</v>
      </c>
      <c r="Q19" s="88" t="str">
        <f>IF(CupDraw!X18="","",CupDraw!X18)</f>
        <v/>
      </c>
      <c r="R19" s="85"/>
      <c r="S19" s="63"/>
      <c r="T19" s="62"/>
      <c r="U19" s="62"/>
      <c r="V19" s="62"/>
      <c r="W19" s="62"/>
      <c r="X19" s="87"/>
      <c r="Y19" s="68"/>
      <c r="Z19" s="75" t="str">
        <f>IF(CupDraw!AH18="","",CupDraw!AH18)</f>
        <v/>
      </c>
      <c r="AA19" s="77" t="str">
        <f>IF(CupDraw!AI18="","",CupDraw!AI18)</f>
        <v/>
      </c>
      <c r="AB19" s="69" t="str">
        <f>IF(CupDraw!AJ18="","",CupDraw!AJ18)</f>
        <v/>
      </c>
      <c r="AC19" s="82"/>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0"/>
      <c r="BA19" s="160"/>
      <c r="BB19" s="160"/>
      <c r="BC19" s="160"/>
      <c r="BD19" s="160"/>
      <c r="BE19" s="160"/>
      <c r="BF19" s="160"/>
    </row>
    <row r="20" spans="2:58">
      <c r="B20" s="90"/>
      <c r="C20" s="76" t="str">
        <f>IF(CupDraw!J19="","",CupDraw!J19)</f>
        <v>Oscar Jackson</v>
      </c>
      <c r="D20" s="77" t="str">
        <f>IF(CupDraw!K19="","",CupDraw!K19)</f>
        <v/>
      </c>
      <c r="E20" s="140" t="str">
        <f>IF(CupDraw!L19="","",CupDraw!L19)</f>
        <v/>
      </c>
      <c r="F20" s="81"/>
      <c r="G20" s="62"/>
      <c r="H20" s="90"/>
      <c r="I20" s="73" t="str">
        <f>IF(CupDraw!P19="","",CupDraw!P19)</f>
        <v>Oscar Jackson</v>
      </c>
      <c r="J20" s="77">
        <f>IF(CupDraw!Q19="","",CupDraw!Q19)</f>
        <v>-1.8285714285714292</v>
      </c>
      <c r="K20" s="66" t="str">
        <f>IF(CupDraw!R19="","",CupDraw!R19)</f>
        <v/>
      </c>
      <c r="L20" s="85"/>
      <c r="M20" s="63"/>
      <c r="N20" s="68"/>
      <c r="O20" s="73" t="str">
        <f>CupDraw!V19</f>
        <v>Steve Carter</v>
      </c>
      <c r="P20" s="77">
        <f>IF(CupDraw!W19="","",CupDraw!W19)</f>
        <v>-7</v>
      </c>
      <c r="Q20" s="69" t="str">
        <f>IF(CupDraw!X19="","",CupDraw!X19)</f>
        <v/>
      </c>
      <c r="R20" s="85"/>
      <c r="S20" s="63"/>
      <c r="T20" s="62"/>
      <c r="U20" s="62"/>
      <c r="V20" s="62"/>
      <c r="W20" s="62"/>
      <c r="X20" s="87"/>
      <c r="Y20" s="65"/>
      <c r="Z20" s="67" t="str">
        <f>IF(CupDraw!AH19="","",CupDraw!AH19)</f>
        <v/>
      </c>
      <c r="AA20" s="77" t="str">
        <f>IF(CupDraw!AI19="","",CupDraw!AI19)</f>
        <v/>
      </c>
      <c r="AB20" s="88" t="str">
        <f>IF(CupDraw!AJ19="","",CupDraw!AJ19)</f>
        <v/>
      </c>
      <c r="AC20" s="82"/>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0"/>
      <c r="BA20" s="160"/>
      <c r="BB20" s="160"/>
      <c r="BC20" s="160"/>
      <c r="BD20" s="160"/>
      <c r="BE20" s="160"/>
      <c r="BF20" s="160"/>
    </row>
    <row r="21" spans="2:58">
      <c r="B21" s="91">
        <f>CupDraw!I20</f>
        <v>10</v>
      </c>
      <c r="C21" s="76" t="str">
        <f>IF(CupDraw!J20="","",CupDraw!J20)</f>
        <v>Jack Walsh</v>
      </c>
      <c r="D21" s="77" t="str">
        <f>IF(CupDraw!K20="","",CupDraw!K20)</f>
        <v/>
      </c>
      <c r="E21" s="88" t="str">
        <f>IF(CupDraw!L20="","",CupDraw!L20)</f>
        <v/>
      </c>
      <c r="F21" s="81"/>
      <c r="G21" s="62"/>
      <c r="H21" s="91">
        <f>CupDraw!O20</f>
        <v>10</v>
      </c>
      <c r="I21" s="73" t="str">
        <f>IF(CupDraw!P20="","",CupDraw!P20)</f>
        <v>Jack Walsh</v>
      </c>
      <c r="J21" s="77">
        <f>IF(CupDraw!Q20="","",CupDraw!Q20)</f>
        <v>-7</v>
      </c>
      <c r="K21" s="88" t="str">
        <f>IF(CupDraw!R20="","",CupDraw!R20)</f>
        <v/>
      </c>
      <c r="L21" s="85"/>
      <c r="M21" s="63"/>
      <c r="N21" s="65">
        <f>CupDraw!U20</f>
        <v>10</v>
      </c>
      <c r="O21" s="73" t="str">
        <f>CupDraw!V20</f>
        <v>Dave Orrell</v>
      </c>
      <c r="P21" s="77">
        <f>IF(CupDraw!W20="","",CupDraw!W20)</f>
        <v>0.84999999999999964</v>
      </c>
      <c r="Q21" s="88" t="str">
        <f>IF(CupDraw!X20="","",CupDraw!X20)</f>
        <v/>
      </c>
      <c r="R21" s="85"/>
      <c r="S21" s="63"/>
      <c r="T21" s="62"/>
      <c r="U21" s="62"/>
      <c r="V21" s="62"/>
      <c r="W21" s="62"/>
      <c r="X21" s="87"/>
      <c r="Y21" s="72"/>
      <c r="Z21" s="67" t="str">
        <f>IF(CupDraw!AH20="","",CupDraw!AH20)</f>
        <v/>
      </c>
      <c r="AA21" s="77" t="str">
        <f>IF(CupDraw!AI20="","",CupDraw!AI20)</f>
        <v/>
      </c>
      <c r="AB21" s="66" t="str">
        <f>IF(CupDraw!AJ20="","",CupDraw!AJ20)</f>
        <v/>
      </c>
      <c r="AC21" s="82"/>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0"/>
      <c r="BA21" s="160"/>
      <c r="BB21" s="160"/>
      <c r="BC21" s="160"/>
      <c r="BD21" s="160"/>
      <c r="BE21" s="160"/>
      <c r="BF21" s="160"/>
    </row>
    <row r="22" spans="2:58">
      <c r="B22" s="90"/>
      <c r="C22" s="76" t="str">
        <f>IF(CupDraw!J21="","",CupDraw!J21)</f>
        <v>Martin Molyneux</v>
      </c>
      <c r="D22" s="77" t="str">
        <f>IF(CupDraw!K21="","",CupDraw!K21)</f>
        <v/>
      </c>
      <c r="E22" s="140" t="str">
        <f>IF(CupDraw!L21="","",CupDraw!L21)</f>
        <v/>
      </c>
      <c r="F22" s="81"/>
      <c r="G22" s="62"/>
      <c r="H22" s="90"/>
      <c r="I22" s="73" t="str">
        <f>IF(CupDraw!P21="","",CupDraw!P21)</f>
        <v>Martin Molyneux</v>
      </c>
      <c r="J22" s="77">
        <f>IF(CupDraw!Q21="","",CupDraw!Q21)</f>
        <v>-1.0256410256410255</v>
      </c>
      <c r="K22" s="66" t="str">
        <f>IF(CupDraw!R21="","",CupDraw!R21)</f>
        <v/>
      </c>
      <c r="L22" s="85"/>
      <c r="M22" s="63"/>
      <c r="N22" s="68"/>
      <c r="O22" s="73" t="str">
        <f>CupDraw!V21</f>
        <v>Gerard Ventom</v>
      </c>
      <c r="P22" s="77">
        <f>IF(CupDraw!W21="","",CupDraw!W21)</f>
        <v>-7</v>
      </c>
      <c r="Q22" s="69" t="str">
        <f>IF(CupDraw!X21="","",CupDraw!X21)</f>
        <v/>
      </c>
      <c r="R22" s="85"/>
      <c r="S22" s="63"/>
      <c r="T22" s="62" t="str">
        <f>CupDraw!AA21</f>
        <v>Earlier Ties</v>
      </c>
      <c r="U22" s="62"/>
      <c r="V22" s="62"/>
      <c r="W22" s="62"/>
      <c r="X22" s="87"/>
      <c r="Y22" s="82"/>
      <c r="Z22" s="82"/>
      <c r="AA22" s="82"/>
      <c r="AB22" s="82"/>
      <c r="AC22" s="82"/>
      <c r="AD22" s="160"/>
      <c r="AE22" s="160"/>
      <c r="AF22" s="160"/>
      <c r="AG22" s="160"/>
      <c r="AH22" s="160"/>
      <c r="AI22" s="160"/>
      <c r="AJ22" s="160"/>
      <c r="AK22" s="160"/>
      <c r="AL22" s="160"/>
      <c r="AM22" s="160"/>
      <c r="AN22" s="160"/>
      <c r="AO22" s="160"/>
      <c r="AP22" s="160"/>
      <c r="AQ22" s="160"/>
      <c r="AR22" s="160"/>
      <c r="AS22" s="160"/>
      <c r="AT22" s="160"/>
      <c r="AU22" s="160"/>
      <c r="AV22" s="160"/>
      <c r="AW22" s="160"/>
      <c r="AX22" s="160"/>
      <c r="AY22" s="160"/>
      <c r="AZ22" s="160"/>
      <c r="BA22" s="160"/>
      <c r="BB22" s="160"/>
      <c r="BC22" s="160"/>
      <c r="BD22" s="160"/>
      <c r="BE22" s="160"/>
      <c r="BF22" s="160"/>
    </row>
    <row r="23" spans="2:58">
      <c r="B23" s="91">
        <f>CupDraw!I22</f>
        <v>11</v>
      </c>
      <c r="C23" s="76" t="str">
        <f>IF(CupDraw!J22="","",CupDraw!J22)</f>
        <v>Phil Miller</v>
      </c>
      <c r="D23" s="77" t="str">
        <f>IF(CupDraw!K22="","",CupDraw!K22)</f>
        <v/>
      </c>
      <c r="E23" s="88" t="str">
        <f>IF(CupDraw!L22="","",CupDraw!L22)</f>
        <v/>
      </c>
      <c r="F23" s="81"/>
      <c r="G23" s="62"/>
      <c r="H23" s="91">
        <f>CupDraw!O22</f>
        <v>11</v>
      </c>
      <c r="I23" s="73" t="str">
        <f>IF(CupDraw!P22="","",CupDraw!P22)</f>
        <v>Phil Miller</v>
      </c>
      <c r="J23" s="77">
        <f>IF(CupDraw!Q22="","",CupDraw!Q22)</f>
        <v>-5.3333333333333339</v>
      </c>
      <c r="K23" s="88" t="str">
        <f>IF(CupDraw!R22="","",CupDraw!R22)</f>
        <v/>
      </c>
      <c r="L23" s="85"/>
      <c r="M23" s="63"/>
      <c r="N23" s="65">
        <f>CupDraw!U22</f>
        <v>11</v>
      </c>
      <c r="O23" s="73" t="str">
        <f>CupDraw!V22</f>
        <v>Chris Griffin</v>
      </c>
      <c r="P23" s="77">
        <f>IF(CupDraw!W22="","",CupDraw!W22)</f>
        <v>-1.0674999999999999</v>
      </c>
      <c r="Q23" s="88" t="str">
        <f>IF(CupDraw!X22="","",CupDraw!X22)</f>
        <v/>
      </c>
      <c r="R23" s="85"/>
      <c r="S23" s="63"/>
      <c r="T23" s="65"/>
      <c r="U23" s="75"/>
      <c r="V23" s="77"/>
      <c r="W23" s="88"/>
      <c r="X23" s="87"/>
      <c r="Y23" s="82"/>
      <c r="Z23" s="82"/>
      <c r="AA23" s="82"/>
      <c r="AB23" s="82"/>
      <c r="AC23" s="82"/>
      <c r="AD23" s="160"/>
      <c r="AE23" s="160"/>
      <c r="AF23" s="160"/>
      <c r="AG23" s="160"/>
      <c r="AH23" s="160"/>
      <c r="AI23" s="160"/>
      <c r="AJ23" s="160"/>
      <c r="AK23" s="160"/>
      <c r="AL23" s="160"/>
      <c r="AM23" s="160"/>
      <c r="AN23" s="160"/>
      <c r="AO23" s="160"/>
      <c r="AP23" s="160"/>
      <c r="AQ23" s="160"/>
      <c r="AR23" s="160"/>
      <c r="AS23" s="160"/>
      <c r="AT23" s="160"/>
      <c r="AU23" s="160"/>
      <c r="AV23" s="160"/>
      <c r="AW23" s="160"/>
      <c r="AX23" s="160"/>
      <c r="AY23" s="160"/>
      <c r="AZ23" s="160"/>
      <c r="BA23" s="160"/>
      <c r="BB23" s="160"/>
      <c r="BC23" s="160"/>
      <c r="BD23" s="160"/>
      <c r="BE23" s="160"/>
      <c r="BF23" s="160"/>
    </row>
    <row r="24" spans="2:58">
      <c r="B24" s="90"/>
      <c r="C24" s="76" t="str">
        <f>IF(CupDraw!J23="","",CupDraw!J23)</f>
        <v>Frank Allen</v>
      </c>
      <c r="D24" s="77" t="str">
        <f>IF(CupDraw!K23="","",CupDraw!K23)</f>
        <v/>
      </c>
      <c r="E24" s="140" t="str">
        <f>IF(CupDraw!L23="","",CupDraw!L23)</f>
        <v/>
      </c>
      <c r="F24" s="81"/>
      <c r="G24" s="62"/>
      <c r="H24" s="90"/>
      <c r="I24" s="73" t="str">
        <f>IF(CupDraw!P23="","",CupDraw!P23)</f>
        <v>Frank Allen</v>
      </c>
      <c r="J24" s="77">
        <f>IF(CupDraw!Q23="","",CupDraw!Q23)</f>
        <v>-0.67692307692307629</v>
      </c>
      <c r="K24" s="66" t="str">
        <f>IF(CupDraw!R23="","",CupDraw!R23)</f>
        <v/>
      </c>
      <c r="L24" s="85"/>
      <c r="M24" s="63"/>
      <c r="N24" s="68"/>
      <c r="O24" s="73" t="str">
        <f>CupDraw!V23</f>
        <v>Stephen Barr</v>
      </c>
      <c r="P24" s="77">
        <f>IF(CupDraw!W23="","",CupDraw!W23)</f>
        <v>-7</v>
      </c>
      <c r="Q24" s="69" t="str">
        <f>IF(CupDraw!X23="","",CupDraw!X23)</f>
        <v/>
      </c>
      <c r="R24" s="85"/>
      <c r="S24" s="63"/>
      <c r="T24" s="68"/>
      <c r="U24" s="75"/>
      <c r="V24" s="77"/>
      <c r="W24" s="69"/>
      <c r="X24" s="87"/>
      <c r="Y24" s="82"/>
      <c r="Z24" s="82"/>
      <c r="AA24" s="82"/>
      <c r="AB24" s="82"/>
      <c r="AC24" s="82"/>
      <c r="AD24" s="160"/>
      <c r="AE24" s="160"/>
      <c r="AF24" s="160"/>
      <c r="AG24" s="160"/>
      <c r="AH24" s="160"/>
      <c r="AI24" s="160"/>
      <c r="AJ24" s="160"/>
      <c r="AK24" s="160"/>
      <c r="AL24" s="160"/>
      <c r="AM24" s="160"/>
      <c r="AN24" s="160"/>
      <c r="AO24" s="160"/>
      <c r="AP24" s="160"/>
      <c r="AQ24" s="160"/>
      <c r="AR24" s="160"/>
      <c r="AS24" s="160"/>
      <c r="AT24" s="160"/>
      <c r="AU24" s="160"/>
      <c r="AV24" s="160"/>
      <c r="AW24" s="160"/>
      <c r="AX24" s="160"/>
      <c r="AY24" s="160"/>
      <c r="AZ24" s="160"/>
      <c r="BA24" s="160"/>
      <c r="BB24" s="160"/>
      <c r="BC24" s="160"/>
      <c r="BD24" s="160"/>
      <c r="BE24" s="160"/>
      <c r="BF24" s="160"/>
    </row>
    <row r="25" spans="2:58">
      <c r="B25" s="91">
        <f>CupDraw!I24</f>
        <v>12</v>
      </c>
      <c r="C25" s="76" t="str">
        <f>IF(CupDraw!J24="","",CupDraw!J24)</f>
        <v>Pete Baron</v>
      </c>
      <c r="D25" s="77" t="str">
        <f>IF(CupDraw!K24="","",CupDraw!K24)</f>
        <v/>
      </c>
      <c r="E25" s="88" t="str">
        <f>IF(CupDraw!L24="","",CupDraw!L24)</f>
        <v/>
      </c>
      <c r="F25" s="62"/>
      <c r="G25" s="62"/>
      <c r="H25" s="91">
        <f>CupDraw!O24</f>
        <v>12</v>
      </c>
      <c r="I25" s="73" t="str">
        <f>IF(CupDraw!P24="","",CupDraw!P24)</f>
        <v>Pete Baron</v>
      </c>
      <c r="J25" s="77">
        <f>IF(CupDraw!Q24="","",CupDraw!Q24)</f>
        <v>8</v>
      </c>
      <c r="K25" s="88" t="str">
        <f>IF(CupDraw!R24="","",CupDraw!R24)</f>
        <v/>
      </c>
      <c r="L25" s="85"/>
      <c r="M25" s="63"/>
      <c r="N25" s="65">
        <f>CupDraw!U24</f>
        <v>12</v>
      </c>
      <c r="O25" s="73" t="str">
        <f>CupDraw!V24</f>
        <v>Bob Bailey</v>
      </c>
      <c r="P25" s="77">
        <f>IF(CupDraw!W24="","",CupDraw!W24)</f>
        <v>-5.05</v>
      </c>
      <c r="Q25" s="88" t="str">
        <f>IF(CupDraw!X24="","",CupDraw!X24)</f>
        <v/>
      </c>
      <c r="R25" s="85"/>
      <c r="S25" s="63"/>
      <c r="T25" s="65"/>
      <c r="U25" s="67" t="str">
        <f>IF(CupDraw!AB24="","",CupDraw!AB24)</f>
        <v/>
      </c>
      <c r="V25" s="77" t="str">
        <f>IF(CupDraw!AC24="","",CupDraw!AC24)</f>
        <v/>
      </c>
      <c r="W25" s="88"/>
      <c r="X25" s="87"/>
      <c r="Y25" s="82"/>
      <c r="Z25" s="82"/>
      <c r="AA25" s="82"/>
      <c r="AB25" s="82"/>
      <c r="AC25" s="82"/>
      <c r="AD25" s="160"/>
      <c r="AE25" s="160"/>
      <c r="AF25" s="160"/>
      <c r="AG25" s="160"/>
      <c r="AH25" s="160"/>
      <c r="AI25" s="160"/>
      <c r="AJ25" s="160"/>
      <c r="AK25" s="160"/>
      <c r="AL25" s="160"/>
      <c r="AM25" s="160"/>
      <c r="AN25" s="160"/>
      <c r="AO25" s="160"/>
      <c r="AP25" s="160"/>
      <c r="AQ25" s="160"/>
      <c r="AR25" s="160"/>
      <c r="AS25" s="160"/>
      <c r="AT25" s="160"/>
      <c r="AU25" s="160"/>
      <c r="AV25" s="160"/>
      <c r="AW25" s="160"/>
      <c r="AX25" s="160"/>
      <c r="AY25" s="160"/>
      <c r="AZ25" s="160"/>
      <c r="BA25" s="160"/>
      <c r="BB25" s="160"/>
      <c r="BC25" s="160"/>
      <c r="BD25" s="160"/>
      <c r="BE25" s="160"/>
      <c r="BF25" s="160"/>
    </row>
    <row r="26" spans="2:58">
      <c r="B26" s="90"/>
      <c r="C26" s="76" t="str">
        <f>IF(CupDraw!J25="","",CupDraw!J25)</f>
        <v>John Murphy</v>
      </c>
      <c r="D26" s="77" t="str">
        <f>IF(CupDraw!K25="","",CupDraw!K25)</f>
        <v/>
      </c>
      <c r="E26" s="140" t="str">
        <f>IF(CupDraw!L25="","",CupDraw!L25)</f>
        <v/>
      </c>
      <c r="F26" s="62"/>
      <c r="G26" s="62"/>
      <c r="H26" s="90"/>
      <c r="I26" s="73" t="str">
        <f>IF(CupDraw!P25="","",CupDraw!P25)</f>
        <v>John Murphy</v>
      </c>
      <c r="J26" s="77">
        <f>IF(CupDraw!Q25="","",CupDraw!Q25)</f>
        <v>-7</v>
      </c>
      <c r="K26" s="66" t="str">
        <f>IF(CupDraw!R25="","",CupDraw!R25)</f>
        <v/>
      </c>
      <c r="L26" s="85"/>
      <c r="M26" s="63"/>
      <c r="N26" s="68"/>
      <c r="O26" s="73" t="str">
        <f>CupDraw!V25</f>
        <v>Stephen Troop</v>
      </c>
      <c r="P26" s="77">
        <f>IF(CupDraw!W25="","",CupDraw!W25)</f>
        <v>0.61249999999999982</v>
      </c>
      <c r="Q26" s="69" t="str">
        <f>IF(CupDraw!X25="","",CupDraw!X25)</f>
        <v/>
      </c>
      <c r="R26" s="85"/>
      <c r="S26" s="63"/>
      <c r="T26" s="72"/>
      <c r="U26" s="67" t="str">
        <f>IF(CupDraw!AB25="","",CupDraw!AB25)</f>
        <v/>
      </c>
      <c r="V26" s="77" t="str">
        <f>IF(CupDraw!AC25="","",CupDraw!AC25)</f>
        <v/>
      </c>
      <c r="W26" s="66"/>
      <c r="X26" s="87"/>
      <c r="Y26" s="82"/>
      <c r="Z26" s="82"/>
      <c r="AA26" s="82"/>
      <c r="AB26" s="82"/>
      <c r="AC26" s="82"/>
      <c r="AD26" s="160"/>
      <c r="AE26" s="160"/>
      <c r="AF26" s="160"/>
      <c r="AG26" s="160"/>
      <c r="AH26" s="160"/>
      <c r="AI26" s="160"/>
      <c r="AJ26" s="160"/>
      <c r="AK26" s="160"/>
      <c r="AL26" s="160"/>
      <c r="AM26" s="160"/>
      <c r="AN26" s="160"/>
      <c r="AO26" s="160"/>
      <c r="AP26" s="160"/>
      <c r="AQ26" s="160"/>
      <c r="AR26" s="160"/>
      <c r="AS26" s="160"/>
      <c r="AT26" s="160"/>
      <c r="AU26" s="160"/>
      <c r="AV26" s="160"/>
      <c r="AW26" s="160"/>
      <c r="AX26" s="160"/>
      <c r="AY26" s="160"/>
      <c r="AZ26" s="160"/>
      <c r="BA26" s="160"/>
      <c r="BB26" s="160"/>
      <c r="BC26" s="160"/>
      <c r="BD26" s="160"/>
      <c r="BE26" s="160"/>
      <c r="BF26" s="160"/>
    </row>
    <row r="27" spans="2:58">
      <c r="B27" s="91">
        <f>CupDraw!I26</f>
        <v>13</v>
      </c>
      <c r="C27" s="76" t="str">
        <f>IF(CupDraw!J26="","",CupDraw!J26)</f>
        <v>James Bell</v>
      </c>
      <c r="D27" s="77" t="str">
        <f>IF(CupDraw!K26="","",CupDraw!K26)</f>
        <v/>
      </c>
      <c r="E27" s="88" t="str">
        <f>IF(CupDraw!L26="","",CupDraw!L26)</f>
        <v/>
      </c>
      <c r="F27" s="62"/>
      <c r="G27" s="62"/>
      <c r="H27" s="91">
        <f>CupDraw!O26</f>
        <v>13</v>
      </c>
      <c r="I27" s="73" t="str">
        <f>IF(CupDraw!P26="","",CupDraw!P26)</f>
        <v>James Bell</v>
      </c>
      <c r="J27" s="77">
        <f>IF(CupDraw!Q26="","",CupDraw!Q26)</f>
        <v>-5.7142857142857144</v>
      </c>
      <c r="K27" s="88" t="str">
        <f>IF(CupDraw!R26="","",CupDraw!R26)</f>
        <v/>
      </c>
      <c r="L27" s="85"/>
      <c r="M27" s="63"/>
      <c r="N27" s="65">
        <f>CupDraw!U26</f>
        <v>13</v>
      </c>
      <c r="O27" s="73" t="str">
        <f>CupDraw!V26</f>
        <v>Mark Saunders</v>
      </c>
      <c r="P27" s="77">
        <f>IF(CupDraw!W26="","",CupDraw!W26)</f>
        <v>-4.95</v>
      </c>
      <c r="Q27" s="88" t="str">
        <f>IF(CupDraw!X26="","",CupDraw!X26)</f>
        <v/>
      </c>
      <c r="R27" s="85"/>
      <c r="S27" s="63"/>
      <c r="T27" s="65"/>
      <c r="U27" s="75" t="str">
        <f>IF(CupDraw!AB26="","",CupDraw!AB26)</f>
        <v/>
      </c>
      <c r="V27" s="77" t="str">
        <f>IF(CupDraw!AC26="","",CupDraw!AC26)</f>
        <v/>
      </c>
      <c r="W27" s="88" t="str">
        <f>CupDraw!AD26</f>
        <v/>
      </c>
      <c r="X27" s="87"/>
      <c r="Y27" s="82"/>
      <c r="Z27" s="82"/>
      <c r="AA27" s="82"/>
      <c r="AB27" s="82"/>
      <c r="AC27" s="82"/>
      <c r="AD27" s="160"/>
      <c r="AE27" s="160"/>
      <c r="AF27" s="160"/>
      <c r="AG27" s="160"/>
      <c r="AH27" s="160"/>
      <c r="AI27" s="160"/>
      <c r="AJ27" s="160"/>
      <c r="AK27" s="160"/>
      <c r="AL27" s="160"/>
      <c r="AM27" s="160"/>
      <c r="AN27" s="160"/>
      <c r="AO27" s="160"/>
      <c r="AP27" s="160"/>
      <c r="AQ27" s="160"/>
      <c r="AR27" s="160"/>
      <c r="AS27" s="160"/>
      <c r="AT27" s="160"/>
      <c r="AU27" s="160"/>
      <c r="AV27" s="160"/>
      <c r="AW27" s="160"/>
      <c r="AX27" s="160"/>
      <c r="AY27" s="160"/>
      <c r="AZ27" s="160"/>
      <c r="BA27" s="160"/>
      <c r="BB27" s="160"/>
      <c r="BC27" s="160"/>
      <c r="BD27" s="160"/>
      <c r="BE27" s="160"/>
      <c r="BF27" s="160"/>
    </row>
    <row r="28" spans="2:58">
      <c r="B28" s="90"/>
      <c r="C28" s="76" t="str">
        <f>IF(CupDraw!J27="","",CupDraw!J27)</f>
        <v>Ian Davies</v>
      </c>
      <c r="D28" s="77" t="str">
        <f>IF(CupDraw!K27="","",CupDraw!K27)</f>
        <v/>
      </c>
      <c r="E28" s="140" t="str">
        <f>IF(CupDraw!L27="","",CupDraw!L27)</f>
        <v/>
      </c>
      <c r="F28" s="62"/>
      <c r="G28" s="62"/>
      <c r="H28" s="90"/>
      <c r="I28" s="73" t="str">
        <f>IF(CupDraw!P27="","",CupDraw!P27)</f>
        <v>Ian Davies</v>
      </c>
      <c r="J28" s="77">
        <f>IF(CupDraw!Q27="","",CupDraw!Q27)</f>
        <v>-3.9</v>
      </c>
      <c r="K28" s="66" t="str">
        <f>IF(CupDraw!R27="","",CupDraw!R27)</f>
        <v/>
      </c>
      <c r="L28" s="85"/>
      <c r="M28" s="63"/>
      <c r="N28" s="68"/>
      <c r="O28" s="73" t="str">
        <f>CupDraw!V27</f>
        <v>Chris Luck</v>
      </c>
      <c r="P28" s="77">
        <f>IF(CupDraw!W27="","",CupDraw!W27)</f>
        <v>-7</v>
      </c>
      <c r="Q28" s="69" t="str">
        <f>IF(CupDraw!X27="","",CupDraw!X27)</f>
        <v/>
      </c>
      <c r="R28" s="85"/>
      <c r="S28" s="63"/>
      <c r="T28" s="68"/>
      <c r="U28" s="75" t="str">
        <f>IF(CupDraw!AB27="","",CupDraw!AB27)</f>
        <v/>
      </c>
      <c r="V28" s="77" t="str">
        <f>IF(CupDraw!AC27="","",CupDraw!AC27)</f>
        <v/>
      </c>
      <c r="W28" s="69"/>
      <c r="X28" s="87"/>
      <c r="Y28" s="82"/>
      <c r="Z28" s="82"/>
      <c r="AA28" s="82"/>
      <c r="AB28" s="82"/>
      <c r="AC28" s="82"/>
      <c r="AD28" s="160"/>
      <c r="AE28" s="160"/>
      <c r="AF28" s="160"/>
      <c r="AG28" s="160"/>
      <c r="AH28" s="160"/>
      <c r="AI28" s="160"/>
      <c r="AJ28" s="160"/>
      <c r="AK28" s="160"/>
      <c r="AL28" s="160"/>
      <c r="AM28" s="160"/>
      <c r="AN28" s="160"/>
      <c r="AO28" s="160"/>
      <c r="AP28" s="160"/>
      <c r="AQ28" s="160"/>
      <c r="AR28" s="160"/>
      <c r="AS28" s="160"/>
      <c r="AT28" s="160"/>
      <c r="AU28" s="160"/>
      <c r="AV28" s="160"/>
      <c r="AW28" s="160"/>
      <c r="AX28" s="160"/>
      <c r="AY28" s="160"/>
      <c r="AZ28" s="160"/>
      <c r="BA28" s="160"/>
      <c r="BB28" s="160"/>
      <c r="BC28" s="160"/>
      <c r="BD28" s="160"/>
      <c r="BE28" s="160"/>
      <c r="BF28" s="160"/>
    </row>
    <row r="29" spans="2:58">
      <c r="B29" s="91">
        <f>CupDraw!I28</f>
        <v>14</v>
      </c>
      <c r="C29" s="76" t="str">
        <f>IF(CupDraw!J28="","",CupDraw!J28)</f>
        <v>Barry Birchall</v>
      </c>
      <c r="D29" s="77" t="str">
        <f>IF(CupDraw!K28="","",CupDraw!K28)</f>
        <v/>
      </c>
      <c r="E29" s="88" t="str">
        <f>IF(CupDraw!L28="","",CupDraw!L28)</f>
        <v/>
      </c>
      <c r="F29" s="62"/>
      <c r="G29" s="62"/>
      <c r="H29" s="91">
        <f>CupDraw!O28</f>
        <v>14</v>
      </c>
      <c r="I29" s="73" t="str">
        <f>IF(CupDraw!P28="","",CupDraw!P28)</f>
        <v>Barry Birchall</v>
      </c>
      <c r="J29" s="77">
        <f>IF(CupDraw!Q28="","",CupDraw!Q28)</f>
        <v>-7</v>
      </c>
      <c r="K29" s="88" t="str">
        <f>IF(CupDraw!R28="","",CupDraw!R28)</f>
        <v/>
      </c>
      <c r="L29" s="85"/>
      <c r="M29" s="63"/>
      <c r="N29" s="65">
        <f>CupDraw!U28</f>
        <v>14</v>
      </c>
      <c r="O29" s="73" t="str">
        <f>CupDraw!V28</f>
        <v>Paul Fiddler</v>
      </c>
      <c r="P29" s="77">
        <f>IF(CupDraw!W28="","",CupDraw!W28)</f>
        <v>0.84999999999999964</v>
      </c>
      <c r="Q29" s="88" t="str">
        <f>IF(CupDraw!X28="","",CupDraw!X28)</f>
        <v/>
      </c>
      <c r="R29" s="85"/>
      <c r="S29" s="63"/>
      <c r="T29" s="65"/>
      <c r="U29" s="67" t="str">
        <f>IF(CupDraw!AB28="","",CupDraw!AB28)</f>
        <v/>
      </c>
      <c r="V29" s="77" t="str">
        <f>IF(CupDraw!AC28="","",CupDraw!AC28)</f>
        <v/>
      </c>
      <c r="W29" s="88" t="str">
        <f>CupDraw!AD28</f>
        <v/>
      </c>
      <c r="X29" s="87"/>
      <c r="Y29" s="82"/>
      <c r="Z29" s="82"/>
      <c r="AA29" s="82"/>
      <c r="AB29" s="82"/>
      <c r="AC29" s="82"/>
      <c r="AD29" s="160"/>
      <c r="AE29" s="160"/>
      <c r="AF29" s="160"/>
      <c r="AG29" s="160"/>
      <c r="AH29" s="160"/>
      <c r="AI29" s="160"/>
      <c r="AJ29" s="160"/>
      <c r="AK29" s="160"/>
      <c r="AL29" s="160"/>
      <c r="AM29" s="160"/>
      <c r="AN29" s="160"/>
      <c r="AO29" s="160"/>
      <c r="AP29" s="160"/>
      <c r="AQ29" s="160"/>
      <c r="AR29" s="160"/>
      <c r="AS29" s="160"/>
      <c r="AT29" s="160"/>
      <c r="AU29" s="160"/>
      <c r="AV29" s="160"/>
      <c r="AW29" s="160"/>
      <c r="AX29" s="160"/>
      <c r="AY29" s="160"/>
      <c r="AZ29" s="160"/>
      <c r="BA29" s="160"/>
      <c r="BB29" s="160"/>
      <c r="BC29" s="160"/>
      <c r="BD29" s="160"/>
      <c r="BE29" s="160"/>
      <c r="BF29" s="160"/>
    </row>
    <row r="30" spans="2:58">
      <c r="B30" s="90"/>
      <c r="C30" s="76" t="str">
        <f>IF(CupDraw!J29="","",CupDraw!J29)</f>
        <v>Mal Stott</v>
      </c>
      <c r="D30" s="77" t="str">
        <f>IF(CupDraw!K29="","",CupDraw!K29)</f>
        <v/>
      </c>
      <c r="E30" s="140" t="str">
        <f>IF(CupDraw!L29="","",CupDraw!L29)</f>
        <v/>
      </c>
      <c r="F30" s="62"/>
      <c r="G30" s="62"/>
      <c r="H30" s="90"/>
      <c r="I30" s="73" t="str">
        <f>IF(CupDraw!P29="","",CupDraw!P29)</f>
        <v>Mal Stott</v>
      </c>
      <c r="J30" s="77">
        <f>IF(CupDraw!Q29="","",CupDraw!Q29)</f>
        <v>-4.7</v>
      </c>
      <c r="K30" s="66" t="str">
        <f>IF(CupDraw!R29="","",CupDraw!R29)</f>
        <v/>
      </c>
      <c r="L30" s="85"/>
      <c r="M30" s="63"/>
      <c r="N30" s="68"/>
      <c r="O30" s="73" t="str">
        <f>CupDraw!V29</f>
        <v>Graham Miller</v>
      </c>
      <c r="P30" s="77">
        <f>IF(CupDraw!W29="","",CupDraw!W29)</f>
        <v>-10</v>
      </c>
      <c r="Q30" s="69" t="str">
        <f>IF(CupDraw!X29="","",CupDraw!X29)</f>
        <v/>
      </c>
      <c r="R30" s="85"/>
      <c r="S30" s="63"/>
      <c r="T30" s="72"/>
      <c r="U30" s="67" t="str">
        <f>IF(CupDraw!AB29="","",CupDraw!AB29)</f>
        <v/>
      </c>
      <c r="V30" s="77" t="str">
        <f>IF(CupDraw!AC29="","",CupDraw!AC29)</f>
        <v/>
      </c>
      <c r="W30" s="66"/>
      <c r="X30" s="87"/>
      <c r="Y30" s="82"/>
      <c r="Z30" s="82"/>
      <c r="AA30" s="82"/>
      <c r="AB30" s="82"/>
      <c r="AC30" s="82"/>
      <c r="AD30" s="160"/>
      <c r="AE30" s="160"/>
      <c r="AF30" s="160"/>
      <c r="AG30" s="160"/>
      <c r="AH30" s="160"/>
      <c r="AI30" s="160"/>
      <c r="AJ30" s="160"/>
      <c r="AK30" s="160"/>
      <c r="AL30" s="160"/>
      <c r="AM30" s="160"/>
      <c r="AN30" s="160"/>
      <c r="AO30" s="160"/>
      <c r="AP30" s="160"/>
      <c r="AQ30" s="160"/>
      <c r="AR30" s="160"/>
      <c r="AS30" s="160"/>
      <c r="AT30" s="160"/>
      <c r="AU30" s="160"/>
      <c r="AV30" s="160"/>
      <c r="AW30" s="160"/>
      <c r="AX30" s="160"/>
      <c r="AY30" s="160"/>
      <c r="AZ30" s="160"/>
      <c r="BA30" s="160"/>
      <c r="BB30" s="160"/>
      <c r="BC30" s="160"/>
      <c r="BD30" s="160"/>
      <c r="BE30" s="160"/>
      <c r="BF30" s="160"/>
    </row>
    <row r="31" spans="2:58">
      <c r="B31" s="91">
        <f>CupDraw!I30</f>
        <v>15</v>
      </c>
      <c r="C31" s="76" t="str">
        <f>IF(CupDraw!J30="","",CupDraw!J30)</f>
        <v>John Ronan</v>
      </c>
      <c r="D31" s="77" t="str">
        <f>IF(CupDraw!K30="","",CupDraw!K30)</f>
        <v/>
      </c>
      <c r="E31" s="88" t="str">
        <f>IF(CupDraw!L30="","",CupDraw!L30)</f>
        <v/>
      </c>
      <c r="F31" s="62"/>
      <c r="G31" s="62"/>
      <c r="H31" s="91">
        <f>CupDraw!O30</f>
        <v>15</v>
      </c>
      <c r="I31" s="73" t="str">
        <f>IF(CupDraw!P30="","",CupDraw!P30)</f>
        <v>John Ronan</v>
      </c>
      <c r="J31" s="77">
        <f>IF(CupDraw!Q30="","",CupDraw!Q30)</f>
        <v>-4.4000000000000004</v>
      </c>
      <c r="K31" s="88" t="str">
        <f>IF(CupDraw!R30="","",CupDraw!R30)</f>
        <v/>
      </c>
      <c r="L31" s="85"/>
      <c r="M31" s="63"/>
      <c r="N31" s="65">
        <f>CupDraw!U30</f>
        <v>15</v>
      </c>
      <c r="O31" s="73" t="str">
        <f>CupDraw!V30</f>
        <v>Liam Wah</v>
      </c>
      <c r="P31" s="77">
        <f>IF(CupDraw!W30="","",CupDraw!W30)</f>
        <v>-7</v>
      </c>
      <c r="Q31" s="88" t="str">
        <f>IF(CupDraw!X30="","",CupDraw!X30)</f>
        <v/>
      </c>
      <c r="R31" s="85"/>
      <c r="S31" s="63"/>
      <c r="T31" s="82"/>
      <c r="U31" s="82"/>
      <c r="V31" s="82"/>
      <c r="W31" s="82"/>
      <c r="X31" s="87"/>
      <c r="Y31" s="82"/>
      <c r="Z31" s="82"/>
      <c r="AA31" s="82"/>
      <c r="AB31" s="82"/>
      <c r="AC31" s="82"/>
      <c r="AD31" s="160"/>
      <c r="AE31" s="160"/>
      <c r="AF31" s="160"/>
      <c r="AG31" s="160"/>
      <c r="AH31" s="160"/>
      <c r="AI31" s="160"/>
      <c r="AJ31" s="160"/>
      <c r="AK31" s="160"/>
      <c r="AL31" s="160"/>
      <c r="AM31" s="160"/>
      <c r="AN31" s="160"/>
      <c r="AO31" s="160"/>
      <c r="AP31" s="160"/>
      <c r="AQ31" s="160"/>
      <c r="AR31" s="160"/>
      <c r="AS31" s="160"/>
      <c r="AT31" s="160"/>
      <c r="AU31" s="160"/>
      <c r="AV31" s="160"/>
      <c r="AW31" s="160"/>
      <c r="AX31" s="160"/>
      <c r="AY31" s="160"/>
      <c r="AZ31" s="160"/>
      <c r="BA31" s="160"/>
      <c r="BB31" s="160"/>
      <c r="BC31" s="160"/>
      <c r="BD31" s="160"/>
      <c r="BE31" s="160"/>
      <c r="BF31" s="160"/>
    </row>
    <row r="32" spans="2:58">
      <c r="B32" s="90"/>
      <c r="C32" s="76" t="str">
        <f>IF(CupDraw!J31="","",CupDraw!J31)</f>
        <v>Kei Lok Ma</v>
      </c>
      <c r="D32" s="77" t="str">
        <f>IF(CupDraw!K31="","",CupDraw!K31)</f>
        <v/>
      </c>
      <c r="E32" s="140" t="str">
        <f>IF(CupDraw!L31="","",CupDraw!L31)</f>
        <v/>
      </c>
      <c r="F32" s="62"/>
      <c r="G32" s="62"/>
      <c r="H32" s="90"/>
      <c r="I32" s="73" t="str">
        <f>IF(CupDraw!P31="","",CupDraw!P31)</f>
        <v>Kei Lok Ma</v>
      </c>
      <c r="J32" s="77">
        <f>IF(CupDraw!Q31="","",CupDraw!Q31)</f>
        <v>-4.7</v>
      </c>
      <c r="K32" s="66" t="str">
        <f>IF(CupDraw!R31="","",CupDraw!R31)</f>
        <v/>
      </c>
      <c r="L32" s="85"/>
      <c r="M32" s="63"/>
      <c r="N32" s="68"/>
      <c r="O32" s="73" t="str">
        <f>CupDraw!V31</f>
        <v>Rob England</v>
      </c>
      <c r="P32" s="77">
        <f>IF(CupDraw!W31="","",CupDraw!W31)</f>
        <v>30.25</v>
      </c>
      <c r="Q32" s="69" t="str">
        <f>IF(CupDraw!X31="","",CupDraw!X31)</f>
        <v/>
      </c>
      <c r="R32" s="85"/>
      <c r="S32" s="63"/>
      <c r="T32" s="82"/>
      <c r="U32" s="82"/>
      <c r="V32" s="82"/>
      <c r="W32" s="82"/>
      <c r="X32" s="87"/>
      <c r="Y32" s="82"/>
      <c r="Z32" s="82"/>
      <c r="AA32" s="82"/>
      <c r="AB32" s="82"/>
      <c r="AC32" s="82"/>
      <c r="AD32" s="160"/>
      <c r="AE32" s="160"/>
      <c r="AF32" s="160"/>
      <c r="AG32" s="160"/>
      <c r="AH32" s="160"/>
      <c r="AI32" s="160"/>
      <c r="AJ32" s="160"/>
      <c r="AK32" s="160"/>
      <c r="AL32" s="160"/>
      <c r="AM32" s="160"/>
      <c r="AN32" s="160"/>
      <c r="AO32" s="160"/>
      <c r="AP32" s="160"/>
      <c r="AQ32" s="160"/>
      <c r="AR32" s="160"/>
      <c r="AS32" s="160"/>
      <c r="AT32" s="160"/>
      <c r="AU32" s="160"/>
      <c r="AV32" s="160"/>
      <c r="AW32" s="160"/>
      <c r="AX32" s="160"/>
      <c r="AY32" s="160"/>
      <c r="AZ32" s="160"/>
      <c r="BA32" s="160"/>
      <c r="BB32" s="160"/>
      <c r="BC32" s="160"/>
      <c r="BD32" s="160"/>
      <c r="BE32" s="160"/>
      <c r="BF32" s="160"/>
    </row>
    <row r="33" spans="2:58">
      <c r="B33" s="91">
        <f>CupDraw!I32</f>
        <v>16</v>
      </c>
      <c r="C33" s="76" t="str">
        <f>IF(CupDraw!J32="","",CupDraw!J32)</f>
        <v>Alfie Davies</v>
      </c>
      <c r="D33" s="77" t="str">
        <f>IF(CupDraw!K32="","",CupDraw!K32)</f>
        <v/>
      </c>
      <c r="E33" s="88" t="str">
        <f>IF(CupDraw!L32="","",CupDraw!L32)</f>
        <v/>
      </c>
      <c r="F33" s="62"/>
      <c r="G33" s="62"/>
      <c r="H33" s="91">
        <f>CupDraw!O32</f>
        <v>16</v>
      </c>
      <c r="I33" s="73" t="str">
        <f>IF(CupDraw!P32="","",CupDraw!P32)</f>
        <v>Alfie Davies</v>
      </c>
      <c r="J33" s="77">
        <f>IF(CupDraw!Q32="","",CupDraw!Q32)</f>
        <v>-4.4000000000000004</v>
      </c>
      <c r="K33" s="88" t="str">
        <f>IF(CupDraw!R32="","",CupDraw!R32)</f>
        <v/>
      </c>
      <c r="L33" s="85"/>
      <c r="M33" s="63"/>
      <c r="N33" s="65">
        <f>CupDraw!U32</f>
        <v>16</v>
      </c>
      <c r="O33" s="73" t="str">
        <f>CupDraw!V32</f>
        <v>Dan Gibbard</v>
      </c>
      <c r="P33" s="77">
        <f>IF(CupDraw!W32="","",CupDraw!W32)</f>
        <v>67.96875</v>
      </c>
      <c r="Q33" s="88" t="str">
        <f>IF(CupDraw!X32="","",CupDraw!X32)</f>
        <v/>
      </c>
      <c r="R33" s="85"/>
      <c r="S33" s="63"/>
      <c r="T33" s="82"/>
      <c r="U33" s="82"/>
      <c r="V33" s="82"/>
      <c r="W33" s="82"/>
      <c r="X33" s="87"/>
      <c r="Y33" s="82"/>
      <c r="Z33" s="82"/>
      <c r="AA33" s="82"/>
      <c r="AB33" s="82"/>
      <c r="AC33" s="82"/>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0"/>
      <c r="BC33" s="160"/>
      <c r="BD33" s="160"/>
      <c r="BE33" s="160"/>
      <c r="BF33" s="160"/>
    </row>
    <row r="34" spans="2:58">
      <c r="B34" s="90"/>
      <c r="C34" s="76" t="str">
        <f>IF(CupDraw!J33="","",CupDraw!J33)</f>
        <v>Steve Baxter</v>
      </c>
      <c r="D34" s="77" t="str">
        <f>IF(CupDraw!K33="","",CupDraw!K33)</f>
        <v/>
      </c>
      <c r="E34" s="140" t="str">
        <f>IF(CupDraw!L33="","",CupDraw!L33)</f>
        <v/>
      </c>
      <c r="F34" s="62"/>
      <c r="G34" s="62"/>
      <c r="H34" s="90"/>
      <c r="I34" s="73" t="str">
        <f>IF(CupDraw!P33="","",CupDraw!P33)</f>
        <v>Steve Baxter</v>
      </c>
      <c r="J34" s="77">
        <f>IF(CupDraw!Q33="","",CupDraw!Q33)</f>
        <v>5.4095238095238081</v>
      </c>
      <c r="K34" s="66" t="str">
        <f>IF(CupDraw!R33="","",CupDraw!R33)</f>
        <v/>
      </c>
      <c r="L34" s="85"/>
      <c r="M34" s="63"/>
      <c r="N34" s="72"/>
      <c r="O34" s="73" t="str">
        <f>CupDraw!V33</f>
        <v>Nigel Heyes</v>
      </c>
      <c r="P34" s="77">
        <f>IF(CupDraw!W33="","",CupDraw!W33)</f>
        <v>-5.05</v>
      </c>
      <c r="Q34" s="66" t="str">
        <f>IF(CupDraw!X33="","",CupDraw!X33)</f>
        <v/>
      </c>
      <c r="R34" s="85"/>
      <c r="S34" s="63"/>
      <c r="T34" s="82"/>
      <c r="U34" s="82"/>
      <c r="V34" s="82"/>
      <c r="W34" s="82"/>
      <c r="X34" s="87"/>
      <c r="Y34" s="82"/>
      <c r="Z34" s="82"/>
      <c r="AA34" s="82"/>
      <c r="AB34" s="82"/>
      <c r="AC34" s="82"/>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0"/>
      <c r="BC34" s="160"/>
      <c r="BD34" s="160"/>
      <c r="BE34" s="160"/>
      <c r="BF34" s="160"/>
    </row>
    <row r="35" spans="2:58">
      <c r="B35" s="91">
        <f>CupDraw!I34</f>
        <v>17</v>
      </c>
      <c r="C35" s="76" t="str">
        <f>IF(CupDraw!J34="","",CupDraw!J34)</f>
        <v>Alan Bond</v>
      </c>
      <c r="D35" s="77" t="str">
        <f>IF(CupDraw!K34="","",CupDraw!K34)</f>
        <v/>
      </c>
      <c r="E35" s="88" t="str">
        <f>IF(CupDraw!L34="","",CupDraw!L34)</f>
        <v/>
      </c>
      <c r="F35" s="62"/>
      <c r="G35" s="62"/>
      <c r="H35" s="91">
        <f>CupDraw!O34</f>
        <v>17</v>
      </c>
      <c r="I35" s="73" t="str">
        <f>IF(CupDraw!P34="","",CupDraw!P34)</f>
        <v>Alan Bond</v>
      </c>
      <c r="J35" s="77">
        <f>IF(CupDraw!Q34="","",CupDraw!Q34)</f>
        <v>-3.6</v>
      </c>
      <c r="K35" s="88" t="str">
        <f>IF(CupDraw!R34="","",CupDraw!R34)</f>
        <v/>
      </c>
      <c r="L35" s="85"/>
      <c r="M35" s="62"/>
      <c r="N35" s="62"/>
      <c r="O35" s="62"/>
      <c r="P35" s="62"/>
      <c r="Q35" s="62" t="str">
        <f>IF(CupDraw!X34="","",CupDraw!X34)</f>
        <v/>
      </c>
      <c r="R35" s="86"/>
      <c r="S35" s="62"/>
      <c r="T35" s="82"/>
      <c r="U35" s="82"/>
      <c r="V35" s="82"/>
      <c r="W35" s="82"/>
      <c r="X35" s="87"/>
      <c r="Y35" s="82"/>
      <c r="Z35" s="82"/>
      <c r="AA35" s="82"/>
      <c r="AB35" s="82"/>
      <c r="AC35" s="82"/>
      <c r="AD35" s="160"/>
      <c r="AE35" s="160"/>
      <c r="AF35" s="160"/>
      <c r="AG35" s="160"/>
      <c r="AH35" s="160"/>
      <c r="AI35" s="160"/>
      <c r="AJ35" s="160"/>
      <c r="AK35" s="160"/>
      <c r="AL35" s="160"/>
      <c r="AM35" s="160"/>
      <c r="AN35" s="160"/>
      <c r="AO35" s="160"/>
      <c r="AP35" s="160"/>
      <c r="AQ35" s="160"/>
      <c r="AR35" s="160"/>
      <c r="AS35" s="160"/>
      <c r="AT35" s="160"/>
      <c r="AU35" s="160"/>
      <c r="AV35" s="160"/>
      <c r="AW35" s="160"/>
      <c r="AX35" s="160"/>
      <c r="AY35" s="160"/>
      <c r="AZ35" s="160"/>
      <c r="BA35" s="160"/>
      <c r="BB35" s="160"/>
      <c r="BC35" s="160"/>
      <c r="BD35" s="160"/>
      <c r="BE35" s="160"/>
      <c r="BF35" s="160"/>
    </row>
    <row r="36" spans="2:58">
      <c r="B36" s="90"/>
      <c r="C36" s="76" t="str">
        <f>IF(CupDraw!J35="","",CupDraw!J35)</f>
        <v>Ben Rosser</v>
      </c>
      <c r="D36" s="77" t="str">
        <f>IF(CupDraw!K35="","",CupDraw!K35)</f>
        <v/>
      </c>
      <c r="E36" s="140" t="str">
        <f>IF(CupDraw!L35="","",CupDraw!L35)</f>
        <v/>
      </c>
      <c r="F36" s="62"/>
      <c r="G36" s="62"/>
      <c r="H36" s="90"/>
      <c r="I36" s="73" t="str">
        <f>IF(CupDraw!P35="","",CupDraw!P35)</f>
        <v>Ben Rosser</v>
      </c>
      <c r="J36" s="77">
        <f>IF(CupDraw!Q35="","",CupDraw!Q35)</f>
        <v>-4.7</v>
      </c>
      <c r="K36" s="66" t="str">
        <f>IF(CupDraw!R35="","",CupDraw!R35)</f>
        <v/>
      </c>
      <c r="L36" s="85"/>
      <c r="M36" s="62"/>
      <c r="N36" s="62"/>
      <c r="O36" s="62"/>
      <c r="P36" s="62"/>
      <c r="Q36" s="62" t="str">
        <f>IF(CupDraw!X35="","",CupDraw!X35)</f>
        <v/>
      </c>
      <c r="R36" s="86"/>
      <c r="S36" s="62"/>
      <c r="T36" s="82"/>
      <c r="U36" s="82"/>
      <c r="V36" s="82"/>
      <c r="W36" s="82"/>
      <c r="X36" s="87"/>
      <c r="Y36" s="82"/>
      <c r="Z36" s="82"/>
      <c r="AA36" s="82"/>
      <c r="AB36" s="82"/>
      <c r="AC36" s="82"/>
      <c r="AD36" s="160"/>
      <c r="AE36" s="160"/>
      <c r="AF36" s="160"/>
      <c r="AG36" s="160"/>
      <c r="AH36" s="160"/>
      <c r="AI36" s="160"/>
      <c r="AJ36" s="160"/>
      <c r="AK36" s="160"/>
      <c r="AL36" s="160"/>
      <c r="AM36" s="160"/>
      <c r="AN36" s="160"/>
      <c r="AO36" s="160"/>
      <c r="AP36" s="160"/>
      <c r="AQ36" s="160"/>
      <c r="AR36" s="160"/>
      <c r="AS36" s="160"/>
      <c r="AT36" s="160"/>
      <c r="AU36" s="160"/>
      <c r="AV36" s="160"/>
      <c r="AW36" s="160"/>
      <c r="AX36" s="160"/>
      <c r="AY36" s="160"/>
      <c r="AZ36" s="160"/>
      <c r="BA36" s="160"/>
      <c r="BB36" s="160"/>
      <c r="BC36" s="160"/>
      <c r="BD36" s="160"/>
      <c r="BE36" s="160"/>
      <c r="BF36" s="160"/>
    </row>
    <row r="37" spans="2:58">
      <c r="B37" s="91">
        <f>CupDraw!I36</f>
        <v>18</v>
      </c>
      <c r="C37" s="76" t="str">
        <f>IF(CupDraw!J36="","",CupDraw!J36)</f>
        <v>Chris Townsend</v>
      </c>
      <c r="D37" s="77" t="str">
        <f>IF(CupDraw!K36="","",CupDraw!K36)</f>
        <v/>
      </c>
      <c r="E37" s="88" t="str">
        <f>IF(CupDraw!L36="","",CupDraw!L36)</f>
        <v/>
      </c>
      <c r="F37" s="62"/>
      <c r="G37" s="62"/>
      <c r="H37" s="91">
        <f>CupDraw!O36</f>
        <v>18</v>
      </c>
      <c r="I37" s="73" t="str">
        <f>IF(CupDraw!P36="","",CupDraw!P36)</f>
        <v>Chris Townsend</v>
      </c>
      <c r="J37" s="77">
        <f>IF(CupDraw!Q36="","",CupDraw!Q36)</f>
        <v>-7</v>
      </c>
      <c r="K37" s="88" t="str">
        <f>IF(CupDraw!R36="","",CupDraw!R36)</f>
        <v/>
      </c>
      <c r="L37" s="85"/>
      <c r="M37" s="62"/>
      <c r="N37" s="62"/>
      <c r="O37" s="62"/>
      <c r="P37" s="62"/>
      <c r="Q37" s="62" t="str">
        <f>IF(CupDraw!X36="","",CupDraw!X36)</f>
        <v/>
      </c>
      <c r="R37" s="86"/>
      <c r="S37" s="62"/>
      <c r="T37" s="82"/>
      <c r="U37" s="82"/>
      <c r="V37" s="82"/>
      <c r="W37" s="82"/>
      <c r="X37" s="87"/>
      <c r="Y37" s="82"/>
      <c r="Z37" s="82"/>
      <c r="AA37" s="82"/>
      <c r="AB37" s="82"/>
      <c r="AC37" s="82"/>
      <c r="AD37" s="160"/>
      <c r="AE37" s="160"/>
      <c r="AF37" s="160"/>
      <c r="AG37" s="160"/>
      <c r="AH37" s="160"/>
      <c r="AI37" s="160"/>
      <c r="AJ37" s="160"/>
      <c r="AK37" s="160"/>
      <c r="AL37" s="160"/>
      <c r="AM37" s="160"/>
      <c r="AN37" s="160"/>
      <c r="AO37" s="160"/>
      <c r="AP37" s="160"/>
      <c r="AQ37" s="160"/>
      <c r="AR37" s="160"/>
      <c r="AS37" s="160"/>
      <c r="AT37" s="160"/>
      <c r="AU37" s="160"/>
      <c r="AV37" s="160"/>
      <c r="AW37" s="160"/>
      <c r="AX37" s="160"/>
      <c r="AY37" s="160"/>
      <c r="AZ37" s="160"/>
      <c r="BA37" s="160"/>
      <c r="BB37" s="160"/>
      <c r="BC37" s="160"/>
      <c r="BD37" s="160"/>
      <c r="BE37" s="160"/>
      <c r="BF37" s="160"/>
    </row>
    <row r="38" spans="2:58">
      <c r="B38" s="90"/>
      <c r="C38" s="76" t="str">
        <f>IF(CupDraw!J37="","",CupDraw!J37)</f>
        <v>Steve Carter</v>
      </c>
      <c r="D38" s="77" t="str">
        <f>IF(CupDraw!K37="","",CupDraw!K37)</f>
        <v/>
      </c>
      <c r="E38" s="140" t="str">
        <f>IF(CupDraw!L37="","",CupDraw!L37)</f>
        <v/>
      </c>
      <c r="F38" s="62"/>
      <c r="G38" s="62"/>
      <c r="H38" s="90"/>
      <c r="I38" s="73" t="str">
        <f>IF(CupDraw!P37="","",CupDraw!P37)</f>
        <v>Steve Carter</v>
      </c>
      <c r="J38" s="77">
        <f>IF(CupDraw!Q37="","",CupDraw!Q37)</f>
        <v>-4.7</v>
      </c>
      <c r="K38" s="66" t="str">
        <f>IF(CupDraw!R37="","",CupDraw!R37)</f>
        <v/>
      </c>
      <c r="L38" s="85"/>
      <c r="M38" s="62"/>
      <c r="N38" s="62" t="str">
        <f>CupDraw!U37</f>
        <v>Replay</v>
      </c>
      <c r="O38" s="62"/>
      <c r="P38" s="62"/>
      <c r="Q38" s="62" t="str">
        <f>IF(CupDraw!X37="","",CupDraw!X37)</f>
        <v/>
      </c>
      <c r="R38" s="86"/>
      <c r="S38" s="62"/>
      <c r="T38" s="82"/>
      <c r="U38" s="82"/>
      <c r="V38" s="82"/>
      <c r="W38" s="82"/>
      <c r="X38" s="87"/>
      <c r="Y38" s="82"/>
      <c r="Z38" s="82"/>
      <c r="AA38" s="82"/>
      <c r="AB38" s="82"/>
      <c r="AC38" s="82"/>
      <c r="AD38" s="160"/>
      <c r="AE38" s="160"/>
      <c r="AF38" s="160"/>
      <c r="AG38" s="160"/>
      <c r="AH38" s="160"/>
      <c r="AI38" s="160"/>
      <c r="AJ38" s="160"/>
      <c r="AK38" s="160"/>
      <c r="AL38" s="160"/>
      <c r="AM38" s="160"/>
      <c r="AN38" s="160"/>
      <c r="AO38" s="160"/>
      <c r="AP38" s="160"/>
      <c r="AQ38" s="160"/>
      <c r="AR38" s="160"/>
      <c r="AS38" s="160"/>
      <c r="AT38" s="160"/>
      <c r="AU38" s="160"/>
      <c r="AV38" s="160"/>
      <c r="AW38" s="160"/>
      <c r="AX38" s="160"/>
      <c r="AY38" s="160"/>
      <c r="AZ38" s="160"/>
      <c r="BA38" s="160"/>
      <c r="BB38" s="160"/>
      <c r="BC38" s="160"/>
      <c r="BD38" s="160"/>
      <c r="BE38" s="160"/>
      <c r="BF38" s="160"/>
    </row>
    <row r="39" spans="2:58">
      <c r="B39" s="91">
        <f>CupDraw!I38</f>
        <v>19</v>
      </c>
      <c r="C39" s="76" t="str">
        <f>IF(CupDraw!J38="","",CupDraw!J38)</f>
        <v>Vinny Topping</v>
      </c>
      <c r="D39" s="77" t="str">
        <f>IF(CupDraw!K38="","",CupDraw!K38)</f>
        <v/>
      </c>
      <c r="E39" s="88" t="str">
        <f>IF(CupDraw!L38="","",CupDraw!L38)</f>
        <v/>
      </c>
      <c r="F39" s="62"/>
      <c r="G39" s="62"/>
      <c r="H39" s="91">
        <f>CupDraw!O38</f>
        <v>19</v>
      </c>
      <c r="I39" s="73" t="str">
        <f>IF(CupDraw!P38="","",CupDraw!P38)</f>
        <v>Vinny Topping</v>
      </c>
      <c r="J39" s="77">
        <f>IF(CupDraw!Q38="","",CupDraw!Q38)</f>
        <v>-7</v>
      </c>
      <c r="K39" s="88" t="str">
        <f>IF(CupDraw!R38="","",CupDraw!R38)</f>
        <v/>
      </c>
      <c r="L39" s="85"/>
      <c r="M39" s="62"/>
      <c r="N39" s="65"/>
      <c r="O39" s="75" t="str">
        <f>IF(CupDraw!V38="","",CupDraw!V38)</f>
        <v/>
      </c>
      <c r="P39" s="77" t="str">
        <f>IF(CupDraw!W38="","",CupDraw!W38)</f>
        <v/>
      </c>
      <c r="Q39" s="88" t="str">
        <f>IF(CupDraw!X38="","",CupDraw!X38)</f>
        <v/>
      </c>
      <c r="R39" s="85"/>
      <c r="S39" s="62"/>
      <c r="X39" s="87"/>
      <c r="Y39" s="82"/>
      <c r="Z39" s="82"/>
      <c r="AA39" s="82"/>
      <c r="AB39" s="82"/>
      <c r="AC39" s="82"/>
      <c r="AD39" s="160"/>
      <c r="AE39" s="160"/>
      <c r="AF39" s="160"/>
      <c r="AG39" s="160"/>
      <c r="AH39" s="160"/>
      <c r="AI39" s="160"/>
      <c r="AJ39" s="160"/>
      <c r="AK39" s="160"/>
      <c r="AL39" s="160"/>
      <c r="AM39" s="160"/>
      <c r="AN39" s="160"/>
      <c r="AO39" s="160"/>
      <c r="AP39" s="160"/>
      <c r="AQ39" s="160"/>
      <c r="AR39" s="160"/>
      <c r="AS39" s="160"/>
      <c r="AT39" s="160"/>
      <c r="AU39" s="160"/>
      <c r="AV39" s="160"/>
      <c r="AW39" s="160"/>
      <c r="AX39" s="160"/>
      <c r="AY39" s="160"/>
      <c r="AZ39" s="160"/>
      <c r="BA39" s="160"/>
      <c r="BB39" s="160"/>
      <c r="BC39" s="160"/>
      <c r="BD39" s="160"/>
      <c r="BE39" s="160"/>
      <c r="BF39" s="160"/>
    </row>
    <row r="40" spans="2:58">
      <c r="B40" s="90"/>
      <c r="C40" s="76" t="str">
        <f>IF(CupDraw!J39="","",CupDraw!J39)</f>
        <v>Dave Orrell</v>
      </c>
      <c r="D40" s="77" t="str">
        <f>IF(CupDraw!K39="","",CupDraw!K39)</f>
        <v/>
      </c>
      <c r="E40" s="140" t="str">
        <f>IF(CupDraw!L39="","",CupDraw!L39)</f>
        <v/>
      </c>
      <c r="F40" s="62"/>
      <c r="G40" s="62"/>
      <c r="H40" s="90"/>
      <c r="I40" s="73" t="str">
        <f>IF(CupDraw!P39="","",CupDraw!P39)</f>
        <v>Dave Orrell</v>
      </c>
      <c r="J40" s="77">
        <f>IF(CupDraw!Q39="","",CupDraw!Q39)</f>
        <v>-1.1597633136094672</v>
      </c>
      <c r="K40" s="66" t="str">
        <f>IF(CupDraw!R39="","",CupDraw!R39)</f>
        <v/>
      </c>
      <c r="L40" s="85"/>
      <c r="M40" s="62"/>
      <c r="N40" s="68"/>
      <c r="O40" s="75" t="str">
        <f>IF(CupDraw!V39="","",CupDraw!V39)</f>
        <v/>
      </c>
      <c r="P40" s="77" t="str">
        <f>IF(CupDraw!W39="","",CupDraw!W39)</f>
        <v/>
      </c>
      <c r="Q40" s="69" t="str">
        <f>IF(CupDraw!X39="","",CupDraw!X39)</f>
        <v/>
      </c>
      <c r="R40" s="85"/>
      <c r="S40" s="62"/>
      <c r="X40" s="85"/>
      <c r="Y40" s="82"/>
      <c r="Z40" s="82"/>
      <c r="AA40" s="82"/>
      <c r="AB40" s="82"/>
      <c r="AC40" s="82"/>
      <c r="AD40" s="160"/>
      <c r="AE40" s="160"/>
      <c r="AF40" s="160"/>
      <c r="AG40" s="160"/>
      <c r="AH40" s="160"/>
      <c r="AI40" s="160"/>
      <c r="AJ40" s="160"/>
      <c r="AK40" s="160"/>
      <c r="AL40" s="160"/>
      <c r="AM40" s="160"/>
      <c r="AN40" s="160"/>
      <c r="AO40" s="160"/>
      <c r="AP40" s="160"/>
      <c r="AQ40" s="160"/>
      <c r="AR40" s="160"/>
      <c r="AS40" s="160"/>
      <c r="AT40" s="160"/>
      <c r="AU40" s="160"/>
      <c r="AV40" s="160"/>
      <c r="AW40" s="160"/>
      <c r="AX40" s="160"/>
      <c r="AY40" s="160"/>
      <c r="AZ40" s="160"/>
      <c r="BA40" s="160"/>
      <c r="BB40" s="160"/>
      <c r="BC40" s="160"/>
      <c r="BD40" s="160"/>
      <c r="BE40" s="160"/>
      <c r="BF40" s="160"/>
    </row>
    <row r="41" spans="2:58">
      <c r="B41" s="91">
        <f>CupDraw!I40</f>
        <v>20</v>
      </c>
      <c r="C41" s="76" t="str">
        <f>IF(CupDraw!J40="","",CupDraw!J40)</f>
        <v>Gerard Ventom</v>
      </c>
      <c r="D41" s="77" t="str">
        <f>IF(CupDraw!K40="","",CupDraw!K40)</f>
        <v/>
      </c>
      <c r="E41" s="88" t="str">
        <f>IF(CupDraw!L40="","",CupDraw!L40)</f>
        <v/>
      </c>
      <c r="F41" s="62"/>
      <c r="G41" s="62"/>
      <c r="H41" s="91">
        <f>CupDraw!O40</f>
        <v>20</v>
      </c>
      <c r="I41" s="73" t="str">
        <f>IF(CupDraw!P40="","",CupDraw!P40)</f>
        <v>Gerard Ventom</v>
      </c>
      <c r="J41" s="77">
        <f>IF(CupDraw!Q40="","",CupDraw!Q40)</f>
        <v>-4.375</v>
      </c>
      <c r="K41" s="88" t="str">
        <f>IF(CupDraw!R40="","",CupDraw!R40)</f>
        <v/>
      </c>
      <c r="L41" s="85"/>
      <c r="M41" s="62"/>
      <c r="N41" s="65"/>
      <c r="O41" s="67" t="str">
        <f>IF(CupDraw!V40="","",CupDraw!V40)</f>
        <v/>
      </c>
      <c r="P41" s="77" t="str">
        <f>IF(CupDraw!W40="","",CupDraw!W40)</f>
        <v/>
      </c>
      <c r="Q41" s="88" t="str">
        <f>IF(CupDraw!X40="","",CupDraw!X40)</f>
        <v/>
      </c>
      <c r="R41" s="85"/>
      <c r="S41" s="62"/>
      <c r="X41" s="85"/>
      <c r="Y41" s="82"/>
      <c r="Z41" s="82"/>
      <c r="AA41" s="82"/>
      <c r="AB41" s="82"/>
      <c r="AC41" s="82"/>
      <c r="AD41" s="160"/>
      <c r="AE41" s="160"/>
      <c r="AF41" s="160"/>
      <c r="AG41" s="160"/>
      <c r="AH41" s="160"/>
      <c r="AI41" s="160"/>
      <c r="AJ41" s="160"/>
      <c r="AK41" s="160"/>
      <c r="AL41" s="160"/>
      <c r="AM41" s="160"/>
      <c r="AN41" s="160"/>
      <c r="AO41" s="160"/>
      <c r="AP41" s="160"/>
      <c r="AQ41" s="160"/>
      <c r="AR41" s="160"/>
      <c r="AS41" s="160"/>
      <c r="AT41" s="160"/>
      <c r="AU41" s="160"/>
      <c r="AV41" s="160"/>
      <c r="AW41" s="160"/>
      <c r="AX41" s="160"/>
      <c r="AY41" s="160"/>
      <c r="AZ41" s="160"/>
      <c r="BA41" s="160"/>
      <c r="BB41" s="160"/>
      <c r="BC41" s="160"/>
      <c r="BD41" s="160"/>
      <c r="BE41" s="160"/>
      <c r="BF41" s="160"/>
    </row>
    <row r="42" spans="2:58">
      <c r="B42" s="90"/>
      <c r="C42" s="76" t="str">
        <f>IF(CupDraw!J41="","",CupDraw!J41)</f>
        <v>Martin Tarbuck</v>
      </c>
      <c r="D42" s="77" t="str">
        <f>IF(CupDraw!K41="","",CupDraw!K41)</f>
        <v/>
      </c>
      <c r="E42" s="140" t="str">
        <f>IF(CupDraw!L41="","",CupDraw!L41)</f>
        <v/>
      </c>
      <c r="F42" s="62"/>
      <c r="G42" s="62"/>
      <c r="H42" s="90"/>
      <c r="I42" s="73" t="str">
        <f>IF(CupDraw!P41="","",CupDraw!P41)</f>
        <v>Martin Tarbuck</v>
      </c>
      <c r="J42" s="77">
        <f>IF(CupDraw!Q41="","",CupDraw!Q41)</f>
        <v>-5.2</v>
      </c>
      <c r="K42" s="66" t="str">
        <f>IF(CupDraw!R41="","",CupDraw!R41)</f>
        <v/>
      </c>
      <c r="L42" s="85"/>
      <c r="M42" s="62"/>
      <c r="N42" s="68"/>
      <c r="O42" s="67" t="str">
        <f>IF(CupDraw!V41="","",CupDraw!V41)</f>
        <v/>
      </c>
      <c r="P42" s="77" t="str">
        <f>IF(CupDraw!W41="","",CupDraw!W41)</f>
        <v/>
      </c>
      <c r="Q42" s="69" t="str">
        <f>IF(CupDraw!X41="","",CupDraw!X41)</f>
        <v/>
      </c>
      <c r="R42" s="85"/>
      <c r="S42" s="62"/>
      <c r="X42" s="85"/>
      <c r="Y42" s="82"/>
      <c r="Z42" s="82"/>
      <c r="AA42" s="82"/>
      <c r="AB42" s="82"/>
      <c r="AC42" s="82"/>
      <c r="AD42" s="160"/>
      <c r="AE42" s="160"/>
      <c r="AF42" s="160"/>
      <c r="AG42" s="160"/>
      <c r="AH42" s="160"/>
      <c r="AI42" s="160"/>
      <c r="AJ42" s="160"/>
      <c r="AK42" s="160"/>
      <c r="AL42" s="160"/>
      <c r="AM42" s="160"/>
      <c r="AN42" s="160"/>
      <c r="AO42" s="160"/>
      <c r="AP42" s="160"/>
      <c r="AQ42" s="160"/>
      <c r="AR42" s="160"/>
      <c r="AS42" s="160"/>
      <c r="AT42" s="160"/>
      <c r="AU42" s="160"/>
      <c r="AV42" s="160"/>
      <c r="AW42" s="160"/>
      <c r="AX42" s="160"/>
      <c r="AY42" s="160"/>
      <c r="AZ42" s="160"/>
      <c r="BA42" s="160"/>
      <c r="BB42" s="160"/>
      <c r="BC42" s="160"/>
      <c r="BD42" s="160"/>
      <c r="BE42" s="160"/>
      <c r="BF42" s="160"/>
    </row>
    <row r="43" spans="2:58">
      <c r="B43" s="91">
        <f>CupDraw!I42</f>
        <v>21</v>
      </c>
      <c r="C43" s="76" t="str">
        <f>IF(CupDraw!J42="","",CupDraw!J42)</f>
        <v>Chris Griffin</v>
      </c>
      <c r="D43" s="77" t="str">
        <f>IF(CupDraw!K42="","",CupDraw!K42)</f>
        <v/>
      </c>
      <c r="E43" s="88" t="str">
        <f>IF(CupDraw!L42="","",CupDraw!L42)</f>
        <v/>
      </c>
      <c r="F43" s="62"/>
      <c r="G43" s="62"/>
      <c r="H43" s="91">
        <f>CupDraw!O42</f>
        <v>21</v>
      </c>
      <c r="I43" s="73" t="str">
        <f>IF(CupDraw!P42="","",CupDraw!P42)</f>
        <v>Chris Griffin</v>
      </c>
      <c r="J43" s="77">
        <f>IF(CupDraw!Q42="","",CupDraw!Q42)</f>
        <v>-2.2857142857142865</v>
      </c>
      <c r="K43" s="88" t="str">
        <f>IF(CupDraw!R42="","",CupDraw!R42)</f>
        <v/>
      </c>
      <c r="L43" s="85"/>
      <c r="M43" s="62"/>
      <c r="N43" s="65"/>
      <c r="O43" s="67" t="str">
        <f>IF(CupDraw!V42="","",CupDraw!V42)</f>
        <v/>
      </c>
      <c r="P43" s="77" t="str">
        <f>IF(CupDraw!W42="","",CupDraw!W42)</f>
        <v/>
      </c>
      <c r="Q43" s="88" t="str">
        <f>IF(CupDraw!X42="","",CupDraw!X42)</f>
        <v/>
      </c>
      <c r="R43" s="85"/>
      <c r="S43" s="62"/>
      <c r="X43" s="85"/>
      <c r="Y43" s="82"/>
      <c r="Z43" s="82"/>
      <c r="AA43" s="82"/>
      <c r="AB43" s="82"/>
      <c r="AC43" s="82"/>
      <c r="AD43" s="160"/>
      <c r="AE43" s="160"/>
      <c r="AF43" s="160"/>
      <c r="AG43" s="160"/>
      <c r="AH43" s="160"/>
      <c r="AI43" s="160"/>
      <c r="AJ43" s="160"/>
      <c r="AK43" s="160"/>
      <c r="AL43" s="160"/>
      <c r="AM43" s="160"/>
      <c r="AN43" s="160"/>
      <c r="AO43" s="160"/>
      <c r="AP43" s="160"/>
      <c r="AQ43" s="160"/>
      <c r="AR43" s="160"/>
      <c r="AS43" s="160"/>
      <c r="AT43" s="160"/>
      <c r="AU43" s="160"/>
      <c r="AV43" s="160"/>
      <c r="AW43" s="160"/>
      <c r="AX43" s="160"/>
      <c r="AY43" s="160"/>
      <c r="AZ43" s="160"/>
      <c r="BA43" s="160"/>
      <c r="BB43" s="160"/>
      <c r="BC43" s="160"/>
      <c r="BD43" s="160"/>
      <c r="BE43" s="160"/>
      <c r="BF43" s="160"/>
    </row>
    <row r="44" spans="2:58">
      <c r="B44" s="90"/>
      <c r="C44" s="76" t="str">
        <f>IF(CupDraw!J43="","",CupDraw!J43)</f>
        <v>Dave Bell</v>
      </c>
      <c r="D44" s="77" t="str">
        <f>IF(CupDraw!K43="","",CupDraw!K43)</f>
        <v/>
      </c>
      <c r="E44" s="140" t="str">
        <f>IF(CupDraw!L43="","",CupDraw!L43)</f>
        <v/>
      </c>
      <c r="F44" s="62"/>
      <c r="G44" s="62"/>
      <c r="H44" s="90"/>
      <c r="I44" s="73" t="str">
        <f>IF(CupDraw!P43="","",CupDraw!P43)</f>
        <v>Dave Bell</v>
      </c>
      <c r="J44" s="77">
        <f>IF(CupDraw!Q43="","",CupDraw!Q43)</f>
        <v>-7</v>
      </c>
      <c r="K44" s="66" t="str">
        <f>IF(CupDraw!R43="","",CupDraw!R43)</f>
        <v/>
      </c>
      <c r="L44" s="85"/>
      <c r="M44" s="62"/>
      <c r="N44" s="68"/>
      <c r="O44" s="67" t="str">
        <f>IF(CupDraw!V43="","",CupDraw!V43)</f>
        <v/>
      </c>
      <c r="P44" s="77" t="str">
        <f>IF(CupDraw!W43="","",CupDraw!W43)</f>
        <v/>
      </c>
      <c r="Q44" s="69" t="str">
        <f>IF(CupDraw!X43="","",CupDraw!X43)</f>
        <v/>
      </c>
      <c r="R44" s="85"/>
      <c r="S44" s="62"/>
      <c r="X44" s="85"/>
      <c r="Y44" s="82"/>
      <c r="Z44" s="82"/>
      <c r="AA44" s="82"/>
      <c r="AB44" s="82"/>
      <c r="AC44" s="82"/>
      <c r="AD44" s="160"/>
      <c r="AE44" s="160"/>
      <c r="AF44" s="160"/>
      <c r="AG44" s="160"/>
      <c r="AH44" s="160"/>
      <c r="AI44" s="160"/>
      <c r="AJ44" s="160"/>
      <c r="AK44" s="160"/>
      <c r="AL44" s="160"/>
      <c r="AM44" s="160"/>
      <c r="AN44" s="160"/>
      <c r="AO44" s="160"/>
      <c r="AP44" s="160"/>
      <c r="AQ44" s="160"/>
      <c r="AR44" s="160"/>
      <c r="AS44" s="160"/>
      <c r="AT44" s="160"/>
      <c r="AU44" s="160"/>
      <c r="AV44" s="160"/>
      <c r="AW44" s="160"/>
      <c r="AX44" s="160"/>
      <c r="AY44" s="160"/>
      <c r="AZ44" s="160"/>
      <c r="BA44" s="160"/>
      <c r="BB44" s="160"/>
      <c r="BC44" s="160"/>
      <c r="BD44" s="160"/>
      <c r="BE44" s="160"/>
      <c r="BF44" s="160"/>
    </row>
    <row r="45" spans="2:58">
      <c r="B45" s="91">
        <f>CupDraw!I44</f>
        <v>22</v>
      </c>
      <c r="C45" s="76" t="str">
        <f>IF(CupDraw!J44="","",CupDraw!J44)</f>
        <v>Chris Bow</v>
      </c>
      <c r="D45" s="77" t="str">
        <f>IF(CupDraw!K44="","",CupDraw!K44)</f>
        <v/>
      </c>
      <c r="E45" s="88" t="str">
        <f>IF(CupDraw!L44="","",CupDraw!L44)</f>
        <v/>
      </c>
      <c r="F45" s="62"/>
      <c r="G45" s="62"/>
      <c r="H45" s="91">
        <f>CupDraw!O44</f>
        <v>22</v>
      </c>
      <c r="I45" s="73" t="str">
        <f>IF(CupDraw!P44="","",CupDraw!P44)</f>
        <v>Chris Bow</v>
      </c>
      <c r="J45" s="77">
        <f>IF(CupDraw!Q44="","",CupDraw!Q44)</f>
        <v>-7</v>
      </c>
      <c r="K45" s="88" t="str">
        <f>IF(CupDraw!R44="","",CupDraw!R44)</f>
        <v/>
      </c>
      <c r="L45" s="85"/>
      <c r="M45" s="62"/>
      <c r="N45" s="65"/>
      <c r="O45" s="67" t="str">
        <f>IF(CupDraw!V44="","",CupDraw!V44)</f>
        <v/>
      </c>
      <c r="P45" s="77" t="str">
        <f>IF(CupDraw!W44="","",CupDraw!W44)</f>
        <v/>
      </c>
      <c r="Q45" s="78" t="str">
        <f>IF(CupDraw!X44="","",CupDraw!X44)</f>
        <v/>
      </c>
      <c r="R45" s="85"/>
      <c r="S45" s="62"/>
      <c r="X45" s="85"/>
      <c r="Y45" s="82"/>
      <c r="Z45" s="82"/>
      <c r="AA45" s="82"/>
      <c r="AB45" s="82"/>
      <c r="AC45" s="82"/>
      <c r="AD45" s="160"/>
      <c r="AE45" s="160"/>
      <c r="AF45" s="160"/>
      <c r="AG45" s="160"/>
      <c r="AH45" s="160"/>
      <c r="AI45" s="160"/>
      <c r="AJ45" s="160"/>
      <c r="AK45" s="160"/>
      <c r="AL45" s="160"/>
      <c r="AM45" s="160"/>
      <c r="AN45" s="160"/>
      <c r="AO45" s="160"/>
      <c r="AP45" s="160"/>
      <c r="AQ45" s="160"/>
      <c r="AR45" s="160"/>
      <c r="AS45" s="160"/>
      <c r="AT45" s="160"/>
      <c r="AU45" s="160"/>
      <c r="AV45" s="160"/>
      <c r="AW45" s="160"/>
      <c r="AX45" s="160"/>
      <c r="AY45" s="160"/>
      <c r="AZ45" s="160"/>
      <c r="BA45" s="160"/>
      <c r="BB45" s="160"/>
      <c r="BC45" s="160"/>
      <c r="BD45" s="160"/>
      <c r="BE45" s="160"/>
      <c r="BF45" s="160"/>
    </row>
    <row r="46" spans="2:58">
      <c r="B46" s="90"/>
      <c r="C46" s="76" t="str">
        <f>IF(CupDraw!J45="","",CupDraw!J45)</f>
        <v>Stephen Barr</v>
      </c>
      <c r="D46" s="77" t="str">
        <f>IF(CupDraw!K45="","",CupDraw!K45)</f>
        <v/>
      </c>
      <c r="E46" s="140" t="str">
        <f>IF(CupDraw!L45="","",CupDraw!L45)</f>
        <v/>
      </c>
      <c r="F46" s="62"/>
      <c r="G46" s="62"/>
      <c r="H46" s="90"/>
      <c r="I46" s="73" t="str">
        <f>IF(CupDraw!P45="","",CupDraw!P45)</f>
        <v>Stephen Barr</v>
      </c>
      <c r="J46" s="77">
        <f>IF(CupDraw!Q45="","",CupDraw!Q45)</f>
        <v>-4.4000000000000004</v>
      </c>
      <c r="K46" s="66" t="str">
        <f>IF(CupDraw!R45="","",CupDraw!R45)</f>
        <v/>
      </c>
      <c r="L46" s="85"/>
      <c r="M46" s="62"/>
      <c r="N46" s="72"/>
      <c r="O46" s="67" t="str">
        <f>IF(CupDraw!V45="","",CupDraw!V45)</f>
        <v/>
      </c>
      <c r="P46" s="77" t="str">
        <f>IF(CupDraw!W45="","",CupDraw!W45)</f>
        <v/>
      </c>
      <c r="Q46" s="66" t="str">
        <f>IF(CupDraw!X45="","",CupDraw!X45)</f>
        <v/>
      </c>
      <c r="R46" s="85"/>
      <c r="S46" s="62"/>
      <c r="X46" s="85"/>
      <c r="Y46" s="82"/>
      <c r="Z46" s="82"/>
      <c r="AA46" s="82"/>
      <c r="AB46" s="82"/>
      <c r="AC46" s="82"/>
      <c r="AD46" s="160"/>
      <c r="AE46" s="160"/>
      <c r="AF46" s="160"/>
      <c r="AG46" s="160"/>
      <c r="AH46" s="160"/>
      <c r="AI46" s="160"/>
      <c r="AJ46" s="160"/>
      <c r="AK46" s="160"/>
      <c r="AL46" s="160"/>
      <c r="AM46" s="160"/>
      <c r="AN46" s="160"/>
      <c r="AO46" s="160"/>
      <c r="AP46" s="160"/>
      <c r="AQ46" s="160"/>
      <c r="AR46" s="160"/>
      <c r="AS46" s="160"/>
      <c r="AT46" s="160"/>
      <c r="AU46" s="160"/>
      <c r="AV46" s="160"/>
      <c r="AW46" s="160"/>
      <c r="AX46" s="160"/>
      <c r="AY46" s="160"/>
      <c r="AZ46" s="160"/>
      <c r="BA46" s="160"/>
      <c r="BB46" s="160"/>
      <c r="BC46" s="160"/>
      <c r="BD46" s="160"/>
      <c r="BE46" s="160"/>
      <c r="BF46" s="160"/>
    </row>
    <row r="47" spans="2:58">
      <c r="B47" s="91">
        <f>CupDraw!I46</f>
        <v>23</v>
      </c>
      <c r="C47" s="76" t="str">
        <f>IF(CupDraw!J46="","",CupDraw!J46)</f>
        <v>Andy Hargreaves</v>
      </c>
      <c r="D47" s="77" t="str">
        <f>IF(CupDraw!K46="","",CupDraw!K46)</f>
        <v/>
      </c>
      <c r="E47" s="88" t="str">
        <f>IF(CupDraw!L46="","",CupDraw!L46)</f>
        <v/>
      </c>
      <c r="F47" s="62"/>
      <c r="G47" s="62"/>
      <c r="H47" s="91">
        <f>CupDraw!O46</f>
        <v>23</v>
      </c>
      <c r="I47" s="73" t="str">
        <f>IF(CupDraw!P46="","",CupDraw!P46)</f>
        <v>Andy Hargreaves</v>
      </c>
      <c r="J47" s="77">
        <f>IF(CupDraw!Q46="","",CupDraw!Q46)</f>
        <v>-10</v>
      </c>
      <c r="K47" s="88" t="str">
        <f>IF(CupDraw!R46="","",CupDraw!R46)</f>
        <v/>
      </c>
      <c r="L47" s="85"/>
      <c r="M47" s="62"/>
      <c r="N47" s="65"/>
      <c r="O47" s="67" t="str">
        <f>IF(CupDraw!V46="","",CupDraw!V46)</f>
        <v/>
      </c>
      <c r="P47" s="77" t="str">
        <f>IF(CupDraw!W46="","",CupDraw!W46)</f>
        <v/>
      </c>
      <c r="Q47" s="78" t="str">
        <f>IF(CupDraw!X46="","",CupDraw!X46)</f>
        <v/>
      </c>
      <c r="R47" s="86"/>
      <c r="S47" s="62"/>
      <c r="X47" s="85"/>
      <c r="Y47" s="82"/>
      <c r="Z47" s="82"/>
      <c r="AA47" s="82"/>
      <c r="AB47" s="82"/>
      <c r="AC47" s="82"/>
      <c r="AD47" s="160"/>
      <c r="AE47" s="160"/>
      <c r="AF47" s="160"/>
      <c r="AG47" s="160"/>
      <c r="AH47" s="160"/>
      <c r="AI47" s="160"/>
      <c r="AJ47" s="160"/>
      <c r="AK47" s="160"/>
      <c r="AL47" s="160"/>
      <c r="AM47" s="160"/>
      <c r="AN47" s="160"/>
      <c r="AO47" s="160"/>
      <c r="AP47" s="160"/>
      <c r="AQ47" s="160"/>
      <c r="AR47" s="160"/>
      <c r="AS47" s="160"/>
      <c r="AT47" s="160"/>
      <c r="AU47" s="160"/>
      <c r="AV47" s="160"/>
      <c r="AW47" s="160"/>
      <c r="AX47" s="160"/>
      <c r="AY47" s="160"/>
      <c r="AZ47" s="160"/>
      <c r="BA47" s="160"/>
      <c r="BB47" s="160"/>
      <c r="BC47" s="160"/>
      <c r="BD47" s="160"/>
      <c r="BE47" s="160"/>
      <c r="BF47" s="160"/>
    </row>
    <row r="48" spans="2:58">
      <c r="B48" s="90"/>
      <c r="C48" s="76" t="str">
        <f>IF(CupDraw!J47="","",CupDraw!J47)</f>
        <v>Bob Bailey</v>
      </c>
      <c r="D48" s="77" t="str">
        <f>IF(CupDraw!K47="","",CupDraw!K47)</f>
        <v/>
      </c>
      <c r="E48" s="140" t="str">
        <f>IF(CupDraw!L47="","",CupDraw!L47)</f>
        <v/>
      </c>
      <c r="F48" s="62"/>
      <c r="G48" s="62"/>
      <c r="H48" s="90"/>
      <c r="I48" s="73" t="str">
        <f>IF(CupDraw!P47="","",CupDraw!P47)</f>
        <v>Bob Bailey</v>
      </c>
      <c r="J48" s="77">
        <f>IF(CupDraw!Q47="","",CupDraw!Q47)</f>
        <v>-5.3333333333333339</v>
      </c>
      <c r="K48" s="66" t="str">
        <f>IF(CupDraw!R47="","",CupDraw!R47)</f>
        <v/>
      </c>
      <c r="L48" s="85"/>
      <c r="M48" s="62"/>
      <c r="N48" s="72"/>
      <c r="O48" s="67" t="str">
        <f>IF(CupDraw!V47="","",CupDraw!V47)</f>
        <v/>
      </c>
      <c r="P48" s="77" t="str">
        <f>IF(CupDraw!W47="","",CupDraw!W47)</f>
        <v/>
      </c>
      <c r="Q48" s="66" t="str">
        <f>IF(CupDraw!X47="","",CupDraw!X47)</f>
        <v/>
      </c>
      <c r="R48" s="86"/>
      <c r="S48" s="62"/>
      <c r="X48" s="87"/>
      <c r="Y48" s="82"/>
      <c r="Z48" s="82"/>
      <c r="AA48" s="82"/>
      <c r="AB48" s="82"/>
      <c r="AC48" s="82"/>
      <c r="AD48" s="160"/>
      <c r="AE48" s="160"/>
      <c r="AF48" s="160"/>
      <c r="AG48" s="160"/>
      <c r="AH48" s="160"/>
      <c r="AI48" s="160"/>
      <c r="AJ48" s="160"/>
      <c r="AK48" s="160"/>
      <c r="AL48" s="160"/>
      <c r="AM48" s="160"/>
      <c r="AN48" s="160"/>
      <c r="AO48" s="160"/>
      <c r="AP48" s="160"/>
      <c r="AQ48" s="160"/>
      <c r="AR48" s="160"/>
      <c r="AS48" s="160"/>
      <c r="AT48" s="160"/>
      <c r="AU48" s="160"/>
      <c r="AV48" s="160"/>
      <c r="AW48" s="160"/>
      <c r="AX48" s="160"/>
      <c r="AY48" s="160"/>
      <c r="AZ48" s="160"/>
      <c r="BA48" s="160"/>
      <c r="BB48" s="160"/>
      <c r="BC48" s="160"/>
      <c r="BD48" s="160"/>
      <c r="BE48" s="160"/>
      <c r="BF48" s="160"/>
    </row>
    <row r="49" spans="2:58">
      <c r="B49" s="91">
        <f>CupDraw!I48</f>
        <v>24</v>
      </c>
      <c r="C49" s="76" t="str">
        <f>IF(CupDraw!J48="","",CupDraw!J48)</f>
        <v>Andy White</v>
      </c>
      <c r="D49" s="77" t="str">
        <f>IF(CupDraw!K48="","",CupDraw!K48)</f>
        <v/>
      </c>
      <c r="E49" s="88" t="str">
        <f>IF(CupDraw!L48="","",CupDraw!L48)</f>
        <v/>
      </c>
      <c r="F49" s="62"/>
      <c r="G49" s="62"/>
      <c r="H49" s="91">
        <f>CupDraw!O48</f>
        <v>24</v>
      </c>
      <c r="I49" s="73" t="str">
        <f>IF(CupDraw!P48="","",CupDraw!P48)</f>
        <v>Andy White</v>
      </c>
      <c r="J49" s="77">
        <f>IF(CupDraw!Q48="","",CupDraw!Q48)</f>
        <v>-4.7</v>
      </c>
      <c r="K49" s="88" t="str">
        <f>IF(CupDraw!R48="","",CupDraw!R48)</f>
        <v/>
      </c>
      <c r="L49" s="85"/>
      <c r="M49" s="62"/>
      <c r="N49" s="62"/>
      <c r="O49" s="62"/>
      <c r="P49" s="62"/>
      <c r="Q49" s="62"/>
      <c r="R49" s="86"/>
      <c r="S49" s="62"/>
      <c r="X49" s="87"/>
      <c r="Y49" s="82"/>
      <c r="Z49" s="82"/>
      <c r="AA49" s="82"/>
      <c r="AB49" s="82"/>
      <c r="AC49" s="82"/>
      <c r="AD49" s="160"/>
      <c r="AE49" s="160"/>
      <c r="AF49" s="160"/>
      <c r="AG49" s="160"/>
      <c r="AH49" s="160"/>
      <c r="AI49" s="160"/>
      <c r="AJ49" s="160"/>
      <c r="AK49" s="160"/>
      <c r="AL49" s="160"/>
      <c r="AM49" s="160"/>
      <c r="AN49" s="160"/>
      <c r="AO49" s="160"/>
      <c r="AP49" s="160"/>
      <c r="AQ49" s="160"/>
      <c r="AR49" s="160"/>
      <c r="AS49" s="160"/>
      <c r="AT49" s="160"/>
      <c r="AU49" s="160"/>
      <c r="AV49" s="160"/>
      <c r="AW49" s="160"/>
      <c r="AX49" s="160"/>
      <c r="AY49" s="160"/>
      <c r="AZ49" s="160"/>
      <c r="BA49" s="160"/>
      <c r="BB49" s="160"/>
      <c r="BC49" s="160"/>
      <c r="BD49" s="160"/>
      <c r="BE49" s="160"/>
      <c r="BF49" s="160"/>
    </row>
    <row r="50" spans="2:58">
      <c r="B50" s="90"/>
      <c r="C50" s="76" t="str">
        <f>IF(CupDraw!J49="","",CupDraw!J49)</f>
        <v>Stephen Troop</v>
      </c>
      <c r="D50" s="77" t="str">
        <f>IF(CupDraw!K49="","",CupDraw!K49)</f>
        <v/>
      </c>
      <c r="E50" s="140" t="str">
        <f>IF(CupDraw!L49="","",CupDraw!L49)</f>
        <v/>
      </c>
      <c r="F50" s="62"/>
      <c r="G50" s="62"/>
      <c r="H50" s="90"/>
      <c r="I50" s="73" t="str">
        <f>IF(CupDraw!P49="","",CupDraw!P49)</f>
        <v>Stephen Troop</v>
      </c>
      <c r="J50" s="77">
        <f>IF(CupDraw!Q49="","",CupDraw!Q49)</f>
        <v>5.1516483516483511</v>
      </c>
      <c r="K50" s="66" t="str">
        <f>IF(CupDraw!R49="","",CupDraw!R49)</f>
        <v/>
      </c>
      <c r="L50" s="85"/>
      <c r="M50" s="62"/>
      <c r="N50" s="62"/>
      <c r="O50" s="62"/>
      <c r="P50" s="62"/>
      <c r="Q50" s="62"/>
      <c r="R50" s="86"/>
      <c r="S50" s="62"/>
      <c r="X50" s="87"/>
      <c r="Y50" s="82"/>
      <c r="Z50" s="82"/>
      <c r="AA50" s="82"/>
      <c r="AB50" s="82"/>
      <c r="AC50" s="82"/>
      <c r="AD50" s="160"/>
      <c r="AE50" s="160"/>
      <c r="AF50" s="160"/>
      <c r="AG50" s="160"/>
      <c r="AH50" s="160"/>
      <c r="AI50" s="160"/>
      <c r="AJ50" s="160"/>
      <c r="AK50" s="160"/>
      <c r="AL50" s="160"/>
      <c r="AM50" s="160"/>
      <c r="AN50" s="160"/>
      <c r="AO50" s="160"/>
      <c r="AP50" s="160"/>
      <c r="AQ50" s="160"/>
      <c r="AR50" s="160"/>
      <c r="AS50" s="160"/>
      <c r="AT50" s="160"/>
      <c r="AU50" s="160"/>
      <c r="AV50" s="160"/>
      <c r="AW50" s="160"/>
      <c r="AX50" s="160"/>
      <c r="AY50" s="160"/>
      <c r="AZ50" s="160"/>
      <c r="BA50" s="160"/>
      <c r="BB50" s="160"/>
      <c r="BC50" s="160"/>
      <c r="BD50" s="160"/>
      <c r="BE50" s="160"/>
      <c r="BF50" s="160"/>
    </row>
    <row r="51" spans="2:58">
      <c r="B51" s="91">
        <f>CupDraw!I50</f>
        <v>25</v>
      </c>
      <c r="C51" s="76" t="str">
        <f>IF(CupDraw!J50="","",CupDraw!J50)</f>
        <v>Mark Saunders</v>
      </c>
      <c r="D51" s="77" t="str">
        <f>IF(CupDraw!K50="","",CupDraw!K50)</f>
        <v/>
      </c>
      <c r="E51" s="88" t="str">
        <f>IF(CupDraw!L50="","",CupDraw!L50)</f>
        <v/>
      </c>
      <c r="F51" s="62"/>
      <c r="G51" s="62"/>
      <c r="H51" s="91">
        <f>CupDraw!O50</f>
        <v>25</v>
      </c>
      <c r="I51" s="73" t="str">
        <f>IF(CupDraw!P50="","",CupDraw!P50)</f>
        <v>Mark Saunders</v>
      </c>
      <c r="J51" s="77">
        <f>IF(CupDraw!Q50="","",CupDraw!Q50)</f>
        <v>6.5714285714285694</v>
      </c>
      <c r="K51" s="88" t="str">
        <f>IF(CupDraw!R50="","",CupDraw!R50)</f>
        <v/>
      </c>
      <c r="L51" s="85"/>
      <c r="M51" s="82"/>
      <c r="N51" s="82"/>
      <c r="O51" s="82"/>
      <c r="P51" s="82"/>
      <c r="Q51" s="82"/>
      <c r="R51" s="86"/>
      <c r="S51" s="82"/>
      <c r="X51" s="1"/>
      <c r="Y51" s="82"/>
      <c r="Z51" s="82"/>
      <c r="AA51" s="82"/>
      <c r="AB51" s="82"/>
      <c r="AC51" s="82"/>
      <c r="AD51" s="160"/>
      <c r="AE51" s="160"/>
      <c r="AF51" s="160"/>
      <c r="AG51" s="160"/>
      <c r="AH51" s="160"/>
      <c r="AI51" s="160"/>
      <c r="AJ51" s="160"/>
      <c r="AK51" s="160"/>
      <c r="AL51" s="160"/>
      <c r="AM51" s="160"/>
      <c r="AN51" s="160"/>
      <c r="AO51" s="160"/>
      <c r="AP51" s="160"/>
      <c r="AQ51" s="160"/>
      <c r="AR51" s="160"/>
      <c r="AS51" s="160"/>
      <c r="AT51" s="160"/>
      <c r="AU51" s="160"/>
      <c r="AV51" s="160"/>
      <c r="AW51" s="160"/>
      <c r="AX51" s="160"/>
      <c r="AY51" s="160"/>
      <c r="AZ51" s="160"/>
      <c r="BA51" s="160"/>
      <c r="BB51" s="160"/>
      <c r="BC51" s="160"/>
      <c r="BD51" s="160"/>
      <c r="BE51" s="160"/>
      <c r="BF51" s="160"/>
    </row>
    <row r="52" spans="2:58">
      <c r="B52" s="90"/>
      <c r="C52" s="76" t="str">
        <f>IF(CupDraw!J51="","",CupDraw!J51)</f>
        <v>Kevin Carter</v>
      </c>
      <c r="D52" s="77" t="str">
        <f>IF(CupDraw!K51="","",CupDraw!K51)</f>
        <v/>
      </c>
      <c r="E52" s="140" t="str">
        <f>IF(CupDraw!L51="","",CupDraw!L51)</f>
        <v/>
      </c>
      <c r="F52" s="62"/>
      <c r="G52" s="62"/>
      <c r="H52" s="90"/>
      <c r="I52" s="73" t="str">
        <f>IF(CupDraw!P51="","",CupDraw!P51)</f>
        <v>Kevin Carter</v>
      </c>
      <c r="J52" s="77">
        <f>IF(CupDraw!Q51="","",CupDraw!Q51)</f>
        <v>-5.384615384615385</v>
      </c>
      <c r="K52" s="66" t="str">
        <f>IF(CupDraw!R51="","",CupDraw!R51)</f>
        <v/>
      </c>
      <c r="L52" s="85"/>
      <c r="M52" s="82"/>
      <c r="N52" s="82"/>
      <c r="O52" s="82"/>
      <c r="P52" s="82"/>
      <c r="Q52" s="82"/>
      <c r="R52" s="86"/>
      <c r="S52" s="82"/>
      <c r="X52" s="87"/>
      <c r="Y52" s="82"/>
      <c r="Z52" s="82"/>
      <c r="AA52" s="82"/>
      <c r="AB52" s="82"/>
      <c r="AC52" s="82"/>
      <c r="AD52" s="160"/>
      <c r="AE52" s="160"/>
      <c r="AF52" s="160"/>
      <c r="AG52" s="160"/>
      <c r="AH52" s="160"/>
      <c r="AI52" s="160"/>
      <c r="AJ52" s="160"/>
      <c r="AK52" s="160"/>
      <c r="AL52" s="160"/>
      <c r="AM52" s="160"/>
      <c r="AN52" s="160"/>
      <c r="AO52" s="160"/>
      <c r="AP52" s="160"/>
      <c r="AQ52" s="160"/>
      <c r="AR52" s="160"/>
      <c r="AS52" s="160"/>
      <c r="AT52" s="160"/>
      <c r="AU52" s="160"/>
      <c r="AV52" s="160"/>
      <c r="AW52" s="160"/>
      <c r="AX52" s="160"/>
      <c r="AY52" s="160"/>
      <c r="AZ52" s="160"/>
      <c r="BA52" s="160"/>
      <c r="BB52" s="160"/>
      <c r="BC52" s="160"/>
      <c r="BD52" s="160"/>
      <c r="BE52" s="160"/>
      <c r="BF52" s="160"/>
    </row>
    <row r="53" spans="2:58">
      <c r="B53" s="91">
        <f>CupDraw!I52</f>
        <v>26</v>
      </c>
      <c r="C53" s="76" t="str">
        <f>IF(CupDraw!J52="","",CupDraw!J52)</f>
        <v>Paul Fairhurst</v>
      </c>
      <c r="D53" s="77" t="str">
        <f>IF(CupDraw!K52="","",CupDraw!K52)</f>
        <v/>
      </c>
      <c r="E53" s="88" t="str">
        <f>IF(CupDraw!L52="","",CupDraw!L52)</f>
        <v/>
      </c>
      <c r="F53" s="62"/>
      <c r="G53" s="62"/>
      <c r="H53" s="91">
        <f>CupDraw!O52</f>
        <v>26</v>
      </c>
      <c r="I53" s="73" t="str">
        <f>IF(CupDraw!P52="","",CupDraw!P52)</f>
        <v>Paul Fairhurst</v>
      </c>
      <c r="J53" s="77">
        <f>IF(CupDraw!Q52="","",CupDraw!Q52)</f>
        <v>-7</v>
      </c>
      <c r="K53" s="88" t="str">
        <f>IF(CupDraw!R52="","",CupDraw!R52)</f>
        <v/>
      </c>
      <c r="L53" s="85"/>
      <c r="M53" s="82"/>
      <c r="N53" s="82"/>
      <c r="O53" s="82"/>
      <c r="P53" s="82"/>
      <c r="Q53" s="82"/>
      <c r="R53" s="86"/>
      <c r="S53" s="82"/>
      <c r="X53" s="87"/>
      <c r="Y53" s="82"/>
      <c r="Z53" s="82"/>
      <c r="AA53" s="82"/>
      <c r="AB53" s="82"/>
      <c r="AC53" s="82"/>
      <c r="AD53" s="160"/>
      <c r="AE53" s="160"/>
      <c r="AF53" s="160"/>
      <c r="AG53" s="160"/>
      <c r="AH53" s="160"/>
      <c r="AI53" s="160"/>
      <c r="AJ53" s="160"/>
      <c r="AK53" s="160"/>
      <c r="AL53" s="160"/>
      <c r="AM53" s="160"/>
      <c r="AN53" s="160"/>
      <c r="AO53" s="160"/>
      <c r="AP53" s="160"/>
      <c r="AQ53" s="160"/>
      <c r="AR53" s="160"/>
      <c r="AS53" s="160"/>
      <c r="AT53" s="160"/>
      <c r="AU53" s="160"/>
      <c r="AV53" s="160"/>
      <c r="AW53" s="160"/>
      <c r="AX53" s="160"/>
      <c r="AY53" s="160"/>
      <c r="AZ53" s="160"/>
      <c r="BA53" s="160"/>
      <c r="BB53" s="160"/>
      <c r="BC53" s="160"/>
      <c r="BD53" s="160"/>
      <c r="BE53" s="160"/>
      <c r="BF53" s="160"/>
    </row>
    <row r="54" spans="2:58">
      <c r="B54" s="90"/>
      <c r="C54" s="76" t="str">
        <f>IF(CupDraw!J53="","",CupDraw!J53)</f>
        <v>Chris Luck</v>
      </c>
      <c r="D54" s="77" t="str">
        <f>IF(CupDraw!K53="","",CupDraw!K53)</f>
        <v/>
      </c>
      <c r="E54" s="140" t="str">
        <f>IF(CupDraw!L53="","",CupDraw!L53)</f>
        <v/>
      </c>
      <c r="F54" s="62"/>
      <c r="G54" s="62"/>
      <c r="H54" s="90"/>
      <c r="I54" s="73" t="str">
        <f>IF(CupDraw!P53="","",CupDraw!P53)</f>
        <v>Chris Luck</v>
      </c>
      <c r="J54" s="77">
        <f>IF(CupDraw!Q53="","",CupDraw!Q53)</f>
        <v>-3.6</v>
      </c>
      <c r="K54" s="66" t="str">
        <f>IF(CupDraw!R53="","",CupDraw!R53)</f>
        <v/>
      </c>
      <c r="L54" s="85"/>
      <c r="M54" s="82"/>
      <c r="N54" s="82"/>
      <c r="O54" s="82"/>
      <c r="P54" s="82"/>
      <c r="Q54" s="82"/>
      <c r="R54" s="86"/>
      <c r="S54" s="82"/>
      <c r="X54" s="87"/>
      <c r="Y54" s="82"/>
      <c r="Z54" s="82"/>
      <c r="AA54" s="82"/>
      <c r="AB54" s="82"/>
      <c r="AC54" s="82"/>
      <c r="AD54" s="160"/>
      <c r="AE54" s="160"/>
      <c r="AF54" s="160"/>
      <c r="AG54" s="160"/>
      <c r="AH54" s="160"/>
      <c r="AI54" s="160"/>
      <c r="AJ54" s="160"/>
      <c r="AK54" s="160"/>
      <c r="AL54" s="160"/>
      <c r="AM54" s="160"/>
      <c r="AN54" s="160"/>
      <c r="AO54" s="160"/>
      <c r="AP54" s="160"/>
      <c r="AQ54" s="160"/>
      <c r="AR54" s="160"/>
      <c r="AS54" s="160"/>
      <c r="AT54" s="160"/>
      <c r="AU54" s="160"/>
      <c r="AV54" s="160"/>
      <c r="AW54" s="160"/>
      <c r="AX54" s="160"/>
      <c r="AY54" s="160"/>
      <c r="AZ54" s="160"/>
      <c r="BA54" s="160"/>
      <c r="BB54" s="160"/>
      <c r="BC54" s="160"/>
      <c r="BD54" s="160"/>
      <c r="BE54" s="160"/>
      <c r="BF54" s="160"/>
    </row>
    <row r="55" spans="2:58">
      <c r="B55" s="91">
        <f>CupDraw!I54</f>
        <v>27</v>
      </c>
      <c r="C55" s="76" t="str">
        <f>IF(CupDraw!J54="","",CupDraw!J54)</f>
        <v>Paul Fiddler</v>
      </c>
      <c r="D55" s="77" t="str">
        <f>IF(CupDraw!K54="","",CupDraw!K54)</f>
        <v/>
      </c>
      <c r="E55" s="88" t="str">
        <f>IF(CupDraw!L54="","",CupDraw!L54)</f>
        <v/>
      </c>
      <c r="F55" s="62"/>
      <c r="G55" s="62"/>
      <c r="H55" s="91">
        <f>CupDraw!O54</f>
        <v>27</v>
      </c>
      <c r="I55" s="73" t="str">
        <f>IF(CupDraw!P54="","",CupDraw!P54)</f>
        <v>Paul Fiddler</v>
      </c>
      <c r="J55" s="77">
        <f>IF(CupDraw!Q54="","",CupDraw!Q54)</f>
        <v>7.0485207100591722</v>
      </c>
      <c r="K55" s="88" t="str">
        <f>IF(CupDraw!R54="","",CupDraw!R54)</f>
        <v/>
      </c>
      <c r="L55" s="85"/>
      <c r="M55" s="82"/>
      <c r="N55" s="82"/>
      <c r="O55" s="82"/>
      <c r="P55" s="82"/>
      <c r="Q55" s="82"/>
      <c r="R55" s="86"/>
      <c r="S55" s="82"/>
      <c r="X55" s="87"/>
      <c r="Y55" s="82"/>
      <c r="Z55" s="82"/>
      <c r="AA55" s="82"/>
      <c r="AB55" s="82"/>
      <c r="AC55" s="82"/>
      <c r="AD55" s="160"/>
      <c r="AE55" s="160"/>
      <c r="AF55" s="160"/>
      <c r="AG55" s="160"/>
      <c r="AH55" s="160"/>
      <c r="AI55" s="160"/>
      <c r="AJ55" s="160"/>
      <c r="AK55" s="160"/>
      <c r="AL55" s="160"/>
      <c r="AM55" s="160"/>
      <c r="AN55" s="160"/>
      <c r="AO55" s="160"/>
      <c r="AP55" s="160"/>
      <c r="AQ55" s="160"/>
      <c r="AR55" s="160"/>
      <c r="AS55" s="160"/>
      <c r="AT55" s="160"/>
      <c r="AU55" s="160"/>
      <c r="AV55" s="160"/>
      <c r="AW55" s="160"/>
      <c r="AX55" s="160"/>
      <c r="AY55" s="160"/>
      <c r="AZ55" s="160"/>
      <c r="BA55" s="160"/>
      <c r="BB55" s="160"/>
      <c r="BC55" s="160"/>
      <c r="BD55" s="160"/>
      <c r="BE55" s="160"/>
      <c r="BF55" s="160"/>
    </row>
    <row r="56" spans="2:58">
      <c r="B56" s="90"/>
      <c r="C56" s="76" t="str">
        <f>IF(CupDraw!J55="","",CupDraw!J55)</f>
        <v>Andy Charleston</v>
      </c>
      <c r="D56" s="77" t="str">
        <f>IF(CupDraw!K55="","",CupDraw!K55)</f>
        <v/>
      </c>
      <c r="E56" s="140" t="str">
        <f>IF(CupDraw!L55="","",CupDraw!L55)</f>
        <v/>
      </c>
      <c r="F56" s="62"/>
      <c r="G56" s="62"/>
      <c r="H56" s="90"/>
      <c r="I56" s="73" t="str">
        <f>IF(CupDraw!P55="","",CupDraw!P55)</f>
        <v>Andy Charleston</v>
      </c>
      <c r="J56" s="77">
        <f>IF(CupDraw!Q55="","",CupDraw!Q55)</f>
        <v>-1</v>
      </c>
      <c r="K56" s="66" t="str">
        <f>IF(CupDraw!R55="","",CupDraw!R55)</f>
        <v/>
      </c>
      <c r="L56" s="85"/>
      <c r="M56" s="82"/>
      <c r="N56" s="82"/>
      <c r="O56" s="82"/>
      <c r="P56" s="82"/>
      <c r="Q56" s="82"/>
      <c r="R56" s="86"/>
      <c r="S56" s="82"/>
      <c r="X56" s="87"/>
      <c r="Y56" s="82"/>
      <c r="Z56" s="82"/>
      <c r="AA56" s="82"/>
      <c r="AB56" s="82"/>
      <c r="AC56" s="82"/>
      <c r="AD56" s="160"/>
      <c r="AE56" s="160"/>
      <c r="AF56" s="160"/>
      <c r="AG56" s="160"/>
      <c r="AH56" s="160"/>
      <c r="AI56" s="160"/>
      <c r="AJ56" s="160"/>
      <c r="AK56" s="160"/>
      <c r="AL56" s="160"/>
      <c r="AM56" s="160"/>
      <c r="AN56" s="160"/>
      <c r="AO56" s="160"/>
      <c r="AP56" s="160"/>
      <c r="AQ56" s="160"/>
      <c r="AR56" s="160"/>
      <c r="AS56" s="160"/>
      <c r="AT56" s="160"/>
      <c r="AU56" s="160"/>
      <c r="AV56" s="160"/>
      <c r="AW56" s="160"/>
      <c r="AX56" s="160"/>
      <c r="AY56" s="160"/>
      <c r="AZ56" s="160"/>
      <c r="BA56" s="160"/>
      <c r="BB56" s="160"/>
      <c r="BC56" s="160"/>
      <c r="BD56" s="160"/>
      <c r="BE56" s="160"/>
      <c r="BF56" s="160"/>
    </row>
    <row r="57" spans="2:58">
      <c r="B57" s="91">
        <f>CupDraw!I56</f>
        <v>28</v>
      </c>
      <c r="C57" s="76" t="str">
        <f>IF(CupDraw!J56="","",CupDraw!J56)</f>
        <v>Alick Rocca</v>
      </c>
      <c r="D57" s="77" t="str">
        <f>IF(CupDraw!K56="","",CupDraw!K56)</f>
        <v/>
      </c>
      <c r="E57" s="88" t="str">
        <f>IF(CupDraw!L56="","",CupDraw!L56)</f>
        <v/>
      </c>
      <c r="F57" s="62"/>
      <c r="G57" s="62"/>
      <c r="H57" s="91">
        <f>CupDraw!O56</f>
        <v>28</v>
      </c>
      <c r="I57" s="73" t="str">
        <f>IF(CupDraw!P56="","",CupDraw!P56)</f>
        <v>Alick Rocca</v>
      </c>
      <c r="J57" s="77">
        <f>IF(CupDraw!Q56="","",CupDraw!Q56)</f>
        <v>-7</v>
      </c>
      <c r="K57" s="88" t="str">
        <f>IF(CupDraw!R56="","",CupDraw!R56)</f>
        <v/>
      </c>
      <c r="L57" s="85"/>
      <c r="M57" s="82"/>
      <c r="N57" s="82"/>
      <c r="O57" s="82"/>
      <c r="P57" s="82"/>
      <c r="Q57" s="82"/>
      <c r="R57" s="86"/>
      <c r="S57" s="82"/>
      <c r="X57" s="87"/>
      <c r="Y57" s="82"/>
      <c r="Z57" s="82"/>
      <c r="AA57" s="82"/>
      <c r="AB57" s="82"/>
      <c r="AC57" s="82"/>
      <c r="AD57" s="160"/>
      <c r="AE57" s="160"/>
      <c r="AF57" s="160"/>
      <c r="AG57" s="160"/>
      <c r="AH57" s="160"/>
      <c r="AI57" s="160"/>
      <c r="AJ57" s="160"/>
      <c r="AK57" s="160"/>
      <c r="AL57" s="160"/>
      <c r="AM57" s="160"/>
      <c r="AN57" s="160"/>
      <c r="AO57" s="160"/>
      <c r="AP57" s="160"/>
      <c r="AQ57" s="160"/>
      <c r="AR57" s="160"/>
      <c r="AS57" s="160"/>
      <c r="AT57" s="160"/>
      <c r="AU57" s="160"/>
      <c r="AV57" s="160"/>
      <c r="AW57" s="160"/>
      <c r="AX57" s="160"/>
      <c r="AY57" s="160"/>
      <c r="AZ57" s="160"/>
      <c r="BA57" s="160"/>
      <c r="BB57" s="160"/>
      <c r="BC57" s="160"/>
      <c r="BD57" s="160"/>
      <c r="BE57" s="160"/>
      <c r="BF57" s="160"/>
    </row>
    <row r="58" spans="2:58">
      <c r="B58" s="90"/>
      <c r="C58" s="76" t="str">
        <f>IF(CupDraw!J57="","",CupDraw!J57)</f>
        <v>Graham Miller</v>
      </c>
      <c r="D58" s="77" t="str">
        <f>IF(CupDraw!K57="","",CupDraw!K57)</f>
        <v/>
      </c>
      <c r="E58" s="140" t="str">
        <f>IF(CupDraw!L57="","",CupDraw!L57)</f>
        <v/>
      </c>
      <c r="F58" s="62"/>
      <c r="G58" s="62"/>
      <c r="H58" s="90"/>
      <c r="I58" s="73" t="str">
        <f>IF(CupDraw!P57="","",CupDraw!P57)</f>
        <v>Graham Miller</v>
      </c>
      <c r="J58" s="77">
        <f>IF(CupDraw!Q57="","",CupDraw!Q57)</f>
        <v>-0.13333333333333464</v>
      </c>
      <c r="K58" s="66" t="str">
        <f>IF(CupDraw!R57="","",CupDraw!R57)</f>
        <v/>
      </c>
      <c r="L58" s="85"/>
      <c r="M58" s="82"/>
      <c r="N58" s="82"/>
      <c r="O58" s="82"/>
      <c r="P58" s="82"/>
      <c r="Q58" s="82"/>
      <c r="R58" s="86"/>
      <c r="S58" s="82"/>
      <c r="X58" s="87"/>
      <c r="Y58" s="82"/>
      <c r="Z58" s="82"/>
      <c r="AA58" s="82"/>
      <c r="AB58" s="82"/>
      <c r="AC58" s="82"/>
      <c r="AD58" s="160"/>
      <c r="AE58" s="160"/>
      <c r="AF58" s="160"/>
      <c r="AG58" s="160"/>
      <c r="AH58" s="160"/>
      <c r="AI58" s="160"/>
      <c r="AJ58" s="160"/>
      <c r="AK58" s="160"/>
      <c r="AL58" s="160"/>
      <c r="AM58" s="160"/>
      <c r="AN58" s="160"/>
      <c r="AO58" s="160"/>
      <c r="AP58" s="160"/>
      <c r="AQ58" s="160"/>
      <c r="AR58" s="160"/>
      <c r="AS58" s="160"/>
      <c r="AT58" s="160"/>
      <c r="AU58" s="160"/>
      <c r="AV58" s="160"/>
      <c r="AW58" s="160"/>
      <c r="AX58" s="160"/>
      <c r="AY58" s="160"/>
      <c r="AZ58" s="160"/>
      <c r="BA58" s="160"/>
      <c r="BB58" s="160"/>
      <c r="BC58" s="160"/>
      <c r="BD58" s="160"/>
      <c r="BE58" s="160"/>
      <c r="BF58" s="160"/>
    </row>
    <row r="59" spans="2:58">
      <c r="B59" s="91">
        <f>CupDraw!I58</f>
        <v>29</v>
      </c>
      <c r="C59" s="76" t="str">
        <f>IF(CupDraw!J58="","",CupDraw!J58)</f>
        <v>Mike Penk</v>
      </c>
      <c r="D59" s="77" t="str">
        <f>IF(CupDraw!K58="","",CupDraw!K58)</f>
        <v/>
      </c>
      <c r="E59" s="88" t="str">
        <f>IF(CupDraw!L58="","",CupDraw!L58)</f>
        <v/>
      </c>
      <c r="F59" s="62"/>
      <c r="G59" s="62"/>
      <c r="H59" s="91">
        <f>CupDraw!O58</f>
        <v>29</v>
      </c>
      <c r="I59" s="73" t="str">
        <f>IF(CupDraw!P58="","",CupDraw!P58)</f>
        <v>Mike Penk</v>
      </c>
      <c r="J59" s="77">
        <f>IF(CupDraw!Q58="","",CupDraw!Q58)</f>
        <v>-5</v>
      </c>
      <c r="K59" s="88" t="str">
        <f>IF(CupDraw!R58="","",CupDraw!R58)</f>
        <v/>
      </c>
      <c r="L59" s="85"/>
      <c r="M59" s="82"/>
      <c r="N59" s="82"/>
      <c r="O59" s="82"/>
      <c r="P59" s="82"/>
      <c r="Q59" s="82"/>
      <c r="R59" s="86"/>
      <c r="S59" s="82"/>
      <c r="T59" s="62"/>
      <c r="U59" s="62"/>
      <c r="V59" s="62"/>
      <c r="W59" s="62"/>
      <c r="X59" s="87"/>
      <c r="Y59" s="82"/>
      <c r="Z59" s="82"/>
      <c r="AA59" s="82"/>
      <c r="AB59" s="82"/>
      <c r="AC59" s="82"/>
      <c r="AD59" s="160"/>
      <c r="AE59" s="160"/>
      <c r="AF59" s="160"/>
      <c r="AG59" s="160"/>
      <c r="AH59" s="160"/>
      <c r="AI59" s="160"/>
      <c r="AJ59" s="160"/>
      <c r="AK59" s="160"/>
      <c r="AL59" s="160"/>
      <c r="AM59" s="160"/>
      <c r="AN59" s="160"/>
      <c r="AO59" s="160"/>
      <c r="AP59" s="160"/>
      <c r="AQ59" s="160"/>
      <c r="AR59" s="160"/>
      <c r="AS59" s="160"/>
      <c r="AT59" s="160"/>
      <c r="AU59" s="160"/>
      <c r="AV59" s="160"/>
      <c r="AW59" s="160"/>
      <c r="AX59" s="160"/>
      <c r="AY59" s="160"/>
      <c r="AZ59" s="160"/>
      <c r="BA59" s="160"/>
      <c r="BB59" s="160"/>
      <c r="BC59" s="160"/>
      <c r="BD59" s="160"/>
      <c r="BE59" s="160"/>
      <c r="BF59" s="160"/>
    </row>
    <row r="60" spans="2:58">
      <c r="B60" s="90"/>
      <c r="C60" s="76" t="str">
        <f>IF(CupDraw!J59="","",CupDraw!J59)</f>
        <v>Liam Wah</v>
      </c>
      <c r="D60" s="77" t="str">
        <f>IF(CupDraw!K59="","",CupDraw!K59)</f>
        <v/>
      </c>
      <c r="E60" s="140" t="str">
        <f>IF(CupDraw!L59="","",CupDraw!L59)</f>
        <v/>
      </c>
      <c r="F60" s="62"/>
      <c r="G60" s="62"/>
      <c r="H60" s="90"/>
      <c r="I60" s="73" t="str">
        <f>IF(CupDraw!P59="","",CupDraw!P59)</f>
        <v>Liam Wah</v>
      </c>
      <c r="J60" s="77">
        <f>IF(CupDraw!Q59="","",CupDraw!Q59)</f>
        <v>13.94285714285714</v>
      </c>
      <c r="K60" s="66" t="str">
        <f>IF(CupDraw!R59="","",CupDraw!R59)</f>
        <v/>
      </c>
      <c r="L60" s="85"/>
      <c r="M60" s="82"/>
      <c r="N60" s="82"/>
      <c r="O60" s="82"/>
      <c r="P60" s="82"/>
      <c r="Q60" s="82"/>
      <c r="R60" s="86"/>
      <c r="S60" s="82"/>
      <c r="T60" s="62"/>
      <c r="U60" s="62"/>
      <c r="V60" s="62"/>
      <c r="W60" s="62"/>
      <c r="X60" s="87"/>
      <c r="Y60" s="82"/>
      <c r="Z60" s="82"/>
      <c r="AA60" s="82"/>
      <c r="AB60" s="82"/>
      <c r="AC60" s="82"/>
      <c r="AD60" s="160"/>
      <c r="AE60" s="160"/>
      <c r="AF60" s="160"/>
      <c r="AG60" s="160"/>
      <c r="AH60" s="160"/>
      <c r="AI60" s="160"/>
      <c r="AJ60" s="160"/>
      <c r="AK60" s="160"/>
      <c r="AL60" s="160"/>
      <c r="AM60" s="160"/>
      <c r="AN60" s="160"/>
      <c r="AO60" s="160"/>
      <c r="AP60" s="160"/>
      <c r="AQ60" s="160"/>
      <c r="AR60" s="160"/>
      <c r="AS60" s="160"/>
      <c r="AT60" s="160"/>
      <c r="AU60" s="160"/>
      <c r="AV60" s="160"/>
      <c r="AW60" s="160"/>
      <c r="AX60" s="160"/>
      <c r="AY60" s="160"/>
      <c r="AZ60" s="160"/>
      <c r="BA60" s="160"/>
      <c r="BB60" s="160"/>
      <c r="BC60" s="160"/>
      <c r="BD60" s="160"/>
      <c r="BE60" s="160"/>
      <c r="BF60" s="160"/>
    </row>
    <row r="61" spans="2:58">
      <c r="B61" s="91">
        <f>CupDraw!I60</f>
        <v>30</v>
      </c>
      <c r="C61" s="76" t="str">
        <f>IF(CupDraw!J60="","",CupDraw!J60)</f>
        <v>Howard Bradley</v>
      </c>
      <c r="D61" s="77" t="str">
        <f>IF(CupDraw!K60="","",CupDraw!K60)</f>
        <v/>
      </c>
      <c r="E61" s="88" t="str">
        <f>IF(CupDraw!L60="","",CupDraw!L60)</f>
        <v/>
      </c>
      <c r="F61" s="62"/>
      <c r="G61" s="62"/>
      <c r="H61" s="91">
        <f>CupDraw!O60</f>
        <v>30</v>
      </c>
      <c r="I61" s="73" t="str">
        <f>IF(CupDraw!P60="","",CupDraw!P60)</f>
        <v>Howard Bradley</v>
      </c>
      <c r="J61" s="77">
        <f>IF(CupDraw!Q60="","",CupDraw!Q60)</f>
        <v>-5.1666666666666661</v>
      </c>
      <c r="K61" s="88" t="str">
        <f>IF(CupDraw!R60="","",CupDraw!R60)</f>
        <v/>
      </c>
      <c r="L61" s="85"/>
      <c r="M61" s="82"/>
      <c r="N61" s="82"/>
      <c r="O61" s="82"/>
      <c r="P61" s="82"/>
      <c r="Q61" s="82"/>
      <c r="R61" s="86"/>
      <c r="S61" s="82"/>
      <c r="T61" s="62"/>
      <c r="U61" s="62"/>
      <c r="V61" s="62"/>
      <c r="W61" s="62"/>
      <c r="X61" s="87"/>
      <c r="Y61" s="82"/>
      <c r="Z61" s="82"/>
      <c r="AA61" s="82"/>
      <c r="AB61" s="82"/>
      <c r="AC61" s="82"/>
      <c r="AD61" s="160"/>
      <c r="AE61" s="160"/>
      <c r="AF61" s="160"/>
      <c r="AG61" s="160"/>
      <c r="AH61" s="160"/>
      <c r="AI61" s="160"/>
      <c r="AJ61" s="160"/>
      <c r="AK61" s="160"/>
      <c r="AL61" s="160"/>
      <c r="AM61" s="160"/>
      <c r="AN61" s="160"/>
      <c r="AO61" s="160"/>
      <c r="AP61" s="160"/>
      <c r="AQ61" s="160"/>
      <c r="AR61" s="160"/>
      <c r="AS61" s="160"/>
      <c r="AT61" s="160"/>
      <c r="AU61" s="160"/>
      <c r="AV61" s="160"/>
      <c r="AW61" s="160"/>
      <c r="AX61" s="160"/>
      <c r="AY61" s="160"/>
      <c r="AZ61" s="160"/>
      <c r="BA61" s="160"/>
      <c r="BB61" s="160"/>
      <c r="BC61" s="160"/>
      <c r="BD61" s="160"/>
      <c r="BE61" s="160"/>
      <c r="BF61" s="160"/>
    </row>
    <row r="62" spans="2:58">
      <c r="B62" s="90"/>
      <c r="C62" s="76" t="str">
        <f>IF(CupDraw!J61="","",CupDraw!J61)</f>
        <v>Rob England</v>
      </c>
      <c r="D62" s="77" t="str">
        <f>IF(CupDraw!K61="","",CupDraw!K61)</f>
        <v/>
      </c>
      <c r="E62" s="140" t="str">
        <f>IF(CupDraw!L61="","",CupDraw!L61)</f>
        <v/>
      </c>
      <c r="F62" s="62"/>
      <c r="G62" s="62"/>
      <c r="H62" s="90"/>
      <c r="I62" s="73" t="str">
        <f>IF(CupDraw!P61="","",CupDraw!P61)</f>
        <v>Rob England</v>
      </c>
      <c r="J62" s="77">
        <f>IF(CupDraw!Q61="","",CupDraw!Q61)</f>
        <v>-1.4615384615384617</v>
      </c>
      <c r="K62" s="66" t="str">
        <f>IF(CupDraw!R61="","",CupDraw!R61)</f>
        <v/>
      </c>
      <c r="L62" s="85"/>
      <c r="M62" s="82"/>
      <c r="N62" s="82"/>
      <c r="O62" s="82"/>
      <c r="P62" s="82"/>
      <c r="Q62" s="82"/>
      <c r="R62" s="86"/>
      <c r="S62" s="82"/>
      <c r="T62" s="62"/>
      <c r="U62" s="62"/>
      <c r="V62" s="62"/>
      <c r="W62" s="62"/>
      <c r="X62" s="87"/>
      <c r="Y62" s="82"/>
      <c r="Z62" s="82"/>
      <c r="AA62" s="82"/>
      <c r="AB62" s="82"/>
      <c r="AC62" s="82"/>
      <c r="AD62" s="160"/>
      <c r="AE62" s="160"/>
      <c r="AF62" s="160"/>
      <c r="AG62" s="160"/>
      <c r="AH62" s="160"/>
      <c r="AI62" s="160"/>
      <c r="AJ62" s="160"/>
      <c r="AK62" s="160"/>
      <c r="AL62" s="160"/>
      <c r="AM62" s="160"/>
      <c r="AN62" s="160"/>
      <c r="AO62" s="160"/>
      <c r="AP62" s="160"/>
      <c r="AQ62" s="160"/>
      <c r="AR62" s="160"/>
      <c r="AS62" s="160"/>
      <c r="AT62" s="160"/>
      <c r="AU62" s="160"/>
      <c r="AV62" s="160"/>
      <c r="AW62" s="160"/>
      <c r="AX62" s="160"/>
      <c r="AY62" s="160"/>
      <c r="AZ62" s="160"/>
      <c r="BA62" s="160"/>
      <c r="BB62" s="160"/>
      <c r="BC62" s="160"/>
      <c r="BD62" s="160"/>
      <c r="BE62" s="160"/>
      <c r="BF62" s="160"/>
    </row>
    <row r="63" spans="2:58">
      <c r="B63" s="91">
        <f>CupDraw!I62</f>
        <v>31</v>
      </c>
      <c r="C63" s="76" t="str">
        <f>IF(CupDraw!J62="","",CupDraw!J62)</f>
        <v/>
      </c>
      <c r="D63" s="77" t="str">
        <f>IF(CupDraw!K62="","",CupDraw!K62)</f>
        <v/>
      </c>
      <c r="E63" s="88" t="str">
        <f>IF(CupDraw!L62="","",CupDraw!L62)</f>
        <v/>
      </c>
      <c r="F63" s="62"/>
      <c r="G63" s="62"/>
      <c r="H63" s="91">
        <f>CupDraw!O62</f>
        <v>31</v>
      </c>
      <c r="I63" s="73" t="str">
        <f>IF(CupDraw!P62="","",CupDraw!P62)</f>
        <v>Dan Gibbard</v>
      </c>
      <c r="J63" s="77">
        <f>IF(CupDraw!Q62="","",CupDraw!Q62)</f>
        <v>-7</v>
      </c>
      <c r="K63" s="88" t="str">
        <f>IF(CupDraw!R62="","",CupDraw!R62)</f>
        <v/>
      </c>
      <c r="L63" s="85"/>
      <c r="M63" s="82"/>
      <c r="N63" s="82"/>
      <c r="O63" s="82"/>
      <c r="P63" s="82"/>
      <c r="Q63" s="82"/>
      <c r="R63" s="86"/>
      <c r="S63" s="82"/>
      <c r="T63" s="62"/>
      <c r="U63" s="62"/>
      <c r="V63" s="62"/>
      <c r="W63" s="62"/>
      <c r="X63" s="87"/>
      <c r="Y63" s="82"/>
      <c r="Z63" s="82"/>
      <c r="AA63" s="82"/>
      <c r="AB63" s="82"/>
      <c r="AC63" s="82"/>
      <c r="AD63" s="160"/>
      <c r="AE63" s="160"/>
      <c r="AF63" s="160"/>
      <c r="AG63" s="160"/>
      <c r="AH63" s="160"/>
      <c r="AI63" s="160"/>
      <c r="AJ63" s="160"/>
      <c r="AK63" s="160"/>
      <c r="AL63" s="160"/>
      <c r="AM63" s="160"/>
      <c r="AN63" s="160"/>
      <c r="AO63" s="160"/>
      <c r="AP63" s="160"/>
      <c r="AQ63" s="160"/>
      <c r="AR63" s="160"/>
      <c r="AS63" s="160"/>
      <c r="AT63" s="160"/>
      <c r="AU63" s="160"/>
      <c r="AV63" s="160"/>
      <c r="AW63" s="160"/>
      <c r="AX63" s="160"/>
      <c r="AY63" s="160"/>
      <c r="AZ63" s="160"/>
      <c r="BA63" s="160"/>
      <c r="BB63" s="160"/>
      <c r="BC63" s="160"/>
      <c r="BD63" s="160"/>
      <c r="BE63" s="160"/>
      <c r="BF63" s="160"/>
    </row>
    <row r="64" spans="2:58">
      <c r="B64" s="90"/>
      <c r="C64" s="76" t="str">
        <f>IF(CupDraw!J63="","",CupDraw!J63)</f>
        <v/>
      </c>
      <c r="D64" s="77" t="str">
        <f>IF(CupDraw!K63="","",CupDraw!K63)</f>
        <v/>
      </c>
      <c r="E64" s="140" t="str">
        <f>IF(CupDraw!L63="","",CupDraw!L63)</f>
        <v/>
      </c>
      <c r="F64" s="62"/>
      <c r="G64" s="62"/>
      <c r="H64" s="90"/>
      <c r="I64" s="73" t="str">
        <f>IF(CupDraw!P63="","",CupDraw!P63)</f>
        <v>Bye</v>
      </c>
      <c r="J64" s="77">
        <f>IF(CupDraw!Q63="","",CupDraw!Q63)</f>
        <v>-10</v>
      </c>
      <c r="K64" s="66" t="str">
        <f>IF(CupDraw!R63="","",CupDraw!R63)</f>
        <v/>
      </c>
      <c r="L64" s="85"/>
      <c r="M64" s="82"/>
      <c r="N64" s="82"/>
      <c r="O64" s="82"/>
      <c r="P64" s="82"/>
      <c r="Q64" s="82"/>
      <c r="R64" s="86"/>
      <c r="S64" s="82"/>
      <c r="X64" s="87"/>
      <c r="Y64" s="82"/>
      <c r="Z64" s="82"/>
      <c r="AA64" s="82"/>
      <c r="AB64" s="82"/>
      <c r="AC64" s="82"/>
      <c r="AD64" s="160"/>
      <c r="AE64" s="160"/>
      <c r="AF64" s="160"/>
      <c r="AG64" s="160"/>
      <c r="AH64" s="160"/>
      <c r="AI64" s="160"/>
      <c r="AJ64" s="160"/>
      <c r="AK64" s="160"/>
      <c r="AL64" s="160"/>
      <c r="AM64" s="160"/>
      <c r="AN64" s="160"/>
      <c r="AO64" s="160"/>
      <c r="AP64" s="160"/>
      <c r="AQ64" s="160"/>
      <c r="AR64" s="160"/>
      <c r="AS64" s="160"/>
      <c r="AT64" s="160"/>
      <c r="AU64" s="160"/>
      <c r="AV64" s="160"/>
      <c r="AW64" s="160"/>
      <c r="AX64" s="160"/>
      <c r="AY64" s="160"/>
      <c r="AZ64" s="160"/>
      <c r="BA64" s="160"/>
      <c r="BB64" s="160"/>
      <c r="BC64" s="160"/>
      <c r="BD64" s="160"/>
      <c r="BE64" s="160"/>
      <c r="BF64" s="160"/>
    </row>
    <row r="65" spans="2:58">
      <c r="B65" s="91">
        <f>CupDraw!I64</f>
        <v>32</v>
      </c>
      <c r="C65" s="76" t="str">
        <f>IF(CupDraw!J64="","",CupDraw!J64)</f>
        <v/>
      </c>
      <c r="D65" s="77" t="str">
        <f>IF(CupDraw!K64="","",CupDraw!K64)</f>
        <v/>
      </c>
      <c r="E65" s="88" t="str">
        <f>IF(CupDraw!L64="","",CupDraw!L64)</f>
        <v/>
      </c>
      <c r="F65" s="62"/>
      <c r="G65" s="62"/>
      <c r="H65" s="91">
        <f>CupDraw!O64</f>
        <v>32</v>
      </c>
      <c r="I65" s="73" t="str">
        <f>IF(CupDraw!P64="","",CupDraw!P64)</f>
        <v>Nigel Heyes</v>
      </c>
      <c r="J65" s="77">
        <f>IF(CupDraw!Q64="","",CupDraw!Q64)</f>
        <v>-5.2</v>
      </c>
      <c r="K65" s="88" t="str">
        <f>IF(CupDraw!R64="","",CupDraw!R64)</f>
        <v/>
      </c>
      <c r="L65" s="85"/>
      <c r="M65" s="82"/>
      <c r="N65" s="82"/>
      <c r="O65" s="82"/>
      <c r="P65" s="82"/>
      <c r="Q65" s="82"/>
      <c r="R65" s="86"/>
      <c r="S65" s="82"/>
      <c r="X65" s="85"/>
      <c r="Y65" s="82"/>
      <c r="Z65" s="82"/>
      <c r="AA65" s="82"/>
      <c r="AB65" s="82"/>
      <c r="AC65" s="82"/>
      <c r="AD65" s="160"/>
      <c r="AE65" s="160"/>
      <c r="AF65" s="160"/>
      <c r="AG65" s="160"/>
      <c r="AH65" s="160"/>
      <c r="AI65" s="160"/>
      <c r="AJ65" s="160"/>
      <c r="AK65" s="160"/>
      <c r="AL65" s="160"/>
      <c r="AM65" s="160"/>
      <c r="AN65" s="160"/>
      <c r="AO65" s="160"/>
      <c r="AP65" s="160"/>
      <c r="AQ65" s="160"/>
      <c r="AR65" s="160"/>
      <c r="AS65" s="160"/>
      <c r="AT65" s="160"/>
      <c r="AU65" s="160"/>
      <c r="AV65" s="160"/>
      <c r="AW65" s="160"/>
      <c r="AX65" s="160"/>
      <c r="AY65" s="160"/>
      <c r="AZ65" s="160"/>
      <c r="BA65" s="160"/>
      <c r="BB65" s="160"/>
      <c r="BC65" s="160"/>
      <c r="BD65" s="160"/>
      <c r="BE65" s="160"/>
      <c r="BF65" s="160"/>
    </row>
    <row r="66" spans="2:58">
      <c r="B66" s="90"/>
      <c r="C66" s="76" t="str">
        <f>IF(CupDraw!J65="","",CupDraw!J65)</f>
        <v/>
      </c>
      <c r="D66" s="77" t="str">
        <f>IF(CupDraw!K65="","",CupDraw!K65)</f>
        <v/>
      </c>
      <c r="E66" s="140" t="str">
        <f>IF(CupDraw!L65="","",CupDraw!L65)</f>
        <v/>
      </c>
      <c r="F66" s="62"/>
      <c r="G66" s="62"/>
      <c r="H66" s="90"/>
      <c r="I66" s="73" t="str">
        <f>IF(CupDraw!P65="","",CupDraw!P65)</f>
        <v>Bye</v>
      </c>
      <c r="J66" s="77">
        <f>IF(CupDraw!Q65="","",CupDraw!Q65)</f>
        <v>-10</v>
      </c>
      <c r="K66" s="66" t="str">
        <f>IF(CupDraw!R65="","",CupDraw!R65)</f>
        <v/>
      </c>
      <c r="L66" s="85"/>
      <c r="M66" s="82"/>
      <c r="N66" s="82"/>
      <c r="O66" s="82"/>
      <c r="P66" s="82"/>
      <c r="Q66" s="82"/>
      <c r="R66" s="86"/>
      <c r="S66" s="82"/>
      <c r="X66" s="85"/>
      <c r="Y66" s="82"/>
      <c r="Z66" s="82"/>
      <c r="AA66" s="82"/>
      <c r="AB66" s="82"/>
      <c r="AC66" s="82"/>
      <c r="AD66" s="160"/>
      <c r="AE66" s="160"/>
      <c r="AF66" s="160"/>
      <c r="AG66" s="160"/>
      <c r="AH66" s="160"/>
      <c r="AI66" s="160"/>
      <c r="AJ66" s="160"/>
      <c r="AK66" s="160"/>
      <c r="AL66" s="160"/>
      <c r="AM66" s="160"/>
      <c r="AN66" s="160"/>
      <c r="AO66" s="160"/>
      <c r="AP66" s="160"/>
      <c r="AQ66" s="160"/>
      <c r="AR66" s="160"/>
      <c r="AS66" s="160"/>
      <c r="AT66" s="160"/>
      <c r="AU66" s="160"/>
      <c r="AV66" s="160"/>
      <c r="AW66" s="160"/>
      <c r="AX66" s="160"/>
      <c r="AY66" s="160"/>
      <c r="AZ66" s="160"/>
      <c r="BA66" s="160"/>
      <c r="BB66" s="160"/>
      <c r="BC66" s="160"/>
      <c r="BD66" s="160"/>
      <c r="BE66" s="160"/>
      <c r="BF66" s="160"/>
    </row>
    <row r="67" spans="2:58">
      <c r="B67" s="91">
        <f>CupDraw!I66</f>
        <v>33</v>
      </c>
      <c r="C67" s="76" t="str">
        <f>IF(CupDraw!J66="","",CupDraw!J66)</f>
        <v/>
      </c>
      <c r="D67" s="77" t="str">
        <f>IF(CupDraw!K66="","",CupDraw!K66)</f>
        <v/>
      </c>
      <c r="E67" s="88" t="str">
        <f>IF(CupDraw!L66="","",CupDraw!L66)</f>
        <v/>
      </c>
      <c r="F67" s="62"/>
      <c r="G67" s="62"/>
      <c r="H67" s="64"/>
      <c r="I67" s="62"/>
      <c r="J67" s="93"/>
      <c r="K67" s="62"/>
      <c r="L67" s="86"/>
      <c r="M67" s="82"/>
      <c r="N67" s="82"/>
      <c r="O67" s="82"/>
      <c r="P67" s="82"/>
      <c r="Q67" s="82"/>
      <c r="R67" s="86"/>
      <c r="S67" s="82"/>
      <c r="X67" s="85"/>
      <c r="Y67" s="82"/>
      <c r="Z67" s="82"/>
      <c r="AA67" s="82"/>
      <c r="AB67" s="82"/>
      <c r="AC67" s="82"/>
      <c r="AD67" s="160"/>
      <c r="AE67" s="160"/>
      <c r="AF67" s="160"/>
      <c r="AG67" s="160"/>
      <c r="AH67" s="160"/>
      <c r="AI67" s="160"/>
      <c r="AJ67" s="160"/>
      <c r="AK67" s="160"/>
      <c r="AL67" s="160"/>
      <c r="AM67" s="160"/>
      <c r="AN67" s="160"/>
      <c r="AO67" s="160"/>
      <c r="AP67" s="160"/>
      <c r="AQ67" s="160"/>
      <c r="AR67" s="160"/>
      <c r="AS67" s="160"/>
      <c r="AT67" s="160"/>
      <c r="AU67" s="160"/>
      <c r="AV67" s="160"/>
      <c r="AW67" s="160"/>
      <c r="AX67" s="160"/>
      <c r="AY67" s="160"/>
      <c r="AZ67" s="160"/>
      <c r="BA67" s="160"/>
      <c r="BB67" s="160"/>
      <c r="BC67" s="160"/>
      <c r="BD67" s="160"/>
      <c r="BE67" s="160"/>
      <c r="BF67" s="160"/>
    </row>
    <row r="68" spans="2:58">
      <c r="B68" s="90"/>
      <c r="C68" s="76" t="str">
        <f>IF(CupDraw!J67="","",CupDraw!J67)</f>
        <v/>
      </c>
      <c r="D68" s="77" t="str">
        <f>IF(CupDraw!K67="","",CupDraw!K67)</f>
        <v/>
      </c>
      <c r="E68" s="140" t="str">
        <f>IF(CupDraw!L67="","",CupDraw!L67)</f>
        <v/>
      </c>
      <c r="F68" s="62"/>
      <c r="G68" s="62"/>
      <c r="H68" s="64"/>
      <c r="I68" s="62"/>
      <c r="J68" s="93"/>
      <c r="K68" s="62"/>
      <c r="L68" s="86"/>
      <c r="M68" s="82"/>
      <c r="N68" s="82"/>
      <c r="O68" s="82"/>
      <c r="P68" s="82"/>
      <c r="Q68" s="82"/>
      <c r="R68" s="86"/>
      <c r="S68" s="82"/>
      <c r="X68" s="85"/>
      <c r="Y68" s="82"/>
      <c r="Z68" s="82"/>
      <c r="AA68" s="82"/>
      <c r="AB68" s="82"/>
      <c r="AC68" s="82"/>
      <c r="AD68" s="160"/>
      <c r="AE68" s="160"/>
      <c r="AF68" s="160"/>
      <c r="AG68" s="160"/>
      <c r="AH68" s="160"/>
      <c r="AI68" s="160"/>
      <c r="AJ68" s="160"/>
      <c r="AK68" s="160"/>
      <c r="AL68" s="160"/>
      <c r="AM68" s="160"/>
      <c r="AN68" s="160"/>
      <c r="AO68" s="160"/>
      <c r="AP68" s="160"/>
      <c r="AQ68" s="160"/>
      <c r="AR68" s="160"/>
      <c r="AS68" s="160"/>
      <c r="AT68" s="160"/>
      <c r="AU68" s="160"/>
      <c r="AV68" s="160"/>
      <c r="AW68" s="160"/>
      <c r="AX68" s="160"/>
      <c r="AY68" s="160"/>
      <c r="AZ68" s="160"/>
      <c r="BA68" s="160"/>
      <c r="BB68" s="160"/>
      <c r="BC68" s="160"/>
      <c r="BD68" s="160"/>
      <c r="BE68" s="160"/>
      <c r="BF68" s="160"/>
    </row>
    <row r="69" spans="2:58">
      <c r="B69" s="91">
        <f>CupDraw!I68</f>
        <v>34</v>
      </c>
      <c r="C69" s="76" t="str">
        <f>IF(CupDraw!J68="","",CupDraw!J68)</f>
        <v/>
      </c>
      <c r="D69" s="77" t="str">
        <f>IF(CupDraw!K68="","",CupDraw!K68)</f>
        <v/>
      </c>
      <c r="E69" s="88" t="str">
        <f>IF(CupDraw!L68="","",CupDraw!L68)</f>
        <v/>
      </c>
      <c r="F69" s="62"/>
      <c r="G69" s="62"/>
      <c r="H69" s="64" t="str">
        <f>CupDraw!O68</f>
        <v>Earlier ties</v>
      </c>
      <c r="I69" s="82"/>
      <c r="J69" s="94"/>
      <c r="K69" s="82"/>
      <c r="L69" s="87"/>
      <c r="M69" s="82"/>
      <c r="N69" s="82"/>
      <c r="O69" s="82"/>
      <c r="P69" s="82"/>
      <c r="Q69" s="82"/>
      <c r="R69" s="86"/>
      <c r="S69" s="82"/>
      <c r="X69" s="87"/>
      <c r="Y69" s="82"/>
      <c r="Z69" s="82"/>
      <c r="AA69" s="82"/>
      <c r="AB69" s="82"/>
      <c r="AC69" s="82"/>
      <c r="AD69" s="160"/>
      <c r="AE69" s="160"/>
      <c r="AF69" s="160"/>
      <c r="AG69" s="160"/>
      <c r="AH69" s="160"/>
      <c r="AI69" s="160"/>
      <c r="AJ69" s="160"/>
      <c r="AK69" s="160"/>
      <c r="AL69" s="160"/>
      <c r="AM69" s="160"/>
      <c r="AN69" s="160"/>
      <c r="AO69" s="160"/>
      <c r="AP69" s="160"/>
      <c r="AQ69" s="160"/>
      <c r="AR69" s="160"/>
      <c r="AS69" s="160"/>
      <c r="AT69" s="160"/>
      <c r="AU69" s="160"/>
      <c r="AV69" s="160"/>
      <c r="AW69" s="160"/>
      <c r="AX69" s="160"/>
      <c r="AY69" s="160"/>
      <c r="AZ69" s="160"/>
      <c r="BA69" s="160"/>
      <c r="BB69" s="160"/>
      <c r="BC69" s="160"/>
      <c r="BD69" s="160"/>
      <c r="BE69" s="160"/>
      <c r="BF69" s="160"/>
    </row>
    <row r="70" spans="2:58">
      <c r="B70" s="90"/>
      <c r="C70" s="76" t="str">
        <f>IF(CupDraw!J69="","",CupDraw!J69)</f>
        <v/>
      </c>
      <c r="D70" s="77" t="str">
        <f>IF(CupDraw!K69="","",CupDraw!K69)</f>
        <v/>
      </c>
      <c r="E70" s="140" t="str">
        <f>IF(CupDraw!L69="","",CupDraw!L69)</f>
        <v/>
      </c>
      <c r="F70" s="62"/>
      <c r="G70" s="62"/>
      <c r="H70" s="726">
        <f>IF(CupDraw!O69="","",CupDraw!O69)</f>
        <v>12</v>
      </c>
      <c r="I70" s="73" t="str">
        <f>IF(CupDraw!P69="","",CupDraw!P69)</f>
        <v>Pete Baron</v>
      </c>
      <c r="J70" s="77">
        <f>IF(CupDraw!Q69="","",CupDraw!Q69)</f>
        <v>-7</v>
      </c>
      <c r="K70" s="88" t="str">
        <f>IF(CupDraw!R69="","",CupDraw!R69)</f>
        <v>R</v>
      </c>
      <c r="L70" s="85"/>
      <c r="M70" s="82"/>
      <c r="N70" s="82"/>
      <c r="O70" s="82"/>
      <c r="P70" s="82"/>
      <c r="Q70" s="82"/>
      <c r="R70" s="86"/>
      <c r="S70" s="82"/>
      <c r="X70" s="87"/>
      <c r="Y70" s="82"/>
      <c r="Z70" s="82"/>
      <c r="AA70" s="82"/>
      <c r="AB70" s="82"/>
      <c r="AC70" s="82"/>
      <c r="AD70" s="160"/>
      <c r="AE70" s="160"/>
      <c r="AF70" s="160"/>
      <c r="AG70" s="160"/>
      <c r="AH70" s="160"/>
      <c r="AI70" s="160"/>
      <c r="AJ70" s="160"/>
      <c r="AK70" s="160"/>
      <c r="AL70" s="160"/>
      <c r="AM70" s="160"/>
      <c r="AN70" s="160"/>
      <c r="AO70" s="160"/>
      <c r="AP70" s="160"/>
      <c r="AQ70" s="160"/>
      <c r="AR70" s="160"/>
      <c r="AS70" s="160"/>
      <c r="AT70" s="160"/>
      <c r="AU70" s="160"/>
      <c r="AV70" s="160"/>
      <c r="AW70" s="160"/>
      <c r="AX70" s="160"/>
      <c r="AY70" s="160"/>
      <c r="AZ70" s="160"/>
      <c r="BA70" s="160"/>
      <c r="BB70" s="160"/>
      <c r="BC70" s="160"/>
      <c r="BD70" s="160"/>
      <c r="BE70" s="160"/>
      <c r="BF70" s="160"/>
    </row>
    <row r="71" spans="2:58">
      <c r="B71" s="91">
        <f>CupDraw!I70</f>
        <v>35</v>
      </c>
      <c r="C71" s="76" t="str">
        <f>IF(CupDraw!J70="","",CupDraw!J70)</f>
        <v/>
      </c>
      <c r="D71" s="77" t="str">
        <f>IF(CupDraw!K70="","",CupDraw!K70)</f>
        <v/>
      </c>
      <c r="E71" s="88" t="str">
        <f>IF(CupDraw!L70="","",CupDraw!L70)</f>
        <v/>
      </c>
      <c r="F71" s="62"/>
      <c r="G71" s="62"/>
      <c r="H71" s="727">
        <f>CupDraw!O70</f>
        <v>0</v>
      </c>
      <c r="I71" s="73" t="str">
        <f>IF(CupDraw!P70="","",CupDraw!P70)</f>
        <v>John Murphy</v>
      </c>
      <c r="J71" s="77">
        <f>IF(CupDraw!Q70="","",CupDraw!Q70)</f>
        <v>-7</v>
      </c>
      <c r="K71" s="66" t="str">
        <f>IF(CupDraw!R70="","",CupDraw!R70)</f>
        <v/>
      </c>
      <c r="L71" s="85"/>
      <c r="M71" s="82"/>
      <c r="N71" s="82"/>
      <c r="O71" s="82"/>
      <c r="P71" s="82"/>
      <c r="Q71" s="82"/>
      <c r="R71" s="86"/>
      <c r="S71" s="82"/>
      <c r="X71" s="87"/>
      <c r="Y71" s="82"/>
      <c r="Z71" s="82"/>
      <c r="AA71" s="82"/>
      <c r="AB71" s="82"/>
      <c r="AC71" s="82"/>
      <c r="AD71" s="160"/>
      <c r="AE71" s="160"/>
      <c r="AF71" s="160"/>
      <c r="AG71" s="160"/>
      <c r="AH71" s="160"/>
      <c r="AI71" s="160"/>
      <c r="AJ71" s="160"/>
      <c r="AK71" s="160"/>
      <c r="AL71" s="160"/>
      <c r="AM71" s="160"/>
      <c r="AN71" s="160"/>
      <c r="AO71" s="160"/>
      <c r="AP71" s="160"/>
      <c r="AQ71" s="160"/>
      <c r="AR71" s="160"/>
      <c r="AS71" s="160"/>
      <c r="AT71" s="160"/>
      <c r="AU71" s="160"/>
      <c r="AV71" s="160"/>
      <c r="AW71" s="160"/>
      <c r="AX71" s="160"/>
      <c r="AY71" s="160"/>
      <c r="AZ71" s="160"/>
      <c r="BA71" s="160"/>
      <c r="BB71" s="160"/>
      <c r="BC71" s="160"/>
      <c r="BD71" s="160"/>
      <c r="BE71" s="160"/>
      <c r="BF71" s="160"/>
    </row>
    <row r="72" spans="2:58">
      <c r="B72" s="90"/>
      <c r="C72" s="76" t="str">
        <f>IF(CupDraw!J71="","",CupDraw!J71)</f>
        <v/>
      </c>
      <c r="D72" s="77" t="str">
        <f>IF(CupDraw!K71="","",CupDraw!K71)</f>
        <v/>
      </c>
      <c r="E72" s="140" t="str">
        <f>IF(CupDraw!L71="","",CupDraw!L71)</f>
        <v/>
      </c>
      <c r="F72" s="62"/>
      <c r="G72" s="62"/>
      <c r="H72" s="726">
        <f>IF(CupDraw!O71="","",CupDraw!O71)</f>
        <v>26</v>
      </c>
      <c r="I72" s="73" t="str">
        <f>IF(CupDraw!P71="","",CupDraw!P71)</f>
        <v>Paul Fairhurst</v>
      </c>
      <c r="J72" s="77">
        <f>IF(CupDraw!Q71="","",CupDraw!Q71)</f>
        <v>-7</v>
      </c>
      <c r="K72" s="88" t="str">
        <f>IF(CupDraw!R71="","",CupDraw!R71)</f>
        <v>R</v>
      </c>
      <c r="L72" s="85"/>
      <c r="M72" s="82"/>
      <c r="N72" s="82"/>
      <c r="O72" s="82"/>
      <c r="P72" s="82"/>
      <c r="Q72" s="82"/>
      <c r="R72" s="86"/>
      <c r="S72" s="82"/>
      <c r="X72" s="87"/>
      <c r="Y72" s="82"/>
      <c r="Z72" s="82"/>
      <c r="AA72" s="82"/>
      <c r="AB72" s="82"/>
      <c r="AC72" s="82"/>
      <c r="AD72" s="160"/>
      <c r="AE72" s="160"/>
      <c r="AF72" s="160"/>
      <c r="AG72" s="160"/>
      <c r="AH72" s="160"/>
      <c r="AI72" s="160"/>
      <c r="AJ72" s="160"/>
      <c r="AK72" s="160"/>
      <c r="AL72" s="160"/>
      <c r="AM72" s="160"/>
      <c r="AN72" s="160"/>
      <c r="AO72" s="160"/>
      <c r="AP72" s="160"/>
      <c r="AQ72" s="160"/>
      <c r="AR72" s="160"/>
      <c r="AS72" s="160"/>
      <c r="AT72" s="160"/>
      <c r="AU72" s="160"/>
      <c r="AV72" s="160"/>
      <c r="AW72" s="160"/>
      <c r="AX72" s="160"/>
      <c r="AY72" s="160"/>
      <c r="AZ72" s="160"/>
      <c r="BA72" s="160"/>
      <c r="BB72" s="160"/>
      <c r="BC72" s="160"/>
      <c r="BD72" s="160"/>
      <c r="BE72" s="160"/>
      <c r="BF72" s="160"/>
    </row>
    <row r="73" spans="2:58">
      <c r="B73" s="91">
        <f>CupDraw!I72</f>
        <v>36</v>
      </c>
      <c r="C73" s="76" t="str">
        <f>IF(CupDraw!J72="","",CupDraw!J72)</f>
        <v/>
      </c>
      <c r="D73" s="77" t="str">
        <f>IF(CupDraw!K72="","",CupDraw!K72)</f>
        <v/>
      </c>
      <c r="E73" s="88" t="str">
        <f>IF(CupDraw!L72="","",CupDraw!L72)</f>
        <v/>
      </c>
      <c r="F73" s="62"/>
      <c r="G73" s="62"/>
      <c r="H73" s="727">
        <f>CupDraw!O72</f>
        <v>0</v>
      </c>
      <c r="I73" s="73" t="str">
        <f>IF(CupDraw!P72="","",CupDraw!P72)</f>
        <v>Chris Luck</v>
      </c>
      <c r="J73" s="77">
        <f>IF(CupDraw!Q72="","",CupDraw!Q72)</f>
        <v>-7</v>
      </c>
      <c r="K73" s="66" t="str">
        <f>IF(CupDraw!R72="","",CupDraw!R72)</f>
        <v/>
      </c>
      <c r="L73" s="85"/>
      <c r="M73" s="82"/>
      <c r="N73" s="82"/>
      <c r="O73" s="82"/>
      <c r="P73" s="82"/>
      <c r="Q73" s="82"/>
      <c r="R73" s="86"/>
      <c r="S73" s="82"/>
      <c r="X73" s="87"/>
      <c r="Y73" s="82"/>
      <c r="Z73" s="82"/>
      <c r="AA73" s="82"/>
      <c r="AB73" s="82"/>
      <c r="AC73" s="82"/>
      <c r="AD73" s="160"/>
      <c r="AE73" s="160"/>
      <c r="AF73" s="160"/>
      <c r="AG73" s="160"/>
      <c r="AH73" s="160"/>
      <c r="AI73" s="160"/>
      <c r="AJ73" s="160"/>
      <c r="AK73" s="160"/>
      <c r="AL73" s="160"/>
      <c r="AM73" s="160"/>
      <c r="AN73" s="160"/>
      <c r="AO73" s="160"/>
      <c r="AP73" s="160"/>
      <c r="AQ73" s="160"/>
      <c r="AR73" s="160"/>
      <c r="AS73" s="160"/>
      <c r="AT73" s="160"/>
      <c r="AU73" s="160"/>
      <c r="AV73" s="160"/>
      <c r="AW73" s="160"/>
      <c r="AX73" s="160"/>
      <c r="AY73" s="160"/>
      <c r="AZ73" s="160"/>
      <c r="BA73" s="160"/>
      <c r="BB73" s="160"/>
      <c r="BC73" s="160"/>
      <c r="BD73" s="160"/>
      <c r="BE73" s="160"/>
      <c r="BF73" s="160"/>
    </row>
    <row r="74" spans="2:58">
      <c r="B74" s="90"/>
      <c r="C74" s="76" t="str">
        <f>IF(CupDraw!J73="","",CupDraw!J73)</f>
        <v/>
      </c>
      <c r="D74" s="77" t="str">
        <f>IF(CupDraw!K73="","",CupDraw!K73)</f>
        <v/>
      </c>
      <c r="E74" s="140" t="str">
        <f>IF(CupDraw!L73="","",CupDraw!L73)</f>
        <v/>
      </c>
      <c r="F74" s="62"/>
      <c r="G74" s="62"/>
      <c r="H74" s="726" t="str">
        <f>IF(CupDraw!O73="","",CupDraw!O73)</f>
        <v/>
      </c>
      <c r="I74" s="73" t="str">
        <f>IF(CupDraw!P73="","",CupDraw!P73)</f>
        <v/>
      </c>
      <c r="J74" s="77" t="str">
        <f>IF(CupDraw!Q73="","",CupDraw!Q73)</f>
        <v/>
      </c>
      <c r="K74" s="88" t="str">
        <f>IF(CupDraw!R73="","",CupDraw!R73)</f>
        <v/>
      </c>
      <c r="L74" s="85"/>
      <c r="M74" s="82"/>
      <c r="N74" s="82"/>
      <c r="O74" s="82"/>
      <c r="P74" s="82"/>
      <c r="Q74" s="82"/>
      <c r="R74" s="86"/>
      <c r="S74" s="82"/>
      <c r="X74" s="87"/>
      <c r="Y74" s="82"/>
      <c r="Z74" s="82"/>
      <c r="AA74" s="82"/>
      <c r="AB74" s="82"/>
      <c r="AC74" s="82"/>
      <c r="AD74" s="160"/>
      <c r="AE74" s="160"/>
      <c r="AF74" s="160"/>
      <c r="AG74" s="160"/>
      <c r="AH74" s="160"/>
      <c r="AI74" s="160"/>
      <c r="AJ74" s="160"/>
      <c r="AK74" s="160"/>
      <c r="AL74" s="160"/>
      <c r="AM74" s="160"/>
      <c r="AN74" s="160"/>
      <c r="AO74" s="160"/>
      <c r="AP74" s="160"/>
      <c r="AQ74" s="160"/>
      <c r="AR74" s="160"/>
      <c r="AS74" s="160"/>
      <c r="AT74" s="160"/>
      <c r="AU74" s="160"/>
      <c r="AV74" s="160"/>
      <c r="AW74" s="160"/>
      <c r="AX74" s="160"/>
      <c r="AY74" s="160"/>
      <c r="AZ74" s="160"/>
      <c r="BA74" s="160"/>
      <c r="BB74" s="160"/>
      <c r="BC74" s="160"/>
      <c r="BD74" s="160"/>
      <c r="BE74" s="160"/>
      <c r="BF74" s="160"/>
    </row>
    <row r="75" spans="2:58">
      <c r="B75" s="15"/>
      <c r="C75" s="62"/>
      <c r="D75" s="62"/>
      <c r="E75" s="62"/>
      <c r="F75" s="62"/>
      <c r="G75" s="62"/>
      <c r="H75" s="727">
        <f>CupDraw!O74</f>
        <v>0</v>
      </c>
      <c r="I75" s="73" t="str">
        <f>IF(CupDraw!P74="","",CupDraw!P74)</f>
        <v/>
      </c>
      <c r="J75" s="77" t="str">
        <f>IF(CupDraw!Q74="","",CupDraw!Q74)</f>
        <v/>
      </c>
      <c r="K75" s="66" t="str">
        <f>IF(CupDraw!R74="","",CupDraw!R74)</f>
        <v/>
      </c>
      <c r="L75" s="85"/>
      <c r="M75" s="82"/>
      <c r="N75" s="82"/>
      <c r="O75" s="82"/>
      <c r="P75" s="82"/>
      <c r="Q75" s="82"/>
      <c r="R75" s="86"/>
      <c r="S75" s="82"/>
      <c r="T75" s="82"/>
      <c r="U75" s="82"/>
      <c r="V75" s="82"/>
      <c r="W75" s="82"/>
      <c r="X75" s="87"/>
      <c r="Y75" s="82"/>
      <c r="Z75" s="82"/>
      <c r="AA75" s="82"/>
      <c r="AB75" s="82"/>
      <c r="AC75" s="82"/>
      <c r="AD75" s="160"/>
      <c r="AE75" s="160"/>
      <c r="AF75" s="160"/>
      <c r="AG75" s="160"/>
      <c r="AH75" s="160"/>
      <c r="AI75" s="160"/>
      <c r="AJ75" s="160"/>
      <c r="AK75" s="160"/>
      <c r="AL75" s="160"/>
      <c r="AM75" s="160"/>
      <c r="AN75" s="160"/>
      <c r="AO75" s="160"/>
      <c r="AP75" s="160"/>
      <c r="AQ75" s="160"/>
      <c r="AR75" s="160"/>
      <c r="AS75" s="160"/>
      <c r="AT75" s="160"/>
      <c r="AU75" s="160"/>
      <c r="AV75" s="160"/>
      <c r="AW75" s="160"/>
      <c r="AX75" s="160"/>
      <c r="AY75" s="160"/>
      <c r="AZ75" s="160"/>
      <c r="BA75" s="160"/>
      <c r="BB75" s="160"/>
      <c r="BC75" s="160"/>
      <c r="BD75" s="160"/>
      <c r="BE75" s="160"/>
      <c r="BF75" s="160"/>
    </row>
    <row r="76" spans="2:58">
      <c r="B76" s="64"/>
      <c r="C76" s="62"/>
      <c r="D76" s="62"/>
      <c r="E76" s="62"/>
      <c r="F76" s="62"/>
      <c r="G76" s="62"/>
      <c r="H76" s="726" t="str">
        <f>IF(CupDraw!O75="","",CupDraw!O75)</f>
        <v/>
      </c>
      <c r="I76" s="73" t="str">
        <f>IF(CupDraw!P75="","",CupDraw!P75)</f>
        <v/>
      </c>
      <c r="J76" s="77" t="str">
        <f>IF(CupDraw!Q75="","",CupDraw!Q75)</f>
        <v/>
      </c>
      <c r="K76" s="88" t="str">
        <f>IF(CupDraw!R75="","",CupDraw!R75)</f>
        <v/>
      </c>
      <c r="L76" s="85"/>
      <c r="M76" s="82"/>
      <c r="N76" s="82"/>
      <c r="O76" s="82"/>
      <c r="P76" s="82"/>
      <c r="Q76" s="82"/>
      <c r="R76" s="86"/>
      <c r="S76" s="82"/>
      <c r="T76" s="82"/>
      <c r="U76" s="82"/>
      <c r="V76" s="82"/>
      <c r="W76" s="82"/>
      <c r="X76" s="87"/>
      <c r="Y76" s="82"/>
      <c r="Z76" s="82"/>
      <c r="AA76" s="82"/>
      <c r="AB76" s="82"/>
      <c r="AC76" s="82"/>
      <c r="AD76" s="160"/>
      <c r="AE76" s="160"/>
      <c r="AF76" s="160"/>
      <c r="AG76" s="160"/>
      <c r="AH76" s="160"/>
      <c r="AI76" s="160"/>
      <c r="AJ76" s="160"/>
      <c r="AK76" s="160"/>
      <c r="AL76" s="160"/>
      <c r="AM76" s="160"/>
      <c r="AN76" s="160"/>
      <c r="AO76" s="160"/>
      <c r="AP76" s="160"/>
      <c r="AQ76" s="160"/>
      <c r="AR76" s="160"/>
      <c r="AS76" s="160"/>
      <c r="AT76" s="160"/>
      <c r="AU76" s="160"/>
      <c r="AV76" s="160"/>
      <c r="AW76" s="160"/>
      <c r="AX76" s="160"/>
      <c r="AY76" s="160"/>
      <c r="AZ76" s="160"/>
      <c r="BA76" s="160"/>
      <c r="BB76" s="160"/>
      <c r="BC76" s="160"/>
      <c r="BD76" s="160"/>
      <c r="BE76" s="160"/>
      <c r="BF76" s="160"/>
    </row>
    <row r="77" spans="2:58">
      <c r="B77" s="64" t="s">
        <v>147</v>
      </c>
      <c r="C77" s="82"/>
      <c r="D77" s="82"/>
      <c r="E77" s="82"/>
      <c r="F77" s="62"/>
      <c r="G77" s="62"/>
      <c r="H77" s="727">
        <f>CupDraw!O76</f>
        <v>0</v>
      </c>
      <c r="I77" s="73" t="str">
        <f>IF(CupDraw!P76="","",CupDraw!P76)</f>
        <v/>
      </c>
      <c r="J77" s="77" t="str">
        <f>IF(CupDraw!Q76="","",CupDraw!Q76)</f>
        <v/>
      </c>
      <c r="K77" s="66" t="str">
        <f>IF(CupDraw!R76="","",CupDraw!R76)</f>
        <v/>
      </c>
      <c r="L77" s="85"/>
      <c r="M77" s="82"/>
      <c r="N77" s="82"/>
      <c r="O77" s="82"/>
      <c r="P77" s="82"/>
      <c r="Q77" s="82"/>
      <c r="R77" s="86"/>
      <c r="S77" s="82"/>
      <c r="T77" s="82"/>
      <c r="U77" s="82"/>
      <c r="V77" s="82"/>
      <c r="W77" s="82"/>
      <c r="X77" s="87"/>
      <c r="Y77" s="82"/>
      <c r="Z77" s="82"/>
      <c r="AA77" s="82"/>
      <c r="AB77" s="82"/>
      <c r="AC77" s="82"/>
      <c r="AD77" s="160"/>
      <c r="AE77" s="160"/>
      <c r="AF77" s="160"/>
      <c r="AG77" s="160"/>
      <c r="AH77" s="160"/>
      <c r="AI77" s="160"/>
      <c r="AJ77" s="160"/>
      <c r="AK77" s="160"/>
      <c r="AL77" s="160"/>
      <c r="AM77" s="160"/>
      <c r="AN77" s="160"/>
      <c r="AO77" s="160"/>
      <c r="AP77" s="160"/>
      <c r="AQ77" s="160"/>
      <c r="AR77" s="160"/>
      <c r="AS77" s="160"/>
      <c r="AT77" s="160"/>
      <c r="AU77" s="160"/>
      <c r="AV77" s="160"/>
      <c r="AW77" s="160"/>
      <c r="AX77" s="160"/>
      <c r="AY77" s="160"/>
      <c r="AZ77" s="160"/>
      <c r="BA77" s="160"/>
      <c r="BB77" s="160"/>
      <c r="BC77" s="160"/>
      <c r="BD77" s="160"/>
      <c r="BE77" s="160"/>
      <c r="BF77" s="160"/>
    </row>
    <row r="78" spans="2:58">
      <c r="B78" s="65"/>
      <c r="C78" s="73" t="str">
        <f>IF(CupDraw!J79="","",CupDraw!J79)</f>
        <v/>
      </c>
      <c r="D78" s="77" t="str">
        <f>IF(CupDraw!K79="","",CupDraw!K79)</f>
        <v/>
      </c>
      <c r="E78" s="730" t="str">
        <f>IF(CupDraw!L79="","",CupDraw!L79)</f>
        <v/>
      </c>
      <c r="F78" s="62"/>
      <c r="G78" s="62"/>
      <c r="H78" s="726" t="str">
        <f>IF(CupDraw!O77="","",CupDraw!O77)</f>
        <v/>
      </c>
      <c r="I78" s="73" t="str">
        <f>IF(CupDraw!P77="","",CupDraw!P77)</f>
        <v/>
      </c>
      <c r="J78" s="77" t="str">
        <f>IF(CupDraw!Q77="","",CupDraw!Q77)</f>
        <v/>
      </c>
      <c r="K78" s="88" t="str">
        <f>IF(CupDraw!R77="","",CupDraw!R77)</f>
        <v/>
      </c>
      <c r="L78" s="86"/>
      <c r="M78" s="82"/>
      <c r="N78" s="82"/>
      <c r="O78" s="82"/>
      <c r="P78" s="82"/>
      <c r="Q78" s="82"/>
      <c r="R78" s="86"/>
      <c r="S78" s="82"/>
      <c r="T78" s="82"/>
      <c r="U78" s="82"/>
      <c r="V78" s="82"/>
      <c r="W78" s="82"/>
      <c r="X78" s="87"/>
      <c r="Y78" s="82"/>
      <c r="Z78" s="82"/>
      <c r="AA78" s="82"/>
      <c r="AB78" s="82"/>
      <c r="AC78" s="82"/>
      <c r="AD78" s="160"/>
      <c r="AE78" s="160"/>
      <c r="AF78" s="160"/>
      <c r="AG78" s="160"/>
      <c r="AH78" s="160"/>
      <c r="AI78" s="160"/>
      <c r="AJ78" s="160"/>
      <c r="AK78" s="160"/>
      <c r="AL78" s="160"/>
      <c r="AM78" s="160"/>
      <c r="AN78" s="160"/>
      <c r="AO78" s="160"/>
      <c r="AP78" s="160"/>
      <c r="AQ78" s="160"/>
      <c r="AR78" s="160"/>
      <c r="AS78" s="160"/>
      <c r="AT78" s="160"/>
      <c r="AU78" s="160"/>
      <c r="AV78" s="160"/>
      <c r="AW78" s="160"/>
      <c r="AX78" s="160"/>
      <c r="AY78" s="160"/>
      <c r="AZ78" s="160"/>
      <c r="BA78" s="160"/>
      <c r="BB78" s="160"/>
      <c r="BC78" s="160"/>
      <c r="BD78" s="160"/>
      <c r="BE78" s="160"/>
      <c r="BF78" s="160"/>
    </row>
    <row r="79" spans="2:58">
      <c r="B79" s="72"/>
      <c r="C79" s="73" t="str">
        <f>IF(CupDraw!J80="","",CupDraw!J80)</f>
        <v/>
      </c>
      <c r="D79" s="77" t="str">
        <f>IF(CupDraw!K80="","",CupDraw!K80)</f>
        <v/>
      </c>
      <c r="E79" s="731"/>
      <c r="F79" s="62"/>
      <c r="G79" s="62"/>
      <c r="H79" s="727">
        <f>CupDraw!O78</f>
        <v>0</v>
      </c>
      <c r="I79" s="73" t="str">
        <f>IF(CupDraw!P78="","",CupDraw!P78)</f>
        <v/>
      </c>
      <c r="J79" s="77" t="str">
        <f>IF(CupDraw!Q78="","",CupDraw!Q78)</f>
        <v/>
      </c>
      <c r="K79" s="66" t="str">
        <f>IF(CupDraw!R78="","",CupDraw!R78)</f>
        <v/>
      </c>
      <c r="L79" s="86"/>
      <c r="M79" s="82"/>
      <c r="N79" s="82"/>
      <c r="O79" s="82"/>
      <c r="P79" s="82"/>
      <c r="Q79" s="82"/>
      <c r="R79" s="86"/>
      <c r="S79" s="82"/>
      <c r="T79" s="82"/>
      <c r="U79" s="82"/>
      <c r="V79" s="82"/>
      <c r="W79" s="82"/>
      <c r="X79" s="87"/>
      <c r="Y79" s="82"/>
      <c r="Z79" s="82"/>
      <c r="AA79" s="82"/>
      <c r="AB79" s="82"/>
      <c r="AC79" s="82"/>
      <c r="AD79" s="160"/>
      <c r="AE79" s="160"/>
      <c r="AF79" s="160"/>
      <c r="AG79" s="160"/>
      <c r="AH79" s="160"/>
      <c r="AI79" s="160"/>
      <c r="AJ79" s="160"/>
      <c r="AK79" s="160"/>
      <c r="AL79" s="160"/>
      <c r="AM79" s="160"/>
      <c r="AN79" s="160"/>
      <c r="AO79" s="160"/>
      <c r="AP79" s="160"/>
      <c r="AQ79" s="160"/>
      <c r="AR79" s="160"/>
      <c r="AS79" s="160"/>
      <c r="AT79" s="160"/>
      <c r="AU79" s="160"/>
      <c r="AV79" s="160"/>
      <c r="AW79" s="160"/>
      <c r="AX79" s="160"/>
      <c r="AY79" s="160"/>
      <c r="AZ79" s="160"/>
      <c r="BA79" s="160"/>
      <c r="BB79" s="160"/>
      <c r="BC79" s="160"/>
      <c r="BD79" s="160"/>
      <c r="BE79" s="160"/>
      <c r="BF79" s="160"/>
    </row>
    <row r="80" spans="2:58">
      <c r="B80" s="137"/>
      <c r="C80" s="73" t="str">
        <f>IF(CupDraw!J81="","",CupDraw!J81)</f>
        <v/>
      </c>
      <c r="D80" s="77" t="str">
        <f>IF(CupDraw!K81="","",CupDraw!K81)</f>
        <v/>
      </c>
      <c r="E80" s="730" t="str">
        <f>IF(CupDraw!L81="","",CupDraw!L81)</f>
        <v/>
      </c>
      <c r="F80" s="62"/>
      <c r="G80" s="62"/>
      <c r="H80" s="726" t="str">
        <f>IF(CupDraw!O79="","",CupDraw!O79)</f>
        <v/>
      </c>
      <c r="I80" s="73" t="str">
        <f>IF(CupDraw!P79="","",CupDraw!P79)</f>
        <v/>
      </c>
      <c r="J80" s="77" t="str">
        <f>IF(CupDraw!Q79="","",CupDraw!Q79)</f>
        <v/>
      </c>
      <c r="K80" s="88" t="str">
        <f>IF(CupDraw!R79="","",CupDraw!R79)</f>
        <v/>
      </c>
      <c r="L80" s="86"/>
      <c r="M80" s="82"/>
      <c r="N80" s="82"/>
      <c r="O80" s="82"/>
      <c r="P80" s="82"/>
      <c r="Q80" s="82"/>
      <c r="R80" s="86"/>
      <c r="S80" s="82"/>
      <c r="T80" s="82"/>
      <c r="U80" s="82"/>
      <c r="V80" s="82"/>
      <c r="W80" s="82"/>
      <c r="X80" s="87"/>
      <c r="Y80" s="82"/>
      <c r="Z80" s="82"/>
      <c r="AA80" s="82"/>
      <c r="AB80" s="82"/>
      <c r="AC80" s="82"/>
      <c r="AD80" s="160"/>
      <c r="AE80" s="160"/>
      <c r="AF80" s="160"/>
      <c r="AG80" s="160"/>
      <c r="AH80" s="160"/>
      <c r="AI80" s="160"/>
      <c r="AJ80" s="160"/>
      <c r="AK80" s="160"/>
      <c r="AL80" s="160"/>
      <c r="AM80" s="160"/>
      <c r="AN80" s="160"/>
      <c r="AO80" s="160"/>
      <c r="AP80" s="160"/>
      <c r="AQ80" s="160"/>
      <c r="AR80" s="160"/>
      <c r="AS80" s="160"/>
      <c r="AT80" s="160"/>
      <c r="AU80" s="160"/>
      <c r="AV80" s="160"/>
      <c r="AW80" s="160"/>
      <c r="AX80" s="160"/>
      <c r="AY80" s="160"/>
      <c r="AZ80" s="160"/>
      <c r="BA80" s="160"/>
      <c r="BB80" s="160"/>
      <c r="BC80" s="160"/>
      <c r="BD80" s="160"/>
      <c r="BE80" s="160"/>
      <c r="BF80" s="160"/>
    </row>
    <row r="81" spans="2:58">
      <c r="B81" s="138"/>
      <c r="C81" s="73" t="str">
        <f>IF(CupDraw!J82="","",CupDraw!J82)</f>
        <v/>
      </c>
      <c r="D81" s="77" t="str">
        <f>IF(CupDraw!K82="","",CupDraw!K82)</f>
        <v/>
      </c>
      <c r="E81" s="731"/>
      <c r="F81" s="62"/>
      <c r="G81" s="62"/>
      <c r="H81" s="727">
        <f>CupDraw!O80</f>
        <v>0</v>
      </c>
      <c r="I81" s="73" t="str">
        <f>IF(CupDraw!P80="","",CupDraw!P80)</f>
        <v/>
      </c>
      <c r="J81" s="77" t="str">
        <f>IF(CupDraw!Q80="","",CupDraw!Q80)</f>
        <v/>
      </c>
      <c r="K81" s="66" t="str">
        <f>IF(CupDraw!R80="","",CupDraw!R80)</f>
        <v/>
      </c>
      <c r="L81" s="86"/>
      <c r="M81" s="82"/>
      <c r="N81" s="82"/>
      <c r="O81" s="82"/>
      <c r="P81" s="82"/>
      <c r="Q81" s="82"/>
      <c r="R81" s="86"/>
      <c r="S81" s="82"/>
      <c r="X81" s="87"/>
      <c r="Y81" s="82"/>
      <c r="Z81" s="82"/>
      <c r="AA81" s="82"/>
      <c r="AB81" s="82"/>
      <c r="AC81" s="82"/>
      <c r="AD81" s="160"/>
      <c r="AE81" s="160"/>
      <c r="AF81" s="160"/>
      <c r="AG81" s="160"/>
      <c r="AH81" s="160"/>
      <c r="AI81" s="160"/>
      <c r="AJ81" s="160"/>
      <c r="AK81" s="160"/>
      <c r="AL81" s="160"/>
      <c r="AM81" s="160"/>
      <c r="AN81" s="160"/>
      <c r="AO81" s="160"/>
      <c r="AP81" s="160"/>
      <c r="AQ81" s="160"/>
      <c r="AR81" s="160"/>
      <c r="AS81" s="160"/>
      <c r="AT81" s="160"/>
      <c r="AU81" s="160"/>
      <c r="AV81" s="160"/>
      <c r="AW81" s="160"/>
      <c r="AX81" s="160"/>
      <c r="AY81" s="160"/>
      <c r="AZ81" s="160"/>
      <c r="BA81" s="160"/>
      <c r="BB81" s="160"/>
      <c r="BC81" s="160"/>
      <c r="BD81" s="160"/>
      <c r="BE81" s="160"/>
      <c r="BF81" s="160"/>
    </row>
    <row r="82" spans="2:58">
      <c r="B82" s="89"/>
      <c r="C82" s="73" t="str">
        <f>IF(CupDraw!J83="","",CupDraw!J83)</f>
        <v/>
      </c>
      <c r="D82" s="77" t="str">
        <f>IF(CupDraw!K83="","",CupDraw!K83)</f>
        <v/>
      </c>
      <c r="E82" s="730" t="str">
        <f>IF(CupDraw!L83="","",CupDraw!L83)</f>
        <v/>
      </c>
      <c r="F82" s="62"/>
      <c r="G82" s="62"/>
      <c r="H82" s="726" t="str">
        <f>IF(CupDraw!O81="","",CupDraw!O81)</f>
        <v/>
      </c>
      <c r="I82" s="73" t="str">
        <f>IF(CupDraw!P81="","",CupDraw!P81)</f>
        <v/>
      </c>
      <c r="J82" s="77" t="str">
        <f>IF(CupDraw!Q81="","",CupDraw!Q81)</f>
        <v/>
      </c>
      <c r="K82" s="88" t="str">
        <f>IF(CupDraw!R81="","",CupDraw!R81)</f>
        <v/>
      </c>
      <c r="L82" s="86"/>
      <c r="M82" s="82"/>
      <c r="N82" s="82"/>
      <c r="O82" s="82"/>
      <c r="P82" s="82"/>
      <c r="Q82" s="82"/>
      <c r="R82" s="86"/>
      <c r="S82" s="82"/>
      <c r="X82" s="85"/>
      <c r="Y82" s="82"/>
      <c r="Z82" s="82"/>
      <c r="AA82" s="82"/>
      <c r="AB82" s="82"/>
      <c r="AC82" s="82"/>
      <c r="AD82" s="160"/>
      <c r="AE82" s="160"/>
      <c r="AF82" s="160"/>
      <c r="AG82" s="160"/>
      <c r="AH82" s="160"/>
      <c r="AI82" s="160"/>
      <c r="AJ82" s="160"/>
      <c r="AK82" s="160"/>
      <c r="AL82" s="160"/>
      <c r="AM82" s="160"/>
      <c r="AN82" s="160"/>
      <c r="AO82" s="160"/>
      <c r="AP82" s="160"/>
      <c r="AQ82" s="160"/>
      <c r="AR82" s="160"/>
      <c r="AS82" s="160"/>
      <c r="AT82" s="160"/>
      <c r="AU82" s="160"/>
      <c r="AV82" s="160"/>
      <c r="AW82" s="160"/>
      <c r="AX82" s="160"/>
      <c r="AY82" s="160"/>
      <c r="AZ82" s="160"/>
      <c r="BA82" s="160"/>
      <c r="BB82" s="160"/>
      <c r="BC82" s="160"/>
      <c r="BD82" s="160"/>
      <c r="BE82" s="160"/>
      <c r="BF82" s="160"/>
    </row>
    <row r="83" spans="2:58">
      <c r="B83" s="90"/>
      <c r="C83" s="73" t="str">
        <f>IF(CupDraw!J84="","",CupDraw!J84)</f>
        <v/>
      </c>
      <c r="D83" s="77" t="str">
        <f>IF(CupDraw!K84="","",CupDraw!K84)</f>
        <v/>
      </c>
      <c r="E83" s="731" t="str">
        <f>IF(CupDraw!L84="","",CupDraw!L84)</f>
        <v/>
      </c>
      <c r="F83" s="82"/>
      <c r="G83" s="82"/>
      <c r="H83" s="727">
        <f>CupDraw!O82</f>
        <v>0</v>
      </c>
      <c r="I83" s="73" t="str">
        <f>IF(CupDraw!P82="","",CupDraw!P82)</f>
        <v/>
      </c>
      <c r="J83" s="77" t="str">
        <f>IF(CupDraw!Q82="","",CupDraw!Q82)</f>
        <v/>
      </c>
      <c r="K83" s="66" t="str">
        <f>IF(CupDraw!R82="","",CupDraw!R82)</f>
        <v/>
      </c>
      <c r="L83" s="87"/>
      <c r="M83" s="82"/>
      <c r="N83" s="82"/>
      <c r="O83" s="82"/>
      <c r="P83" s="82"/>
      <c r="Q83" s="82"/>
      <c r="R83" s="87"/>
      <c r="S83" s="82"/>
      <c r="X83" s="85"/>
      <c r="Y83" s="82"/>
      <c r="Z83" s="82"/>
      <c r="AA83" s="82"/>
      <c r="AB83" s="82"/>
      <c r="AC83" s="82"/>
      <c r="AD83" s="160"/>
      <c r="AE83" s="160"/>
      <c r="AF83" s="160"/>
      <c r="AG83" s="160"/>
      <c r="AH83" s="160"/>
      <c r="AI83" s="160"/>
      <c r="AJ83" s="160"/>
      <c r="AK83" s="160"/>
      <c r="AL83" s="160"/>
      <c r="AM83" s="160"/>
      <c r="AN83" s="160"/>
      <c r="AO83" s="160"/>
      <c r="AP83" s="160"/>
      <c r="AQ83" s="160"/>
      <c r="AR83" s="160"/>
      <c r="AS83" s="160"/>
      <c r="AT83" s="160"/>
      <c r="AU83" s="160"/>
      <c r="AV83" s="160"/>
      <c r="AW83" s="160"/>
      <c r="AX83" s="160"/>
      <c r="AY83" s="160"/>
      <c r="AZ83" s="160"/>
      <c r="BA83" s="160"/>
      <c r="BB83" s="160"/>
      <c r="BC83" s="160"/>
      <c r="BD83" s="160"/>
      <c r="BE83" s="160"/>
      <c r="BF83" s="160"/>
    </row>
    <row r="84" spans="2:58">
      <c r="B84" s="137"/>
      <c r="C84" s="73" t="str">
        <f>IF(CupDraw!J85="","",CupDraw!J85)</f>
        <v/>
      </c>
      <c r="D84" s="77" t="str">
        <f>IF(CupDraw!K85="","",CupDraw!K85)</f>
        <v/>
      </c>
      <c r="E84" s="730" t="str">
        <f>IF(CupDraw!L85="","",CupDraw!L85)</f>
        <v/>
      </c>
      <c r="F84" s="82"/>
      <c r="G84" s="82"/>
      <c r="H84" s="726" t="str">
        <f>IF(CupDraw!O83="","",CupDraw!O83)</f>
        <v/>
      </c>
      <c r="I84" s="73" t="str">
        <f>IF(CupDraw!P83="","",CupDraw!P83)</f>
        <v/>
      </c>
      <c r="J84" s="77" t="str">
        <f>IF(CupDraw!Q83="","",CupDraw!Q83)</f>
        <v/>
      </c>
      <c r="K84" s="88" t="str">
        <f>IF(CupDraw!R83="","",CupDraw!R83)</f>
        <v/>
      </c>
      <c r="L84" s="87"/>
      <c r="M84" s="82"/>
      <c r="N84" s="82"/>
      <c r="O84" s="82"/>
      <c r="P84" s="82"/>
      <c r="Q84" s="82"/>
      <c r="R84" s="87"/>
      <c r="S84" s="82"/>
      <c r="X84" s="1"/>
      <c r="Y84" s="82"/>
      <c r="Z84" s="82"/>
      <c r="AA84" s="82"/>
      <c r="AB84" s="82"/>
      <c r="AC84" s="82"/>
      <c r="AD84" s="160"/>
      <c r="AE84" s="160"/>
      <c r="AF84" s="160"/>
      <c r="AG84" s="160"/>
      <c r="AH84" s="160"/>
      <c r="AI84" s="160"/>
      <c r="AJ84" s="160"/>
      <c r="AK84" s="160"/>
      <c r="AL84" s="160"/>
      <c r="AM84" s="160"/>
      <c r="AN84" s="160"/>
      <c r="AO84" s="160"/>
      <c r="AP84" s="160"/>
      <c r="AQ84" s="160"/>
      <c r="AR84" s="160"/>
      <c r="AS84" s="160"/>
      <c r="AT84" s="160"/>
      <c r="AU84" s="160"/>
      <c r="AV84" s="160"/>
      <c r="AW84" s="160"/>
      <c r="AX84" s="160"/>
      <c r="AY84" s="160"/>
      <c r="AZ84" s="160"/>
      <c r="BA84" s="160"/>
      <c r="BB84" s="160"/>
      <c r="BC84" s="160"/>
      <c r="BD84" s="160"/>
      <c r="BE84" s="160"/>
      <c r="BF84" s="160"/>
    </row>
    <row r="85" spans="2:58">
      <c r="B85" s="138"/>
      <c r="C85" s="73" t="str">
        <f>IF(CupDraw!J86="","",CupDraw!J86)</f>
        <v/>
      </c>
      <c r="D85" s="77" t="str">
        <f>IF(CupDraw!K86="","",CupDraw!K86)</f>
        <v/>
      </c>
      <c r="E85" s="731" t="str">
        <f>IF(CupDraw!L86="","",CupDraw!L86)</f>
        <v/>
      </c>
      <c r="F85" s="82"/>
      <c r="G85" s="82"/>
      <c r="H85" s="727">
        <f>CupDraw!O84</f>
        <v>0</v>
      </c>
      <c r="I85" s="73" t="str">
        <f>IF(CupDraw!P84="","",CupDraw!P84)</f>
        <v/>
      </c>
      <c r="J85" s="77" t="str">
        <f>IF(CupDraw!Q84="","",CupDraw!Q84)</f>
        <v/>
      </c>
      <c r="K85" s="66" t="str">
        <f>IF(CupDraw!R84="","",CupDraw!R84)</f>
        <v/>
      </c>
      <c r="L85" s="87"/>
      <c r="M85" s="82"/>
      <c r="N85" s="82"/>
      <c r="O85" s="82"/>
      <c r="P85" s="82"/>
      <c r="Q85" s="82"/>
      <c r="R85" s="87"/>
      <c r="S85" s="82"/>
      <c r="X85" s="86"/>
      <c r="Y85" s="82"/>
      <c r="Z85" s="82"/>
      <c r="AA85" s="82"/>
      <c r="AB85" s="82"/>
      <c r="AC85" s="82"/>
      <c r="AD85" s="160"/>
      <c r="AE85" s="160"/>
      <c r="AF85" s="160"/>
      <c r="AG85" s="160"/>
      <c r="AH85" s="160"/>
      <c r="AI85" s="160"/>
      <c r="AJ85" s="160"/>
      <c r="AK85" s="160"/>
      <c r="AL85" s="160"/>
      <c r="AM85" s="160"/>
      <c r="AN85" s="160"/>
      <c r="AO85" s="160"/>
      <c r="AP85" s="160"/>
      <c r="AQ85" s="160"/>
      <c r="AR85" s="160"/>
      <c r="AS85" s="160"/>
      <c r="AT85" s="160"/>
      <c r="AU85" s="160"/>
      <c r="AV85" s="160"/>
      <c r="AW85" s="160"/>
      <c r="AX85" s="160"/>
      <c r="AY85" s="160"/>
      <c r="AZ85" s="160"/>
      <c r="BA85" s="160"/>
      <c r="BB85" s="160"/>
      <c r="BC85" s="160"/>
      <c r="BD85" s="160"/>
      <c r="BE85" s="160"/>
      <c r="BF85" s="160"/>
    </row>
    <row r="86" spans="2:58">
      <c r="B86" s="89"/>
      <c r="C86" s="73" t="str">
        <f>IF(CupDraw!J87="","",CupDraw!J87)</f>
        <v/>
      </c>
      <c r="D86" s="77" t="str">
        <f>IF(CupDraw!K87="","",CupDraw!K87)</f>
        <v/>
      </c>
      <c r="E86" s="730" t="str">
        <f>IF(CupDraw!L87="","",CupDraw!L87)</f>
        <v/>
      </c>
      <c r="F86" s="82"/>
      <c r="G86" s="82"/>
      <c r="H86" s="726" t="str">
        <f>IF(CupDraw!O85="","",CupDraw!O85)</f>
        <v/>
      </c>
      <c r="I86" s="73" t="str">
        <f>IF(CupDraw!P85="","",CupDraw!P85)</f>
        <v/>
      </c>
      <c r="J86" s="77" t="str">
        <f>IF(CupDraw!Q85="","",CupDraw!Q85)</f>
        <v/>
      </c>
      <c r="K86" s="88" t="str">
        <f>IF(CupDraw!R85="","",CupDraw!R85)</f>
        <v/>
      </c>
      <c r="L86" s="87"/>
      <c r="M86" s="82"/>
      <c r="N86" s="82"/>
      <c r="O86" s="82"/>
      <c r="P86" s="82"/>
      <c r="Q86" s="82"/>
      <c r="R86" s="87"/>
      <c r="S86" s="82"/>
      <c r="X86" s="86"/>
      <c r="Y86" s="82"/>
      <c r="Z86" s="82"/>
      <c r="AA86" s="82"/>
      <c r="AB86" s="82"/>
      <c r="AC86" s="82"/>
      <c r="AD86" s="160"/>
      <c r="AE86" s="160"/>
      <c r="AF86" s="160"/>
      <c r="AG86" s="160"/>
      <c r="AH86" s="160"/>
      <c r="AI86" s="160"/>
      <c r="AJ86" s="160"/>
      <c r="AK86" s="160"/>
      <c r="AL86" s="160"/>
      <c r="AM86" s="160"/>
      <c r="AN86" s="160"/>
      <c r="AO86" s="160"/>
      <c r="AP86" s="160"/>
      <c r="AQ86" s="160"/>
      <c r="AR86" s="160"/>
      <c r="AS86" s="160"/>
      <c r="AT86" s="160"/>
      <c r="AU86" s="160"/>
      <c r="AV86" s="160"/>
      <c r="AW86" s="160"/>
      <c r="AX86" s="160"/>
      <c r="AY86" s="160"/>
      <c r="AZ86" s="160"/>
      <c r="BA86" s="160"/>
      <c r="BB86" s="160"/>
      <c r="BC86" s="160"/>
      <c r="BD86" s="160"/>
      <c r="BE86" s="160"/>
      <c r="BF86" s="160"/>
    </row>
    <row r="87" spans="2:58">
      <c r="B87" s="90"/>
      <c r="C87" s="73" t="str">
        <f>IF(CupDraw!J88="","",CupDraw!J88)</f>
        <v/>
      </c>
      <c r="D87" s="77" t="str">
        <f>IF(CupDraw!K88="","",CupDraw!K88)</f>
        <v/>
      </c>
      <c r="E87" s="731" t="str">
        <f>IF(CupDraw!L88="","",CupDraw!L88)</f>
        <v/>
      </c>
      <c r="F87" s="82"/>
      <c r="G87" s="82"/>
      <c r="H87" s="727">
        <f>CupDraw!O86</f>
        <v>0</v>
      </c>
      <c r="I87" s="73" t="str">
        <f>IF(CupDraw!P86="","",CupDraw!P86)</f>
        <v/>
      </c>
      <c r="J87" s="77" t="str">
        <f>IF(CupDraw!Q86="","",CupDraw!Q86)</f>
        <v/>
      </c>
      <c r="K87" s="66" t="str">
        <f>IF(CupDraw!R86="","",CupDraw!R86)</f>
        <v/>
      </c>
      <c r="L87" s="87"/>
      <c r="M87" s="82"/>
      <c r="N87" s="82"/>
      <c r="O87" s="82"/>
      <c r="P87" s="82"/>
      <c r="Q87" s="82"/>
      <c r="R87" s="87"/>
      <c r="S87" s="82"/>
      <c r="X87" s="86"/>
      <c r="Y87" s="82"/>
      <c r="Z87" s="82"/>
      <c r="AA87" s="82"/>
      <c r="AB87" s="82"/>
      <c r="AC87" s="82"/>
      <c r="AD87" s="160"/>
      <c r="AE87" s="160"/>
      <c r="AF87" s="160"/>
      <c r="AG87" s="160"/>
      <c r="AH87" s="160"/>
      <c r="AI87" s="160"/>
      <c r="AJ87" s="160"/>
      <c r="AK87" s="160"/>
      <c r="AL87" s="160"/>
      <c r="AM87" s="160"/>
      <c r="AN87" s="160"/>
      <c r="AO87" s="160"/>
      <c r="AP87" s="160"/>
      <c r="AQ87" s="160"/>
      <c r="AR87" s="160"/>
      <c r="AS87" s="160"/>
      <c r="AT87" s="160"/>
      <c r="AU87" s="160"/>
      <c r="AV87" s="160"/>
      <c r="AW87" s="160"/>
      <c r="AX87" s="160"/>
      <c r="AY87" s="160"/>
      <c r="AZ87" s="160"/>
      <c r="BA87" s="160"/>
      <c r="BB87" s="160"/>
      <c r="BC87" s="160"/>
      <c r="BD87" s="160"/>
      <c r="BE87" s="160"/>
      <c r="BF87" s="160"/>
    </row>
    <row r="88" spans="2:58">
      <c r="B88" s="726"/>
      <c r="C88" s="73" t="str">
        <f>IF(CupDraw!J89="","",CupDraw!J89)</f>
        <v/>
      </c>
      <c r="D88" s="77" t="str">
        <f>IF(CupDraw!K89="","",CupDraw!K89)</f>
        <v/>
      </c>
      <c r="E88" s="730" t="str">
        <f>IF(CupDraw!L89="","",CupDraw!L89)</f>
        <v/>
      </c>
      <c r="F88" s="82"/>
      <c r="G88" s="82"/>
      <c r="H88" s="726" t="str">
        <f>IF(CupDraw!O87="","",CupDraw!O87)</f>
        <v/>
      </c>
      <c r="I88" s="73" t="str">
        <f>IF(CupDraw!P87="","",CupDraw!P87)</f>
        <v/>
      </c>
      <c r="J88" s="77" t="str">
        <f>IF(CupDraw!Q87="","",CupDraw!Q87)</f>
        <v/>
      </c>
      <c r="K88" s="88" t="str">
        <f>IF(CupDraw!R87="","",CupDraw!R87)</f>
        <v/>
      </c>
      <c r="L88" s="87"/>
      <c r="M88" s="82"/>
      <c r="N88" s="82"/>
      <c r="O88" s="82"/>
      <c r="P88" s="82"/>
      <c r="Q88" s="82"/>
      <c r="R88" s="87"/>
      <c r="S88" s="82"/>
      <c r="X88" s="86"/>
      <c r="Y88" s="82"/>
      <c r="Z88" s="82"/>
      <c r="AA88" s="82"/>
      <c r="AB88" s="82"/>
      <c r="AC88" s="82"/>
      <c r="AD88" s="160"/>
      <c r="AE88" s="160"/>
      <c r="AF88" s="160"/>
      <c r="AG88" s="160"/>
      <c r="AH88" s="160"/>
      <c r="AI88" s="160"/>
      <c r="AJ88" s="160"/>
      <c r="AK88" s="160"/>
      <c r="AL88" s="160"/>
      <c r="AM88" s="160"/>
      <c r="AN88" s="160"/>
      <c r="AO88" s="160"/>
      <c r="AP88" s="160"/>
      <c r="AQ88" s="160"/>
      <c r="AR88" s="160"/>
      <c r="AS88" s="160"/>
      <c r="AT88" s="160"/>
      <c r="AU88" s="160"/>
      <c r="AV88" s="160"/>
      <c r="AW88" s="160"/>
      <c r="AX88" s="160"/>
      <c r="AY88" s="160"/>
      <c r="AZ88" s="160"/>
      <c r="BA88" s="160"/>
      <c r="BB88" s="160"/>
      <c r="BC88" s="160"/>
      <c r="BD88" s="160"/>
      <c r="BE88" s="160"/>
      <c r="BF88" s="160"/>
    </row>
    <row r="89" spans="2:58">
      <c r="B89" s="727"/>
      <c r="C89" s="73" t="str">
        <f>IF(CupDraw!J90="","",CupDraw!J90)</f>
        <v/>
      </c>
      <c r="D89" s="77" t="str">
        <f>IF(CupDraw!K90="","",CupDraw!K90)</f>
        <v/>
      </c>
      <c r="E89" s="731" t="str">
        <f>IF(CupDraw!L90="","",CupDraw!L90)</f>
        <v/>
      </c>
      <c r="F89" s="82"/>
      <c r="G89" s="82"/>
      <c r="H89" s="727">
        <f>CupDraw!O88</f>
        <v>0</v>
      </c>
      <c r="I89" s="73" t="str">
        <f>IF(CupDraw!P88="","",CupDraw!P88)</f>
        <v/>
      </c>
      <c r="J89" s="77" t="str">
        <f>IF(CupDraw!Q88="","",CupDraw!Q88)</f>
        <v/>
      </c>
      <c r="K89" s="66" t="str">
        <f>IF(CupDraw!R88="","",CupDraw!R88)</f>
        <v/>
      </c>
      <c r="L89" s="87"/>
      <c r="M89" s="82"/>
      <c r="N89" s="82"/>
      <c r="O89" s="82"/>
      <c r="P89" s="82"/>
      <c r="Q89" s="82"/>
      <c r="R89" s="87"/>
      <c r="S89" s="82"/>
      <c r="X89" s="86"/>
      <c r="Y89" s="82"/>
      <c r="Z89" s="82"/>
      <c r="AA89" s="82"/>
      <c r="AB89" s="82"/>
      <c r="AC89" s="82"/>
      <c r="AD89" s="160"/>
      <c r="AE89" s="160"/>
      <c r="AF89" s="160"/>
      <c r="AG89" s="160"/>
      <c r="AH89" s="160"/>
      <c r="AI89" s="160"/>
      <c r="AJ89" s="160"/>
      <c r="AK89" s="160"/>
      <c r="AL89" s="160"/>
      <c r="AM89" s="160"/>
      <c r="AN89" s="160"/>
      <c r="AO89" s="160"/>
      <c r="AP89" s="160"/>
      <c r="AQ89" s="160"/>
      <c r="AR89" s="160"/>
      <c r="AS89" s="160"/>
      <c r="AT89" s="160"/>
      <c r="AU89" s="160"/>
      <c r="AV89" s="160"/>
      <c r="AW89" s="160"/>
      <c r="AX89" s="160"/>
      <c r="AY89" s="160"/>
      <c r="AZ89" s="160"/>
      <c r="BA89" s="160"/>
      <c r="BB89" s="160"/>
      <c r="BC89" s="160"/>
      <c r="BD89" s="160"/>
      <c r="BE89" s="160"/>
      <c r="BF89" s="160"/>
    </row>
    <row r="90" spans="2:58">
      <c r="B90" s="89"/>
      <c r="C90" s="73" t="str">
        <f>IF(CupDraw!J91="","",CupDraw!J91)</f>
        <v/>
      </c>
      <c r="D90" s="77" t="str">
        <f>IF(CupDraw!K91="","",CupDraw!K91)</f>
        <v/>
      </c>
      <c r="E90" s="730" t="str">
        <f>IF(CupDraw!L91="","",CupDraw!L91)</f>
        <v/>
      </c>
      <c r="F90" s="82"/>
      <c r="G90" s="82"/>
      <c r="H90" s="726" t="str">
        <f>IF(CupDraw!O89="","",CupDraw!O89)</f>
        <v/>
      </c>
      <c r="I90" s="73" t="str">
        <f>IF(CupDraw!P89="","",CupDraw!P89)</f>
        <v/>
      </c>
      <c r="J90" s="77" t="str">
        <f>IF(CupDraw!Q89="","",CupDraw!Q89)</f>
        <v/>
      </c>
      <c r="K90" s="88" t="str">
        <f>IF(CupDraw!R89="","",CupDraw!R89)</f>
        <v/>
      </c>
      <c r="L90" s="87"/>
      <c r="M90" s="82"/>
      <c r="N90" s="82"/>
      <c r="O90" s="82"/>
      <c r="P90" s="82"/>
      <c r="Q90" s="82"/>
      <c r="R90" s="87"/>
      <c r="S90" s="82"/>
      <c r="X90" s="86"/>
      <c r="Y90" s="82"/>
      <c r="Z90" s="82"/>
      <c r="AA90" s="82"/>
      <c r="AB90" s="82"/>
      <c r="AC90" s="82"/>
      <c r="AD90" s="160"/>
      <c r="AE90" s="160"/>
      <c r="AF90" s="160"/>
      <c r="AG90" s="160"/>
      <c r="AH90" s="160"/>
      <c r="AI90" s="160"/>
      <c r="AJ90" s="160"/>
      <c r="AK90" s="160"/>
      <c r="AL90" s="160"/>
      <c r="AM90" s="160"/>
      <c r="AN90" s="160"/>
      <c r="AO90" s="160"/>
      <c r="AP90" s="160"/>
      <c r="AQ90" s="160"/>
      <c r="AR90" s="160"/>
      <c r="AS90" s="160"/>
      <c r="AT90" s="160"/>
      <c r="AU90" s="160"/>
      <c r="AV90" s="160"/>
      <c r="AW90" s="160"/>
      <c r="AX90" s="160"/>
      <c r="AY90" s="160"/>
      <c r="AZ90" s="160"/>
      <c r="BA90" s="160"/>
      <c r="BB90" s="160"/>
      <c r="BC90" s="160"/>
      <c r="BD90" s="160"/>
      <c r="BE90" s="160"/>
      <c r="BF90" s="160"/>
    </row>
    <row r="91" spans="2:58">
      <c r="B91" s="90"/>
      <c r="C91" s="73" t="str">
        <f>IF(CupDraw!J92="","",CupDraw!J92)</f>
        <v/>
      </c>
      <c r="D91" s="77" t="str">
        <f>IF(CupDraw!K92="","",CupDraw!K92)</f>
        <v/>
      </c>
      <c r="E91" s="731" t="str">
        <f>IF(CupDraw!L92="","",CupDraw!L92)</f>
        <v/>
      </c>
      <c r="F91" s="82"/>
      <c r="G91" s="82"/>
      <c r="H91" s="727">
        <f>CupDraw!O90</f>
        <v>0</v>
      </c>
      <c r="I91" s="73" t="str">
        <f>IF(CupDraw!P90="","",CupDraw!P90)</f>
        <v/>
      </c>
      <c r="J91" s="77" t="str">
        <f>IF(CupDraw!Q90="","",CupDraw!Q90)</f>
        <v/>
      </c>
      <c r="K91" s="66" t="str">
        <f>IF(CupDraw!R90="","",CupDraw!R90)</f>
        <v/>
      </c>
      <c r="L91" s="87"/>
      <c r="M91" s="82"/>
      <c r="N91" s="82"/>
      <c r="O91" s="82"/>
      <c r="P91" s="82"/>
      <c r="Q91" s="82"/>
      <c r="R91" s="87"/>
      <c r="S91" s="82"/>
      <c r="T91" s="82"/>
      <c r="U91" s="82"/>
      <c r="V91" s="82"/>
      <c r="W91" s="82"/>
      <c r="X91" s="87"/>
      <c r="Y91" s="82"/>
      <c r="Z91" s="82"/>
      <c r="AA91" s="82"/>
      <c r="AB91" s="82"/>
      <c r="AC91" s="82"/>
      <c r="AD91" s="160"/>
      <c r="AE91" s="160"/>
      <c r="AF91" s="160"/>
      <c r="AG91" s="160"/>
      <c r="AH91" s="160"/>
      <c r="AI91" s="160"/>
      <c r="AJ91" s="160"/>
      <c r="AK91" s="160"/>
      <c r="AL91" s="160"/>
      <c r="AM91" s="160"/>
      <c r="AN91" s="160"/>
      <c r="AO91" s="160"/>
      <c r="AP91" s="160"/>
      <c r="AQ91" s="160"/>
      <c r="AR91" s="160"/>
      <c r="AS91" s="160"/>
      <c r="AT91" s="160"/>
      <c r="AU91" s="160"/>
      <c r="AV91" s="160"/>
      <c r="AW91" s="160"/>
      <c r="AX91" s="160"/>
      <c r="AY91" s="160"/>
      <c r="AZ91" s="160"/>
      <c r="BA91" s="160"/>
      <c r="BB91" s="160"/>
      <c r="BC91" s="160"/>
      <c r="BD91" s="160"/>
      <c r="BE91" s="160"/>
      <c r="BF91" s="160"/>
    </row>
    <row r="92" spans="2:58">
      <c r="B92" s="726"/>
      <c r="C92" s="73" t="str">
        <f>IF(CupDraw!J93="","",CupDraw!J93)</f>
        <v/>
      </c>
      <c r="D92" s="77" t="str">
        <f>IF(CupDraw!K93="","",CupDraw!K93)</f>
        <v/>
      </c>
      <c r="E92" s="730" t="str">
        <f>IF(CupDraw!L93="","",CupDraw!L93)</f>
        <v/>
      </c>
      <c r="F92" s="82"/>
      <c r="G92" s="82"/>
      <c r="H92" s="726" t="str">
        <f>IF(CupDraw!O91="","",CupDraw!O91)</f>
        <v/>
      </c>
      <c r="I92" s="73" t="str">
        <f>IF(CupDraw!P91="","",CupDraw!P91)</f>
        <v/>
      </c>
      <c r="J92" s="77" t="str">
        <f>IF(CupDraw!Q91="","",CupDraw!Q91)</f>
        <v/>
      </c>
      <c r="K92" s="88" t="str">
        <f>IF(CupDraw!R91="","",CupDraw!R91)</f>
        <v/>
      </c>
      <c r="L92" s="87"/>
      <c r="M92" s="82"/>
      <c r="N92" s="82"/>
      <c r="O92" s="82"/>
      <c r="P92" s="82"/>
      <c r="Q92" s="82"/>
      <c r="R92" s="87"/>
      <c r="S92" s="82"/>
      <c r="T92" s="82"/>
      <c r="U92" s="82"/>
      <c r="V92" s="82"/>
      <c r="W92" s="82"/>
      <c r="X92" s="87"/>
      <c r="Y92" s="82"/>
      <c r="Z92" s="82"/>
      <c r="AA92" s="82"/>
      <c r="AB92" s="82"/>
      <c r="AC92" s="82"/>
      <c r="AD92" s="160"/>
      <c r="AE92" s="160"/>
      <c r="AF92" s="160"/>
      <c r="AG92" s="160"/>
      <c r="AH92" s="160"/>
      <c r="AI92" s="160"/>
      <c r="AJ92" s="160"/>
      <c r="AK92" s="160"/>
      <c r="AL92" s="160"/>
      <c r="AM92" s="160"/>
      <c r="AN92" s="160"/>
      <c r="AO92" s="160"/>
      <c r="AP92" s="160"/>
      <c r="AQ92" s="160"/>
      <c r="AR92" s="160"/>
      <c r="AS92" s="160"/>
      <c r="AT92" s="160"/>
      <c r="AU92" s="160"/>
      <c r="AV92" s="160"/>
      <c r="AW92" s="160"/>
      <c r="AX92" s="160"/>
      <c r="AY92" s="160"/>
      <c r="AZ92" s="160"/>
      <c r="BA92" s="160"/>
      <c r="BB92" s="160"/>
      <c r="BC92" s="160"/>
      <c r="BD92" s="160"/>
      <c r="BE92" s="160"/>
      <c r="BF92" s="160"/>
    </row>
    <row r="93" spans="2:58">
      <c r="B93" s="727"/>
      <c r="C93" s="73" t="str">
        <f>IF(CupDraw!J94="","",CupDraw!J94)</f>
        <v/>
      </c>
      <c r="D93" s="77" t="str">
        <f>IF(CupDraw!K94="","",CupDraw!K94)</f>
        <v/>
      </c>
      <c r="E93" s="731" t="str">
        <f>IF(CupDraw!L94="","",CupDraw!L94)</f>
        <v/>
      </c>
      <c r="F93" s="82"/>
      <c r="G93" s="82"/>
      <c r="H93" s="727">
        <f>CupDraw!O92</f>
        <v>0</v>
      </c>
      <c r="I93" s="73" t="str">
        <f>IF(CupDraw!P92="","",CupDraw!P92)</f>
        <v/>
      </c>
      <c r="J93" s="77" t="str">
        <f>IF(CupDraw!Q92="","",CupDraw!Q92)</f>
        <v/>
      </c>
      <c r="K93" s="66" t="str">
        <f>IF(CupDraw!R92="","",CupDraw!R92)</f>
        <v/>
      </c>
      <c r="L93" s="87"/>
      <c r="M93" s="82"/>
      <c r="N93" s="82"/>
      <c r="O93" s="82"/>
      <c r="P93" s="82"/>
      <c r="Q93" s="82"/>
      <c r="R93" s="87"/>
      <c r="S93" s="82"/>
      <c r="T93" s="82"/>
      <c r="U93" s="82"/>
      <c r="V93" s="82"/>
      <c r="W93" s="82"/>
      <c r="X93" s="87"/>
      <c r="Y93" s="82"/>
      <c r="Z93" s="82"/>
      <c r="AA93" s="82"/>
      <c r="AB93" s="82"/>
      <c r="AC93" s="82"/>
      <c r="AD93" s="160"/>
      <c r="AE93" s="160"/>
      <c r="AF93" s="160"/>
      <c r="AG93" s="160"/>
      <c r="AH93" s="160"/>
      <c r="AI93" s="160"/>
      <c r="AJ93" s="160"/>
      <c r="AK93" s="160"/>
      <c r="AL93" s="160"/>
      <c r="AM93" s="160"/>
      <c r="AN93" s="160"/>
      <c r="AO93" s="160"/>
      <c r="AP93" s="160"/>
      <c r="AQ93" s="160"/>
      <c r="AR93" s="160"/>
      <c r="AS93" s="160"/>
      <c r="AT93" s="160"/>
      <c r="AU93" s="160"/>
      <c r="AV93" s="160"/>
      <c r="AW93" s="160"/>
      <c r="AX93" s="160"/>
      <c r="AY93" s="160"/>
      <c r="AZ93" s="160"/>
      <c r="BA93" s="160"/>
      <c r="BB93" s="160"/>
      <c r="BC93" s="160"/>
      <c r="BD93" s="160"/>
      <c r="BE93" s="160"/>
      <c r="BF93" s="160"/>
    </row>
    <row r="94" spans="2:58">
      <c r="B94" s="139"/>
      <c r="C94" s="248" t="str">
        <f>IF(CupDraw!J95="","",CupDraw!J95)</f>
        <v/>
      </c>
      <c r="D94" s="62"/>
      <c r="E94" s="62"/>
      <c r="F94" s="82"/>
      <c r="G94" s="82"/>
      <c r="H94" s="83"/>
      <c r="I94" s="82"/>
      <c r="J94" s="82"/>
      <c r="K94" s="82"/>
      <c r="L94" s="87"/>
      <c r="M94" s="82"/>
      <c r="N94" s="82"/>
      <c r="O94" s="82"/>
      <c r="P94" s="82"/>
      <c r="Q94" s="82"/>
      <c r="R94" s="87"/>
      <c r="S94" s="82"/>
      <c r="T94" s="82"/>
      <c r="U94" s="82"/>
      <c r="V94" s="82"/>
      <c r="W94" s="82"/>
      <c r="X94" s="87"/>
      <c r="Y94" s="82"/>
      <c r="Z94" s="82"/>
      <c r="AA94" s="82"/>
      <c r="AB94" s="82"/>
      <c r="AC94" s="82"/>
      <c r="AD94" s="160"/>
      <c r="AE94" s="160"/>
      <c r="AF94" s="160"/>
      <c r="AG94" s="160"/>
      <c r="AH94" s="160"/>
      <c r="AI94" s="160"/>
      <c r="AJ94" s="160"/>
      <c r="AK94" s="160"/>
      <c r="AL94" s="160"/>
      <c r="AM94" s="160"/>
      <c r="AN94" s="160"/>
      <c r="AO94" s="160"/>
      <c r="AP94" s="160"/>
      <c r="AQ94" s="160"/>
      <c r="AR94" s="160"/>
      <c r="AS94" s="160"/>
      <c r="AT94" s="160"/>
      <c r="AU94" s="160"/>
      <c r="AV94" s="160"/>
      <c r="AW94" s="160"/>
      <c r="AX94" s="160"/>
      <c r="AY94" s="160"/>
      <c r="AZ94" s="160"/>
      <c r="BA94" s="160"/>
      <c r="BB94" s="160"/>
      <c r="BC94" s="160"/>
      <c r="BD94" s="160"/>
      <c r="BE94" s="160"/>
      <c r="BF94" s="160"/>
    </row>
    <row r="95" spans="2:58">
      <c r="B95" s="99"/>
      <c r="C95" s="62"/>
      <c r="D95" s="62"/>
      <c r="E95" s="62"/>
      <c r="F95" s="82"/>
      <c r="G95" s="82"/>
      <c r="H95" s="83"/>
      <c r="I95" s="82"/>
      <c r="J95" s="82"/>
      <c r="K95" s="82"/>
      <c r="L95" s="87"/>
      <c r="M95" s="82"/>
      <c r="N95" s="82"/>
      <c r="O95" s="82"/>
      <c r="P95" s="82"/>
      <c r="Q95" s="82"/>
      <c r="R95" s="87"/>
      <c r="S95" s="82"/>
      <c r="T95" s="82"/>
      <c r="U95" s="82"/>
      <c r="V95" s="82"/>
      <c r="W95" s="82"/>
      <c r="X95" s="87"/>
      <c r="Y95" s="82"/>
      <c r="Z95" s="82"/>
      <c r="AA95" s="82"/>
      <c r="AB95" s="82"/>
      <c r="AC95" s="82"/>
      <c r="AD95" s="160"/>
      <c r="AE95" s="160"/>
      <c r="AF95" s="160"/>
      <c r="AG95" s="160"/>
      <c r="AH95" s="160"/>
      <c r="AI95" s="160"/>
      <c r="AJ95" s="160"/>
      <c r="AK95" s="160"/>
      <c r="AL95" s="160"/>
      <c r="AM95" s="160"/>
      <c r="AN95" s="160"/>
      <c r="AO95" s="160"/>
      <c r="AP95" s="160"/>
      <c r="AQ95" s="160"/>
      <c r="AR95" s="160"/>
      <c r="AS95" s="160"/>
      <c r="AT95" s="160"/>
      <c r="AU95" s="160"/>
      <c r="AV95" s="160"/>
      <c r="AW95" s="160"/>
      <c r="AX95" s="160"/>
      <c r="AY95" s="160"/>
      <c r="AZ95" s="160"/>
      <c r="BA95" s="160"/>
      <c r="BB95" s="160"/>
      <c r="BC95" s="160"/>
      <c r="BD95" s="160"/>
      <c r="BE95" s="160"/>
      <c r="BF95" s="160"/>
    </row>
    <row r="96" spans="2:58">
      <c r="B96" s="64"/>
      <c r="C96" s="62"/>
      <c r="D96" s="62"/>
      <c r="E96" s="62"/>
      <c r="F96" s="82"/>
      <c r="G96" s="82"/>
      <c r="H96" s="83"/>
      <c r="I96" s="82"/>
      <c r="J96" s="82"/>
      <c r="K96" s="82"/>
      <c r="L96" s="87"/>
      <c r="M96" s="82"/>
      <c r="N96" s="82"/>
      <c r="O96" s="82"/>
      <c r="P96" s="82"/>
      <c r="Q96" s="82"/>
      <c r="R96" s="87"/>
      <c r="S96" s="82"/>
      <c r="T96" s="82"/>
      <c r="U96" s="82"/>
      <c r="V96" s="82"/>
      <c r="W96" s="82"/>
      <c r="X96" s="87"/>
      <c r="Y96" s="82"/>
      <c r="Z96" s="82"/>
      <c r="AA96" s="82"/>
      <c r="AB96" s="82"/>
      <c r="AC96" s="82"/>
      <c r="AD96" s="160"/>
      <c r="AE96" s="160"/>
      <c r="AF96" s="160"/>
      <c r="AG96" s="160"/>
      <c r="AH96" s="160"/>
      <c r="AI96" s="160"/>
      <c r="AJ96" s="160"/>
      <c r="AK96" s="160"/>
      <c r="AL96" s="160"/>
      <c r="AM96" s="160"/>
      <c r="AN96" s="160"/>
      <c r="AO96" s="160"/>
      <c r="AP96" s="160"/>
      <c r="AQ96" s="160"/>
      <c r="AR96" s="160"/>
      <c r="AS96" s="160"/>
      <c r="AT96" s="160"/>
      <c r="AU96" s="160"/>
      <c r="AV96" s="160"/>
      <c r="AW96" s="160"/>
      <c r="AX96" s="160"/>
      <c r="AY96" s="160"/>
      <c r="AZ96" s="160"/>
      <c r="BA96" s="160"/>
      <c r="BB96" s="160"/>
      <c r="BC96" s="160"/>
      <c r="BD96" s="160"/>
      <c r="BE96" s="160"/>
      <c r="BF96" s="160"/>
    </row>
    <row r="97" spans="2:58">
      <c r="B97" s="64"/>
      <c r="C97" s="62"/>
      <c r="D97" s="62"/>
      <c r="E97" s="62"/>
      <c r="F97" s="82"/>
      <c r="G97" s="82"/>
      <c r="H97" s="82"/>
      <c r="I97" s="82"/>
      <c r="J97" s="82"/>
      <c r="K97" s="82"/>
      <c r="L97" s="82"/>
      <c r="M97" s="82"/>
      <c r="N97" s="82"/>
      <c r="O97" s="82"/>
      <c r="P97" s="82"/>
      <c r="Q97" s="82"/>
      <c r="R97" s="82"/>
      <c r="S97" s="82"/>
      <c r="T97" s="82"/>
      <c r="U97" s="82"/>
      <c r="V97" s="82"/>
      <c r="W97" s="82"/>
      <c r="X97" s="82"/>
      <c r="Y97" s="82"/>
      <c r="Z97" s="82"/>
      <c r="AA97" s="82"/>
      <c r="AB97" s="82"/>
      <c r="AC97" s="82"/>
      <c r="AD97" s="160"/>
      <c r="AE97" s="160"/>
      <c r="AF97" s="160"/>
      <c r="AG97" s="160"/>
      <c r="AH97" s="160"/>
      <c r="AI97" s="160"/>
      <c r="AJ97" s="160"/>
      <c r="AK97" s="160"/>
      <c r="AL97" s="160"/>
      <c r="AM97" s="160"/>
      <c r="AN97" s="160"/>
      <c r="AO97" s="160"/>
      <c r="AP97" s="160"/>
      <c r="AQ97" s="160"/>
      <c r="AR97" s="160"/>
      <c r="AS97" s="160"/>
      <c r="AT97" s="160"/>
      <c r="AU97" s="160"/>
      <c r="AV97" s="160"/>
      <c r="AW97" s="160"/>
      <c r="AX97" s="160"/>
      <c r="AY97" s="160"/>
      <c r="AZ97" s="160"/>
      <c r="BA97" s="160"/>
      <c r="BB97" s="160"/>
      <c r="BC97" s="160"/>
      <c r="BD97" s="160"/>
      <c r="BE97" s="160"/>
      <c r="BF97" s="160"/>
    </row>
    <row r="98" spans="2:58">
      <c r="B98" s="64"/>
      <c r="C98" s="62"/>
      <c r="D98" s="62"/>
      <c r="E98" s="62"/>
      <c r="F98" s="82"/>
      <c r="G98" s="82"/>
      <c r="H98" s="82"/>
      <c r="I98" s="82"/>
      <c r="J98" s="82"/>
      <c r="K98" s="82"/>
      <c r="L98" s="82"/>
      <c r="M98" s="82"/>
      <c r="N98" s="82"/>
      <c r="O98" s="82"/>
      <c r="P98" s="82"/>
      <c r="Q98" s="82"/>
      <c r="R98" s="82"/>
      <c r="S98" s="82"/>
      <c r="T98" s="82"/>
      <c r="U98" s="82"/>
      <c r="V98" s="82"/>
      <c r="W98" s="82"/>
      <c r="X98" s="82"/>
      <c r="Y98" s="82"/>
      <c r="Z98" s="82"/>
      <c r="AA98" s="82"/>
      <c r="AB98" s="82"/>
      <c r="AC98" s="82"/>
      <c r="AD98" s="160"/>
      <c r="AE98" s="160"/>
      <c r="AF98" s="160"/>
      <c r="AG98" s="160"/>
      <c r="AH98" s="160"/>
      <c r="AI98" s="160"/>
      <c r="AJ98" s="160"/>
      <c r="AK98" s="160"/>
      <c r="AL98" s="160"/>
      <c r="AM98" s="160"/>
      <c r="AN98" s="160"/>
      <c r="AO98" s="160"/>
      <c r="AP98" s="160"/>
      <c r="AQ98" s="160"/>
      <c r="AR98" s="160"/>
      <c r="AS98" s="160"/>
      <c r="AT98" s="160"/>
      <c r="AU98" s="160"/>
      <c r="AV98" s="160"/>
      <c r="AW98" s="160"/>
      <c r="AX98" s="160"/>
      <c r="AY98" s="160"/>
      <c r="AZ98" s="160"/>
      <c r="BA98" s="160"/>
      <c r="BB98" s="160"/>
      <c r="BC98" s="160"/>
      <c r="BD98" s="160"/>
      <c r="BE98" s="160"/>
      <c r="BF98" s="160"/>
    </row>
    <row r="99" spans="2:58">
      <c r="B99" s="64"/>
      <c r="C99" s="62"/>
      <c r="D99" s="62"/>
      <c r="E99" s="62"/>
      <c r="F99" s="82"/>
      <c r="G99" s="82"/>
      <c r="H99" s="82"/>
      <c r="I99" s="82"/>
      <c r="J99" s="82"/>
      <c r="K99" s="82"/>
      <c r="L99" s="82"/>
      <c r="M99" s="82"/>
      <c r="N99" s="82"/>
      <c r="O99" s="82"/>
      <c r="P99" s="82"/>
      <c r="Q99" s="82"/>
      <c r="R99" s="82"/>
      <c r="S99" s="82"/>
      <c r="T99" s="82"/>
      <c r="U99" s="82"/>
      <c r="V99" s="82"/>
      <c r="W99" s="82"/>
      <c r="X99" s="82"/>
      <c r="Y99" s="82"/>
      <c r="Z99" s="82"/>
      <c r="AA99" s="82"/>
      <c r="AB99" s="82"/>
      <c r="AC99" s="82"/>
      <c r="AD99" s="160"/>
      <c r="AE99" s="160"/>
      <c r="AF99" s="160"/>
      <c r="AG99" s="160"/>
      <c r="AH99" s="160"/>
      <c r="AI99" s="160"/>
      <c r="AJ99" s="160"/>
      <c r="AK99" s="160"/>
      <c r="AL99" s="160"/>
      <c r="AM99" s="160"/>
      <c r="AN99" s="160"/>
      <c r="AO99" s="160"/>
      <c r="AP99" s="160"/>
      <c r="AQ99" s="160"/>
      <c r="AR99" s="160"/>
      <c r="AS99" s="160"/>
      <c r="AT99" s="160"/>
      <c r="AU99" s="160"/>
      <c r="AV99" s="160"/>
      <c r="AW99" s="160"/>
      <c r="AX99" s="160"/>
      <c r="AY99" s="160"/>
      <c r="AZ99" s="160"/>
      <c r="BA99" s="160"/>
      <c r="BB99" s="160"/>
      <c r="BC99" s="160"/>
      <c r="BD99" s="160"/>
      <c r="BE99" s="160"/>
      <c r="BF99" s="160"/>
    </row>
    <row r="100" spans="2:58">
      <c r="B100" s="64"/>
      <c r="C100" s="62"/>
      <c r="D100" s="62"/>
      <c r="E100" s="62"/>
      <c r="F100" s="82"/>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160"/>
      <c r="AE100" s="160"/>
      <c r="AF100" s="160"/>
      <c r="AG100" s="160"/>
      <c r="AH100" s="160"/>
      <c r="AI100" s="160"/>
      <c r="AJ100" s="160"/>
      <c r="AK100" s="160"/>
      <c r="AL100" s="160"/>
      <c r="AM100" s="160"/>
      <c r="AN100" s="160"/>
      <c r="AO100" s="160"/>
      <c r="AP100" s="160"/>
      <c r="AQ100" s="160"/>
      <c r="AR100" s="160"/>
      <c r="AS100" s="160"/>
      <c r="AT100" s="160"/>
      <c r="AU100" s="160"/>
      <c r="AV100" s="160"/>
      <c r="AW100" s="160"/>
      <c r="AX100" s="160"/>
      <c r="AY100" s="160"/>
      <c r="AZ100" s="160"/>
      <c r="BA100" s="160"/>
      <c r="BB100" s="160"/>
      <c r="BC100" s="160"/>
      <c r="BD100" s="160"/>
      <c r="BE100" s="160"/>
      <c r="BF100" s="160"/>
    </row>
    <row r="101" spans="2:58">
      <c r="B101" s="64"/>
      <c r="C101" s="62"/>
      <c r="D101" s="62"/>
      <c r="E101" s="6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160"/>
      <c r="AE101" s="160"/>
      <c r="AF101" s="160"/>
      <c r="AG101" s="160"/>
      <c r="AH101" s="160"/>
      <c r="AI101" s="160"/>
      <c r="AJ101" s="160"/>
      <c r="AK101" s="160"/>
      <c r="AL101" s="160"/>
      <c r="AM101" s="160"/>
      <c r="AN101" s="160"/>
      <c r="AO101" s="160"/>
      <c r="AP101" s="160"/>
      <c r="AQ101" s="160"/>
      <c r="AR101" s="160"/>
      <c r="AS101" s="160"/>
      <c r="AT101" s="160"/>
      <c r="AU101" s="160"/>
      <c r="AV101" s="160"/>
      <c r="AW101" s="160"/>
      <c r="AX101" s="160"/>
      <c r="AY101" s="160"/>
      <c r="AZ101" s="160"/>
      <c r="BA101" s="160"/>
      <c r="BB101" s="160"/>
      <c r="BC101" s="160"/>
      <c r="BD101" s="160"/>
      <c r="BE101" s="160"/>
      <c r="BF101" s="160"/>
    </row>
    <row r="102" spans="2:58">
      <c r="B102" s="64"/>
      <c r="C102" s="62"/>
      <c r="D102" s="62"/>
      <c r="E102" s="62"/>
      <c r="F102" s="82"/>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160"/>
      <c r="AE102" s="160"/>
      <c r="AF102" s="160"/>
      <c r="AG102" s="160"/>
      <c r="AH102" s="160"/>
      <c r="AI102" s="160"/>
      <c r="AJ102" s="160"/>
      <c r="AK102" s="160"/>
      <c r="AL102" s="160"/>
      <c r="AM102" s="160"/>
      <c r="AN102" s="160"/>
      <c r="AO102" s="160"/>
      <c r="AP102" s="160"/>
      <c r="AQ102" s="160"/>
      <c r="AR102" s="160"/>
      <c r="AS102" s="160"/>
      <c r="AT102" s="160"/>
      <c r="AU102" s="160"/>
      <c r="AV102" s="160"/>
      <c r="AW102" s="160"/>
      <c r="AX102" s="160"/>
      <c r="AY102" s="160"/>
      <c r="AZ102" s="160"/>
      <c r="BA102" s="160"/>
      <c r="BB102" s="160"/>
      <c r="BC102" s="160"/>
      <c r="BD102" s="160"/>
      <c r="BE102" s="160"/>
      <c r="BF102" s="160"/>
    </row>
    <row r="103" spans="2:58">
      <c r="B103" s="64"/>
      <c r="C103" s="62"/>
      <c r="D103" s="62"/>
      <c r="E103" s="6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160"/>
      <c r="AE103" s="160"/>
      <c r="AF103" s="160"/>
      <c r="AG103" s="160"/>
      <c r="AH103" s="160"/>
      <c r="AI103" s="160"/>
      <c r="AJ103" s="160"/>
      <c r="AK103" s="160"/>
      <c r="AL103" s="160"/>
      <c r="AM103" s="160"/>
      <c r="AN103" s="160"/>
      <c r="AO103" s="160"/>
      <c r="AP103" s="160"/>
      <c r="AQ103" s="160"/>
      <c r="AR103" s="160"/>
      <c r="AS103" s="160"/>
      <c r="AT103" s="160"/>
      <c r="AU103" s="160"/>
      <c r="AV103" s="160"/>
      <c r="AW103" s="160"/>
      <c r="AX103" s="160"/>
      <c r="AY103" s="160"/>
      <c r="AZ103" s="160"/>
      <c r="BA103" s="160"/>
      <c r="BB103" s="160"/>
      <c r="BC103" s="160"/>
      <c r="BD103" s="160"/>
      <c r="BE103" s="160"/>
      <c r="BF103" s="160"/>
    </row>
    <row r="104" spans="2:58">
      <c r="B104" s="64"/>
      <c r="C104" s="62"/>
      <c r="D104" s="62"/>
      <c r="E104" s="62"/>
      <c r="F104" s="82"/>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160"/>
      <c r="AE104" s="160"/>
      <c r="AF104" s="160"/>
      <c r="AG104" s="160"/>
      <c r="AH104" s="160"/>
      <c r="AI104" s="160"/>
      <c r="AJ104" s="160"/>
      <c r="AK104" s="160"/>
      <c r="AL104" s="160"/>
      <c r="AM104" s="160"/>
      <c r="AN104" s="160"/>
      <c r="AO104" s="160"/>
      <c r="AP104" s="160"/>
      <c r="AQ104" s="160"/>
      <c r="AR104" s="160"/>
      <c r="AS104" s="160"/>
      <c r="AT104" s="160"/>
      <c r="AU104" s="160"/>
      <c r="AV104" s="160"/>
      <c r="AW104" s="160"/>
      <c r="AX104" s="160"/>
      <c r="AY104" s="160"/>
      <c r="AZ104" s="160"/>
      <c r="BA104" s="160"/>
      <c r="BB104" s="160"/>
      <c r="BC104" s="160"/>
      <c r="BD104" s="160"/>
      <c r="BE104" s="160"/>
      <c r="BF104" s="160"/>
    </row>
    <row r="105" spans="2:58">
      <c r="B105" s="64"/>
      <c r="C105" s="62"/>
      <c r="D105" s="62"/>
      <c r="E105" s="62"/>
      <c r="F105" s="82"/>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160"/>
      <c r="AE105" s="160"/>
      <c r="AF105" s="160"/>
      <c r="AG105" s="160"/>
      <c r="AH105" s="160"/>
      <c r="AI105" s="160"/>
      <c r="AJ105" s="160"/>
      <c r="AK105" s="160"/>
      <c r="AL105" s="160"/>
      <c r="AM105" s="160"/>
      <c r="AN105" s="160"/>
      <c r="AO105" s="160"/>
      <c r="AP105" s="160"/>
      <c r="AQ105" s="160"/>
      <c r="AR105" s="160"/>
      <c r="AS105" s="160"/>
      <c r="AT105" s="160"/>
      <c r="AU105" s="160"/>
      <c r="AV105" s="160"/>
      <c r="AW105" s="160"/>
      <c r="AX105" s="160"/>
      <c r="AY105" s="160"/>
      <c r="AZ105" s="160"/>
      <c r="BA105" s="160"/>
      <c r="BB105" s="160"/>
      <c r="BC105" s="160"/>
      <c r="BD105" s="160"/>
      <c r="BE105" s="160"/>
      <c r="BF105" s="160"/>
    </row>
    <row r="106" spans="2:58">
      <c r="B106" s="64"/>
      <c r="C106" s="62"/>
      <c r="D106" s="62"/>
      <c r="E106" s="62"/>
      <c r="F106" s="82"/>
      <c r="G106" s="82"/>
      <c r="H106" s="82"/>
      <c r="I106" s="82"/>
      <c r="J106" s="82"/>
      <c r="K106" s="82"/>
      <c r="L106" s="82"/>
      <c r="M106" s="82"/>
      <c r="N106" s="82"/>
      <c r="O106" s="82"/>
      <c r="P106" s="82"/>
      <c r="Q106" s="82"/>
      <c r="R106" s="82"/>
      <c r="S106" s="82"/>
      <c r="T106" s="82"/>
      <c r="U106" s="82"/>
      <c r="V106" s="82"/>
      <c r="W106" s="82"/>
      <c r="X106" s="82"/>
      <c r="Y106" s="82"/>
      <c r="Z106" s="82"/>
      <c r="AA106" s="82"/>
      <c r="AB106" s="82"/>
      <c r="AC106" s="82"/>
      <c r="AD106" s="160"/>
      <c r="AE106" s="160"/>
      <c r="AF106" s="160"/>
      <c r="AG106" s="160"/>
      <c r="AH106" s="160"/>
      <c r="AI106" s="160"/>
      <c r="AJ106" s="160"/>
      <c r="AK106" s="160"/>
      <c r="AL106" s="160"/>
      <c r="AM106" s="160"/>
      <c r="AN106" s="160"/>
      <c r="AO106" s="160"/>
      <c r="AP106" s="160"/>
      <c r="AQ106" s="160"/>
      <c r="AR106" s="160"/>
      <c r="AS106" s="160"/>
      <c r="AT106" s="160"/>
      <c r="AU106" s="160"/>
      <c r="AV106" s="160"/>
      <c r="AW106" s="160"/>
      <c r="AX106" s="160"/>
      <c r="AY106" s="160"/>
      <c r="AZ106" s="160"/>
      <c r="BA106" s="160"/>
      <c r="BB106" s="160"/>
      <c r="BC106" s="160"/>
      <c r="BD106" s="160"/>
      <c r="BE106" s="160"/>
      <c r="BF106" s="160"/>
    </row>
    <row r="107" spans="2:58">
      <c r="B107" s="64"/>
      <c r="C107" s="62"/>
      <c r="D107" s="62"/>
      <c r="E107" s="62"/>
      <c r="F107" s="82"/>
      <c r="G107" s="82"/>
      <c r="H107" s="82"/>
      <c r="I107" s="82"/>
      <c r="J107" s="82"/>
      <c r="K107" s="82"/>
      <c r="L107" s="82"/>
      <c r="M107" s="82"/>
      <c r="N107" s="82"/>
      <c r="O107" s="82"/>
      <c r="P107" s="82"/>
      <c r="Q107" s="82"/>
      <c r="R107" s="82"/>
      <c r="S107" s="82"/>
      <c r="T107" s="82"/>
      <c r="U107" s="82"/>
      <c r="V107" s="82"/>
      <c r="W107" s="82"/>
      <c r="X107" s="82"/>
      <c r="Y107" s="82"/>
      <c r="Z107" s="82"/>
      <c r="AA107" s="82"/>
      <c r="AB107" s="82"/>
      <c r="AC107" s="82"/>
      <c r="AD107" s="82"/>
    </row>
    <row r="108" spans="2:58">
      <c r="B108" s="64"/>
      <c r="C108" s="62"/>
      <c r="D108" s="62"/>
      <c r="E108" s="62"/>
      <c r="F108" s="82"/>
      <c r="G108" s="82"/>
      <c r="H108" s="82"/>
      <c r="I108" s="82"/>
      <c r="J108" s="82"/>
      <c r="K108" s="82"/>
      <c r="L108" s="82"/>
      <c r="M108" s="82"/>
      <c r="N108" s="82"/>
      <c r="O108" s="82"/>
      <c r="P108" s="82"/>
      <c r="Q108" s="82"/>
      <c r="R108" s="82"/>
      <c r="S108" s="82"/>
      <c r="T108" s="82"/>
      <c r="U108" s="82"/>
      <c r="V108" s="82"/>
      <c r="W108" s="82"/>
      <c r="X108" s="82"/>
      <c r="Y108" s="82"/>
      <c r="Z108" s="82"/>
      <c r="AA108" s="82"/>
      <c r="AB108" s="82"/>
      <c r="AC108" s="82"/>
      <c r="AD108" s="82"/>
    </row>
    <row r="109" spans="2:58">
      <c r="B109" s="64"/>
      <c r="C109" s="62"/>
      <c r="D109" s="62"/>
      <c r="E109" s="62"/>
      <c r="F109" s="82"/>
      <c r="G109" s="82"/>
      <c r="H109" s="82"/>
      <c r="I109" s="82"/>
      <c r="J109" s="82"/>
      <c r="K109" s="82"/>
      <c r="L109" s="82"/>
      <c r="M109" s="82"/>
      <c r="N109" s="82"/>
      <c r="O109" s="82"/>
      <c r="P109" s="82"/>
      <c r="Q109" s="82"/>
      <c r="R109" s="82"/>
      <c r="S109" s="82"/>
      <c r="T109" s="82"/>
      <c r="U109" s="82"/>
      <c r="V109" s="82"/>
      <c r="W109" s="82"/>
      <c r="X109" s="82"/>
      <c r="Y109" s="82"/>
      <c r="Z109" s="82"/>
      <c r="AA109" s="82"/>
      <c r="AB109" s="82"/>
      <c r="AC109" s="82"/>
      <c r="AD109" s="82"/>
    </row>
    <row r="110" spans="2:58">
      <c r="B110" s="64"/>
      <c r="C110" s="62"/>
      <c r="D110" s="62"/>
      <c r="E110" s="62"/>
      <c r="F110" s="82"/>
      <c r="G110" s="82"/>
      <c r="H110" s="82"/>
      <c r="I110" s="82"/>
      <c r="J110" s="82"/>
      <c r="K110" s="82"/>
      <c r="L110" s="82"/>
      <c r="M110" s="82"/>
      <c r="N110" s="82"/>
      <c r="O110" s="82"/>
      <c r="P110" s="82"/>
      <c r="Q110" s="82"/>
      <c r="R110" s="82"/>
      <c r="S110" s="82"/>
      <c r="T110" s="82"/>
      <c r="U110" s="82"/>
      <c r="V110" s="82"/>
      <c r="W110" s="82"/>
      <c r="X110" s="82"/>
      <c r="Y110" s="82"/>
      <c r="Z110" s="82"/>
      <c r="AA110" s="82"/>
      <c r="AB110" s="82"/>
      <c r="AC110" s="82"/>
      <c r="AD110" s="82"/>
    </row>
    <row r="111" spans="2:58">
      <c r="B111" s="64"/>
      <c r="C111" s="62"/>
      <c r="D111" s="62"/>
      <c r="E111" s="62"/>
    </row>
    <row r="112" spans="2:58">
      <c r="B112" s="64"/>
      <c r="C112" s="62"/>
      <c r="D112" s="62"/>
      <c r="E112" s="62"/>
    </row>
    <row r="113" spans="2:5">
      <c r="B113" s="64"/>
      <c r="C113" s="62"/>
      <c r="D113" s="62"/>
      <c r="E113" s="62"/>
    </row>
    <row r="114" spans="2:5">
      <c r="B114" s="64"/>
      <c r="C114" s="62"/>
      <c r="D114" s="62"/>
      <c r="E114" s="62"/>
    </row>
    <row r="115" spans="2:5">
      <c r="B115" s="64"/>
      <c r="C115" s="62"/>
      <c r="D115" s="62"/>
      <c r="E115" s="62"/>
    </row>
    <row r="116" spans="2:5">
      <c r="B116" s="64"/>
      <c r="C116" s="62"/>
      <c r="D116" s="62"/>
      <c r="E116" s="62"/>
    </row>
    <row r="117" spans="2:5">
      <c r="B117" s="64"/>
      <c r="C117" s="62"/>
      <c r="D117" s="62"/>
      <c r="E117" s="62"/>
    </row>
    <row r="118" spans="2:5">
      <c r="B118" s="64"/>
      <c r="C118" s="62"/>
      <c r="D118" s="62"/>
      <c r="E118" s="62"/>
    </row>
    <row r="119" spans="2:5">
      <c r="B119" s="64"/>
      <c r="C119" s="62"/>
      <c r="D119" s="62"/>
      <c r="E119" s="62"/>
    </row>
    <row r="120" spans="2:5">
      <c r="B120" s="64"/>
      <c r="C120" s="62"/>
      <c r="D120" s="62"/>
      <c r="E120" s="62"/>
    </row>
    <row r="121" spans="2:5">
      <c r="B121" s="64"/>
      <c r="C121" s="62"/>
      <c r="D121" s="62"/>
      <c r="E121" s="62"/>
    </row>
    <row r="122" spans="2:5">
      <c r="B122" s="64"/>
      <c r="C122" s="62"/>
      <c r="D122" s="62"/>
      <c r="E122" s="62"/>
    </row>
    <row r="123" spans="2:5">
      <c r="B123" s="64"/>
      <c r="C123" s="62"/>
      <c r="D123" s="62"/>
      <c r="E123" s="62"/>
    </row>
    <row r="124" spans="2:5">
      <c r="B124" s="64"/>
      <c r="C124" s="62"/>
      <c r="D124" s="62"/>
      <c r="E124" s="62"/>
    </row>
    <row r="125" spans="2:5">
      <c r="B125" s="64"/>
      <c r="C125" s="62"/>
      <c r="D125" s="62"/>
      <c r="E125" s="62"/>
    </row>
    <row r="126" spans="2:5">
      <c r="B126" s="64"/>
      <c r="C126" s="62"/>
      <c r="D126" s="62"/>
      <c r="E126" s="62"/>
    </row>
    <row r="127" spans="2:5">
      <c r="B127" s="64"/>
      <c r="C127" s="62"/>
      <c r="D127" s="62"/>
      <c r="E127" s="62"/>
    </row>
    <row r="128" spans="2:5">
      <c r="B128" s="64"/>
      <c r="C128" s="62"/>
      <c r="D128" s="62"/>
      <c r="E128" s="62"/>
    </row>
    <row r="129" spans="2:5">
      <c r="B129" s="64"/>
      <c r="C129" s="62"/>
      <c r="D129" s="62"/>
      <c r="E129" s="62"/>
    </row>
    <row r="130" spans="2:5">
      <c r="B130" s="64"/>
      <c r="C130" s="62"/>
      <c r="D130" s="62"/>
      <c r="E130" s="62"/>
    </row>
    <row r="131" spans="2:5">
      <c r="B131" s="64"/>
      <c r="C131" s="62"/>
      <c r="D131" s="62"/>
      <c r="E131" s="62"/>
    </row>
    <row r="132" spans="2:5">
      <c r="B132" s="64"/>
      <c r="C132" s="82"/>
      <c r="D132" s="82"/>
      <c r="E132" s="82"/>
    </row>
    <row r="133" spans="2:5">
      <c r="B133" s="64"/>
      <c r="C133" s="82"/>
      <c r="D133" s="82"/>
      <c r="E133" s="82"/>
    </row>
    <row r="134" spans="2:5">
      <c r="B134" s="83"/>
      <c r="C134" s="82"/>
      <c r="D134" s="82"/>
      <c r="E134" s="82"/>
    </row>
    <row r="135" spans="2:5">
      <c r="B135" s="83"/>
      <c r="C135" s="82"/>
      <c r="D135" s="82"/>
      <c r="E135" s="82"/>
    </row>
    <row r="136" spans="2:5">
      <c r="B136" s="83"/>
      <c r="C136" s="82"/>
      <c r="D136" s="82"/>
      <c r="E136" s="82"/>
    </row>
    <row r="137" spans="2:5">
      <c r="B137" s="83"/>
      <c r="C137" s="82"/>
      <c r="D137" s="82"/>
      <c r="E137" s="82"/>
    </row>
    <row r="138" spans="2:5">
      <c r="B138" s="83"/>
      <c r="C138" s="82"/>
      <c r="D138" s="82"/>
      <c r="E138" s="82"/>
    </row>
    <row r="139" spans="2:5">
      <c r="B139" s="83"/>
      <c r="C139" s="82"/>
      <c r="D139" s="82"/>
      <c r="E139" s="82"/>
    </row>
    <row r="140" spans="2:5">
      <c r="B140" s="83"/>
      <c r="C140" s="82"/>
      <c r="D140" s="82"/>
      <c r="E140" s="82"/>
    </row>
    <row r="141" spans="2:5">
      <c r="B141" s="83"/>
      <c r="C141" s="82"/>
      <c r="D141" s="82"/>
      <c r="E141" s="82"/>
    </row>
    <row r="142" spans="2:5">
      <c r="B142" s="83"/>
      <c r="C142" s="82"/>
      <c r="D142" s="82"/>
      <c r="E142" s="82"/>
    </row>
    <row r="143" spans="2:5">
      <c r="B143" s="83"/>
      <c r="C143" s="82"/>
      <c r="D143" s="82"/>
      <c r="E143" s="82"/>
    </row>
    <row r="144" spans="2:5">
      <c r="B144" s="83"/>
      <c r="C144" s="82"/>
      <c r="D144" s="82"/>
      <c r="E144" s="82"/>
    </row>
    <row r="145" spans="2:5">
      <c r="B145" s="83"/>
      <c r="C145" s="82"/>
      <c r="D145" s="82"/>
      <c r="E145" s="82"/>
    </row>
    <row r="146" spans="2:5">
      <c r="B146" s="83"/>
      <c r="C146" s="82"/>
      <c r="D146" s="82"/>
      <c r="E146" s="82"/>
    </row>
    <row r="147" spans="2:5">
      <c r="B147" s="83"/>
      <c r="C147" s="82"/>
      <c r="D147" s="82"/>
      <c r="E147" s="82"/>
    </row>
    <row r="148" spans="2:5">
      <c r="B148" s="82"/>
      <c r="C148" s="82"/>
      <c r="D148" s="82"/>
      <c r="E148" s="82"/>
    </row>
    <row r="149" spans="2:5">
      <c r="B149" s="82"/>
      <c r="C149" s="82"/>
      <c r="D149" s="82"/>
      <c r="E149" s="82"/>
    </row>
    <row r="150" spans="2:5">
      <c r="B150" s="82"/>
      <c r="C150" s="82"/>
      <c r="D150" s="82"/>
      <c r="E150" s="82"/>
    </row>
    <row r="151" spans="2:5">
      <c r="B151" s="82"/>
      <c r="C151" s="82"/>
      <c r="D151" s="82"/>
      <c r="E151" s="82"/>
    </row>
    <row r="152" spans="2:5">
      <c r="B152" s="82"/>
      <c r="C152" s="82"/>
      <c r="D152" s="82"/>
      <c r="E152" s="82"/>
    </row>
    <row r="153" spans="2:5">
      <c r="B153" s="82"/>
      <c r="C153" s="82"/>
      <c r="D153" s="82"/>
      <c r="E153" s="82"/>
    </row>
    <row r="154" spans="2:5">
      <c r="B154" s="82"/>
      <c r="C154" s="82"/>
      <c r="D154" s="82"/>
      <c r="E154" s="82"/>
    </row>
    <row r="155" spans="2:5">
      <c r="B155" s="82"/>
      <c r="C155" s="82"/>
      <c r="D155" s="82"/>
      <c r="E155" s="82"/>
    </row>
    <row r="156" spans="2:5">
      <c r="B156" s="82"/>
      <c r="C156" s="82"/>
      <c r="D156" s="82"/>
      <c r="E156" s="82"/>
    </row>
    <row r="157" spans="2:5">
      <c r="B157" s="82"/>
      <c r="C157" s="82"/>
      <c r="D157" s="82"/>
      <c r="E157" s="82"/>
    </row>
    <row r="158" spans="2:5">
      <c r="B158" s="82"/>
      <c r="C158" s="82"/>
      <c r="D158" s="82"/>
      <c r="E158" s="82"/>
    </row>
    <row r="159" spans="2:5">
      <c r="B159" s="82"/>
      <c r="C159" s="82"/>
      <c r="D159" s="82"/>
      <c r="E159" s="82"/>
    </row>
    <row r="160" spans="2:5">
      <c r="B160" s="82"/>
    </row>
    <row r="161" spans="2:2">
      <c r="B161" s="82"/>
    </row>
  </sheetData>
  <mergeCells count="26">
    <mergeCell ref="H3:H4"/>
    <mergeCell ref="B88:B89"/>
    <mergeCell ref="B92:B93"/>
    <mergeCell ref="H70:H71"/>
    <mergeCell ref="H92:H93"/>
    <mergeCell ref="E90:E91"/>
    <mergeCell ref="E92:E93"/>
    <mergeCell ref="E78:E79"/>
    <mergeCell ref="E80:E81"/>
    <mergeCell ref="E82:E83"/>
    <mergeCell ref="E84:E85"/>
    <mergeCell ref="E86:E87"/>
    <mergeCell ref="E88:E89"/>
    <mergeCell ref="AI10:AI11"/>
    <mergeCell ref="H90:H91"/>
    <mergeCell ref="AD9:AD10"/>
    <mergeCell ref="H74:H75"/>
    <mergeCell ref="H78:H79"/>
    <mergeCell ref="H82:H83"/>
    <mergeCell ref="H86:H87"/>
    <mergeCell ref="AI8:AI9"/>
    <mergeCell ref="H72:H73"/>
    <mergeCell ref="H76:H77"/>
    <mergeCell ref="H80:H81"/>
    <mergeCell ref="H84:H85"/>
    <mergeCell ref="H88:H89"/>
  </mergeCells>
  <conditionalFormatting sqref="I3">
    <cfRule type="expression" dxfId="224" priority="112">
      <formula>J3&lt;J4</formula>
    </cfRule>
  </conditionalFormatting>
  <conditionalFormatting sqref="I4">
    <cfRule type="expression" dxfId="223" priority="111">
      <formula>J4&lt;J3</formula>
    </cfRule>
  </conditionalFormatting>
  <conditionalFormatting sqref="I6">
    <cfRule type="expression" dxfId="222" priority="110">
      <formula>J6&lt;J5</formula>
    </cfRule>
  </conditionalFormatting>
  <conditionalFormatting sqref="I8">
    <cfRule type="expression" dxfId="221" priority="109">
      <formula>J8&lt;J7</formula>
    </cfRule>
  </conditionalFormatting>
  <conditionalFormatting sqref="I5">
    <cfRule type="expression" dxfId="220" priority="108">
      <formula>J5&lt;J6</formula>
    </cfRule>
  </conditionalFormatting>
  <conditionalFormatting sqref="I7">
    <cfRule type="expression" dxfId="219" priority="107">
      <formula>J7&lt;J8</formula>
    </cfRule>
  </conditionalFormatting>
  <conditionalFormatting sqref="I9">
    <cfRule type="expression" dxfId="218" priority="106">
      <formula>J9&lt;J10</formula>
    </cfRule>
  </conditionalFormatting>
  <conditionalFormatting sqref="I11">
    <cfRule type="expression" dxfId="217" priority="105">
      <formula>J11&lt;J12</formula>
    </cfRule>
  </conditionalFormatting>
  <conditionalFormatting sqref="I13">
    <cfRule type="expression" dxfId="216" priority="104">
      <formula>J13&lt;J14</formula>
    </cfRule>
  </conditionalFormatting>
  <conditionalFormatting sqref="I15">
    <cfRule type="expression" dxfId="215" priority="103">
      <formula>J15&lt;J16</formula>
    </cfRule>
  </conditionalFormatting>
  <conditionalFormatting sqref="I17">
    <cfRule type="expression" dxfId="214" priority="102">
      <formula>J17&lt;J18</formula>
    </cfRule>
  </conditionalFormatting>
  <conditionalFormatting sqref="I19">
    <cfRule type="expression" dxfId="213" priority="101">
      <formula>J19&lt;J20</formula>
    </cfRule>
  </conditionalFormatting>
  <conditionalFormatting sqref="I21">
    <cfRule type="expression" dxfId="212" priority="100">
      <formula>J21&lt;J22</formula>
    </cfRule>
  </conditionalFormatting>
  <conditionalFormatting sqref="I23">
    <cfRule type="expression" dxfId="211" priority="99">
      <formula>J23&lt;J24</formula>
    </cfRule>
  </conditionalFormatting>
  <conditionalFormatting sqref="I25">
    <cfRule type="expression" dxfId="210" priority="98">
      <formula>J25&lt;J26</formula>
    </cfRule>
  </conditionalFormatting>
  <conditionalFormatting sqref="I27">
    <cfRule type="expression" dxfId="209" priority="97">
      <formula>J27&lt;J28</formula>
    </cfRule>
  </conditionalFormatting>
  <conditionalFormatting sqref="I29">
    <cfRule type="expression" dxfId="208" priority="96">
      <formula>J29&lt;J30</formula>
    </cfRule>
  </conditionalFormatting>
  <conditionalFormatting sqref="I31">
    <cfRule type="expression" dxfId="207" priority="95">
      <formula>J31&lt;J32</formula>
    </cfRule>
  </conditionalFormatting>
  <conditionalFormatting sqref="I33">
    <cfRule type="expression" dxfId="206" priority="94">
      <formula>J33&lt;J34</formula>
    </cfRule>
  </conditionalFormatting>
  <conditionalFormatting sqref="I35">
    <cfRule type="expression" dxfId="205" priority="93">
      <formula>J35&lt;J36</formula>
    </cfRule>
  </conditionalFormatting>
  <conditionalFormatting sqref="I37">
    <cfRule type="expression" dxfId="204" priority="92">
      <formula>J37&lt;J38</formula>
    </cfRule>
  </conditionalFormatting>
  <conditionalFormatting sqref="I39">
    <cfRule type="expression" dxfId="203" priority="91">
      <formula>J39&lt;J40</formula>
    </cfRule>
  </conditionalFormatting>
  <conditionalFormatting sqref="I41">
    <cfRule type="expression" dxfId="202" priority="90">
      <formula>J41&lt;J42</formula>
    </cfRule>
  </conditionalFormatting>
  <conditionalFormatting sqref="I43">
    <cfRule type="expression" dxfId="201" priority="89">
      <formula>J43&lt;J44</formula>
    </cfRule>
  </conditionalFormatting>
  <conditionalFormatting sqref="I45">
    <cfRule type="expression" dxfId="200" priority="88">
      <formula>J45&lt;J46</formula>
    </cfRule>
  </conditionalFormatting>
  <conditionalFormatting sqref="I47">
    <cfRule type="expression" dxfId="199" priority="87">
      <formula>J47&lt;J48</formula>
    </cfRule>
  </conditionalFormatting>
  <conditionalFormatting sqref="I49">
    <cfRule type="expression" dxfId="198" priority="86">
      <formula>J49&lt;J50</formula>
    </cfRule>
  </conditionalFormatting>
  <conditionalFormatting sqref="I51">
    <cfRule type="expression" dxfId="197" priority="85">
      <formula>J51&lt;J52</formula>
    </cfRule>
  </conditionalFormatting>
  <conditionalFormatting sqref="I53">
    <cfRule type="expression" dxfId="196" priority="84">
      <formula>J53&lt;J54</formula>
    </cfRule>
  </conditionalFormatting>
  <conditionalFormatting sqref="I55">
    <cfRule type="expression" dxfId="195" priority="83">
      <formula>J55&lt;J56</formula>
    </cfRule>
  </conditionalFormatting>
  <conditionalFormatting sqref="I57">
    <cfRule type="expression" dxfId="194" priority="82">
      <formula>J57&lt;J58</formula>
    </cfRule>
  </conditionalFormatting>
  <conditionalFormatting sqref="I59">
    <cfRule type="expression" dxfId="193" priority="81">
      <formula>J59&lt;J60</formula>
    </cfRule>
  </conditionalFormatting>
  <conditionalFormatting sqref="I61">
    <cfRule type="expression" dxfId="192" priority="80">
      <formula>J61&lt;J62</formula>
    </cfRule>
  </conditionalFormatting>
  <conditionalFormatting sqref="I63">
    <cfRule type="expression" dxfId="191" priority="79">
      <formula>J63&lt;J64</formula>
    </cfRule>
  </conditionalFormatting>
  <conditionalFormatting sqref="I65">
    <cfRule type="expression" dxfId="190" priority="78">
      <formula>J65&lt;J66</formula>
    </cfRule>
  </conditionalFormatting>
  <conditionalFormatting sqref="I10">
    <cfRule type="expression" dxfId="189" priority="77">
      <formula>J10&lt;J9</formula>
    </cfRule>
  </conditionalFormatting>
  <conditionalFormatting sqref="I12">
    <cfRule type="expression" dxfId="188" priority="76">
      <formula>J12&lt;J11</formula>
    </cfRule>
  </conditionalFormatting>
  <conditionalFormatting sqref="I16">
    <cfRule type="expression" dxfId="187" priority="75">
      <formula>J16&lt;J15</formula>
    </cfRule>
  </conditionalFormatting>
  <conditionalFormatting sqref="I18">
    <cfRule type="expression" dxfId="186" priority="74">
      <formula>J18&lt;J17</formula>
    </cfRule>
  </conditionalFormatting>
  <conditionalFormatting sqref="I20">
    <cfRule type="expression" dxfId="185" priority="73">
      <formula>J20&lt;J19</formula>
    </cfRule>
  </conditionalFormatting>
  <conditionalFormatting sqref="I24">
    <cfRule type="expression" dxfId="184" priority="72">
      <formula>J24&lt;J23</formula>
    </cfRule>
  </conditionalFormatting>
  <conditionalFormatting sqref="I26">
    <cfRule type="expression" dxfId="183" priority="71">
      <formula>J26&lt;J25</formula>
    </cfRule>
  </conditionalFormatting>
  <conditionalFormatting sqref="I28">
    <cfRule type="expression" dxfId="182" priority="70">
      <formula>J28&lt;J27</formula>
    </cfRule>
  </conditionalFormatting>
  <conditionalFormatting sqref="I30">
    <cfRule type="expression" dxfId="181" priority="69">
      <formula>J30&lt;J29</formula>
    </cfRule>
  </conditionalFormatting>
  <conditionalFormatting sqref="I32">
    <cfRule type="expression" dxfId="180" priority="68">
      <formula>J32&lt;J31</formula>
    </cfRule>
  </conditionalFormatting>
  <conditionalFormatting sqref="I34">
    <cfRule type="expression" dxfId="179" priority="67">
      <formula>J34&lt;J33</formula>
    </cfRule>
  </conditionalFormatting>
  <conditionalFormatting sqref="I36">
    <cfRule type="expression" dxfId="178" priority="66">
      <formula>J36&lt;J35</formula>
    </cfRule>
  </conditionalFormatting>
  <conditionalFormatting sqref="I38">
    <cfRule type="expression" dxfId="177" priority="65">
      <formula>J38&lt;J37</formula>
    </cfRule>
  </conditionalFormatting>
  <conditionalFormatting sqref="I40">
    <cfRule type="expression" dxfId="176" priority="64">
      <formula>J40&lt;J39</formula>
    </cfRule>
  </conditionalFormatting>
  <conditionalFormatting sqref="I42">
    <cfRule type="expression" dxfId="175" priority="63">
      <formula>J42&lt;J41</formula>
    </cfRule>
  </conditionalFormatting>
  <conditionalFormatting sqref="I44">
    <cfRule type="expression" dxfId="174" priority="62">
      <formula>J44&lt;J43</formula>
    </cfRule>
  </conditionalFormatting>
  <conditionalFormatting sqref="I46">
    <cfRule type="expression" dxfId="173" priority="61">
      <formula>J46&lt;J45</formula>
    </cfRule>
  </conditionalFormatting>
  <conditionalFormatting sqref="I48">
    <cfRule type="expression" dxfId="172" priority="60">
      <formula>J48&lt;J47</formula>
    </cfRule>
  </conditionalFormatting>
  <conditionalFormatting sqref="I50">
    <cfRule type="expression" dxfId="171" priority="59">
      <formula>J50&lt;J49</formula>
    </cfRule>
  </conditionalFormatting>
  <conditionalFormatting sqref="I52">
    <cfRule type="expression" dxfId="170" priority="58">
      <formula>J52&lt;J51</formula>
    </cfRule>
  </conditionalFormatting>
  <conditionalFormatting sqref="I54">
    <cfRule type="expression" dxfId="169" priority="57">
      <formula>J54&lt;J53</formula>
    </cfRule>
  </conditionalFormatting>
  <conditionalFormatting sqref="I56">
    <cfRule type="expression" dxfId="168" priority="56">
      <formula>J56&lt;J55</formula>
    </cfRule>
  </conditionalFormatting>
  <conditionalFormatting sqref="I58">
    <cfRule type="expression" dxfId="167" priority="55">
      <formula>J58&lt;J57</formula>
    </cfRule>
  </conditionalFormatting>
  <conditionalFormatting sqref="I60">
    <cfRule type="expression" dxfId="166" priority="54">
      <formula>J60&lt;J59</formula>
    </cfRule>
  </conditionalFormatting>
  <conditionalFormatting sqref="I62">
    <cfRule type="expression" dxfId="165" priority="53">
      <formula>J62&lt;J61</formula>
    </cfRule>
  </conditionalFormatting>
  <conditionalFormatting sqref="I64">
    <cfRule type="expression" dxfId="164" priority="52">
      <formula>J64&lt;J63</formula>
    </cfRule>
  </conditionalFormatting>
  <conditionalFormatting sqref="I66">
    <cfRule type="expression" dxfId="163" priority="51">
      <formula>J66&lt;J65</formula>
    </cfRule>
  </conditionalFormatting>
  <conditionalFormatting sqref="O3">
    <cfRule type="expression" dxfId="162" priority="50">
      <formula>P3&lt;P4</formula>
    </cfRule>
  </conditionalFormatting>
  <conditionalFormatting sqref="O4">
    <cfRule type="expression" dxfId="161" priority="49">
      <formula>P4&lt;P3</formula>
    </cfRule>
  </conditionalFormatting>
  <conditionalFormatting sqref="O5">
    <cfRule type="expression" dxfId="160" priority="48">
      <formula>P5&lt;P6</formula>
    </cfRule>
  </conditionalFormatting>
  <conditionalFormatting sqref="O6">
    <cfRule type="expression" dxfId="159" priority="47">
      <formula>P6&lt;P5</formula>
    </cfRule>
  </conditionalFormatting>
  <conditionalFormatting sqref="O7">
    <cfRule type="expression" dxfId="158" priority="46">
      <formula>P7&lt;P8</formula>
    </cfRule>
  </conditionalFormatting>
  <conditionalFormatting sqref="O8">
    <cfRule type="expression" dxfId="157" priority="45">
      <formula>P8&lt;P7</formula>
    </cfRule>
  </conditionalFormatting>
  <conditionalFormatting sqref="O9">
    <cfRule type="expression" dxfId="156" priority="44">
      <formula>P9&lt;P10</formula>
    </cfRule>
  </conditionalFormatting>
  <conditionalFormatting sqref="O10">
    <cfRule type="expression" dxfId="155" priority="43">
      <formula>P10&lt;P9</formula>
    </cfRule>
  </conditionalFormatting>
  <conditionalFormatting sqref="O11">
    <cfRule type="expression" dxfId="154" priority="42">
      <formula>P11&lt;P12</formula>
    </cfRule>
  </conditionalFormatting>
  <conditionalFormatting sqref="O12">
    <cfRule type="expression" dxfId="153" priority="41">
      <formula>P12&lt;P11</formula>
    </cfRule>
  </conditionalFormatting>
  <conditionalFormatting sqref="O13">
    <cfRule type="expression" dxfId="152" priority="40">
      <formula>P13&lt;P14</formula>
    </cfRule>
  </conditionalFormatting>
  <conditionalFormatting sqref="O14">
    <cfRule type="expression" dxfId="151" priority="39">
      <formula>P14&lt;P13</formula>
    </cfRule>
  </conditionalFormatting>
  <conditionalFormatting sqref="O15">
    <cfRule type="expression" dxfId="150" priority="38">
      <formula>P15&lt;P16</formula>
    </cfRule>
  </conditionalFormatting>
  <conditionalFormatting sqref="O16">
    <cfRule type="expression" dxfId="149" priority="37">
      <formula>P16&lt;P15</formula>
    </cfRule>
  </conditionalFormatting>
  <conditionalFormatting sqref="O17">
    <cfRule type="expression" dxfId="148" priority="36">
      <formula>P17&lt;P18</formula>
    </cfRule>
  </conditionalFormatting>
  <conditionalFormatting sqref="O18">
    <cfRule type="expression" dxfId="147" priority="35">
      <formula>P18&lt;P17</formula>
    </cfRule>
  </conditionalFormatting>
  <conditionalFormatting sqref="O19">
    <cfRule type="expression" dxfId="146" priority="34">
      <formula>P19&lt;P20</formula>
    </cfRule>
  </conditionalFormatting>
  <conditionalFormatting sqref="O20">
    <cfRule type="expression" dxfId="145" priority="33">
      <formula>P20&lt;P19</formula>
    </cfRule>
  </conditionalFormatting>
  <conditionalFormatting sqref="O21">
    <cfRule type="expression" dxfId="144" priority="32">
      <formula>P21&lt;P22</formula>
    </cfRule>
  </conditionalFormatting>
  <conditionalFormatting sqref="O22">
    <cfRule type="expression" dxfId="143" priority="31">
      <formula>P22&lt;P21</formula>
    </cfRule>
  </conditionalFormatting>
  <conditionalFormatting sqref="O23">
    <cfRule type="expression" dxfId="142" priority="30">
      <formula>P23&lt;P24</formula>
    </cfRule>
  </conditionalFormatting>
  <conditionalFormatting sqref="O24">
    <cfRule type="expression" dxfId="141" priority="29">
      <formula>P24&lt;P23</formula>
    </cfRule>
  </conditionalFormatting>
  <conditionalFormatting sqref="O25">
    <cfRule type="expression" dxfId="140" priority="28">
      <formula>P25&lt;P26</formula>
    </cfRule>
  </conditionalFormatting>
  <conditionalFormatting sqref="O26">
    <cfRule type="expression" dxfId="139" priority="27">
      <formula>P26&lt;P25</formula>
    </cfRule>
  </conditionalFormatting>
  <conditionalFormatting sqref="O27">
    <cfRule type="expression" dxfId="138" priority="26">
      <formula>P27&lt;P28</formula>
    </cfRule>
  </conditionalFormatting>
  <conditionalFormatting sqref="O28">
    <cfRule type="expression" dxfId="137" priority="25">
      <formula>P28&lt;P27</formula>
    </cfRule>
  </conditionalFormatting>
  <conditionalFormatting sqref="O29">
    <cfRule type="expression" dxfId="136" priority="24">
      <formula>P29&lt;P30</formula>
    </cfRule>
  </conditionalFormatting>
  <conditionalFormatting sqref="O30">
    <cfRule type="expression" dxfId="135" priority="23">
      <formula>P30&lt;P29</formula>
    </cfRule>
  </conditionalFormatting>
  <conditionalFormatting sqref="O31">
    <cfRule type="expression" dxfId="134" priority="22">
      <formula>P31&lt;P32</formula>
    </cfRule>
  </conditionalFormatting>
  <conditionalFormatting sqref="O32">
    <cfRule type="expression" dxfId="133" priority="21">
      <formula>P32&lt;P31</formula>
    </cfRule>
  </conditionalFormatting>
  <conditionalFormatting sqref="O33">
    <cfRule type="expression" dxfId="132" priority="20">
      <formula>P33&lt;P34</formula>
    </cfRule>
  </conditionalFormatting>
  <conditionalFormatting sqref="O34">
    <cfRule type="expression" dxfId="131" priority="19">
      <formula>P34&lt;P33</formula>
    </cfRule>
  </conditionalFormatting>
  <conditionalFormatting sqref="U3">
    <cfRule type="expression" dxfId="130" priority="18">
      <formula>V3&lt;V4</formula>
    </cfRule>
  </conditionalFormatting>
  <conditionalFormatting sqref="U4">
    <cfRule type="expression" dxfId="129" priority="17">
      <formula>V4&lt;V3</formula>
    </cfRule>
  </conditionalFormatting>
  <conditionalFormatting sqref="U5 U7 U9 U11 U13 U15 U17">
    <cfRule type="expression" dxfId="128" priority="16">
      <formula>V5&lt;V6</formula>
    </cfRule>
  </conditionalFormatting>
  <conditionalFormatting sqref="U6 U8 U10 U12 U14 U16 U18">
    <cfRule type="expression" dxfId="127" priority="15">
      <formula>V6&lt;V5</formula>
    </cfRule>
  </conditionalFormatting>
  <conditionalFormatting sqref="Z3">
    <cfRule type="expression" dxfId="126" priority="14">
      <formula>AA3&lt;AA4</formula>
    </cfRule>
  </conditionalFormatting>
  <conditionalFormatting sqref="Z4">
    <cfRule type="expression" dxfId="125" priority="13">
      <formula>AA4&lt;AA3</formula>
    </cfRule>
  </conditionalFormatting>
  <conditionalFormatting sqref="Z5 Z7 Z9">
    <cfRule type="expression" dxfId="124" priority="12">
      <formula>AA5&lt;AA6</formula>
    </cfRule>
  </conditionalFormatting>
  <conditionalFormatting sqref="Z6 Z8 Z10">
    <cfRule type="expression" dxfId="123" priority="11">
      <formula>AA6&lt;AA5</formula>
    </cfRule>
  </conditionalFormatting>
  <conditionalFormatting sqref="AE3">
    <cfRule type="expression" dxfId="122" priority="6">
      <formula>AF3&lt;AF4</formula>
    </cfRule>
  </conditionalFormatting>
  <conditionalFormatting sqref="AE4">
    <cfRule type="expression" dxfId="121" priority="5">
      <formula>AF4&lt;AF3</formula>
    </cfRule>
  </conditionalFormatting>
  <conditionalFormatting sqref="AE5">
    <cfRule type="expression" dxfId="120" priority="4">
      <formula>AF5&lt;AF6</formula>
    </cfRule>
  </conditionalFormatting>
  <conditionalFormatting sqref="AE6">
    <cfRule type="expression" dxfId="119" priority="3">
      <formula>AF6&lt;AF5</formula>
    </cfRule>
  </conditionalFormatting>
  <hyperlinks>
    <hyperlink ref="A1" location="Menu!A1" display="Menu!A1" xr:uid="{00000000-0004-0000-0300-000000000000}"/>
  </hyperlinks>
  <pageMargins left="0.70866141732283472" right="0.70866141732283472" top="0.74803149606299213" bottom="0.74803149606299213" header="0.31496062992125984" footer="0.31496062992125984"/>
  <pageSetup paperSize="9" scale="43" orientation="portrait" r:id="rId1"/>
  <headerFooter>
    <oddHeader>&amp;L&amp;G&amp;R&amp;24&amp;K7030A0Cup Draw</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7030A0"/>
    <pageSetUpPr fitToPage="1"/>
  </sheetPr>
  <dimension ref="A1:G176"/>
  <sheetViews>
    <sheetView zoomScaleNormal="100" workbookViewId="0">
      <pane ySplit="1" topLeftCell="A156" activePane="bottomLeft" state="frozen"/>
      <selection pane="bottomLeft" sqref="A1:C175"/>
    </sheetView>
  </sheetViews>
  <sheetFormatPr defaultRowHeight="12.75"/>
  <cols>
    <col min="1" max="1" width="23.1328125" customWidth="1"/>
    <col min="2" max="2" width="23.73046875" customWidth="1"/>
    <col min="3" max="3" width="11.265625" style="678" customWidth="1"/>
    <col min="4" max="4" width="9.73046875" customWidth="1"/>
    <col min="5" max="5" width="12" customWidth="1"/>
    <col min="6" max="6" width="11.86328125" customWidth="1"/>
    <col min="7" max="7" width="12.1328125" customWidth="1"/>
  </cols>
  <sheetData>
    <row r="1" spans="1:7" ht="18" customHeight="1" thickBot="1">
      <c r="A1" s="128" t="str">
        <f>IF(Picks!A1="","",Picks!A1)</f>
        <v>Player</v>
      </c>
      <c r="B1" s="128" t="str">
        <f>IF(Picks!B1="","",Picks!B1)</f>
        <v>Prediction</v>
      </c>
      <c r="C1" s="675" t="str">
        <f>IF(Picks!C1="","",Picks!C1)</f>
        <v>Match Day</v>
      </c>
      <c r="D1" s="129" t="str">
        <f>IF(Picks!D1="","",Picks!D1)</f>
        <v>Decimal</v>
      </c>
      <c r="E1" s="130" t="str">
        <f>IF(Picks!E1="","",Picks!E1)</f>
        <v>Bet in?</v>
      </c>
      <c r="F1" s="131" t="str">
        <f>IF(Picks!F1="","",Picks!F1)</f>
        <v>Score</v>
      </c>
      <c r="G1" s="131" t="str">
        <f>IF(Picks!G1="","",Picks!G1)</f>
        <v>Max</v>
      </c>
    </row>
    <row r="2" spans="1:7" ht="13.9" thickTop="1" thickBot="1">
      <c r="A2" s="118" t="str">
        <f>IF(Picks!A2="","",Picks!A2)</f>
        <v>Alan Bond</v>
      </c>
      <c r="B2" s="119" t="str">
        <f>IF(Picks!B2="","",Picks!B2)</f>
        <v>Brighton</v>
      </c>
      <c r="C2" s="676">
        <f>IF(Picks!C2="","",Picks!C2)</f>
        <v>1</v>
      </c>
      <c r="D2" s="120">
        <f>IF(Picks!D2="","",Picks!D2)</f>
        <v>1.85</v>
      </c>
      <c r="E2" s="121" t="str">
        <f>IF(Picks!E2="","",Picks!E2)</f>
        <v>√</v>
      </c>
      <c r="F2" s="122">
        <f>IF(Picks!F2="","",Picks!F2)</f>
        <v>-5.15</v>
      </c>
      <c r="G2" s="123">
        <f>IF(Picks!G2="","",Picks!G2)</f>
        <v>17.080000000000005</v>
      </c>
    </row>
    <row r="3" spans="1:7" ht="13.15">
      <c r="A3" s="126"/>
      <c r="B3" s="64" t="str">
        <f>IF(Picks!B3="","",Picks!B3)</f>
        <v>West ham</v>
      </c>
      <c r="C3" s="676">
        <f>IF(Picks!C3="","",Picks!C3)</f>
        <v>1</v>
      </c>
      <c r="D3" s="117">
        <f>IF(Picks!D3="","",Picks!D3)</f>
        <v>1.75</v>
      </c>
      <c r="E3" s="95" t="str">
        <f>IF(Picks!E3="","",Picks!E3)</f>
        <v>x</v>
      </c>
      <c r="F3" s="145" t="str">
        <f>IF(Picks!F3="","",Picks!F3)</f>
        <v/>
      </c>
      <c r="G3" s="48" t="str">
        <f>IF(Picks!G3="","",Picks!G3)</f>
        <v/>
      </c>
    </row>
    <row r="4" spans="1:7" ht="13.5" thickBot="1">
      <c r="A4" s="146"/>
      <c r="B4" s="141" t="str">
        <f>IF(Picks!B4="","",Picks!B4)</f>
        <v>Oldham</v>
      </c>
      <c r="C4" s="677">
        <f>IF(Picks!C4="","",Picks!C4)</f>
        <v>1</v>
      </c>
      <c r="D4" s="142">
        <f>IF(Picks!D4="","",Picks!D4)</f>
        <v>2.2000000000000002</v>
      </c>
      <c r="E4" s="95" t="str">
        <f>IF(Picks!E4="","",Picks!E4)</f>
        <v>x</v>
      </c>
      <c r="F4" s="145" t="str">
        <f>IF(Picks!F4="","",Picks!F4)</f>
        <v/>
      </c>
      <c r="G4" s="48" t="str">
        <f>IF(Picks!G4="","",Picks!G4)</f>
        <v/>
      </c>
    </row>
    <row r="5" spans="1:7" ht="13.9" thickTop="1" thickBot="1">
      <c r="A5" s="126" t="str">
        <f>IF(Picks!A5="","",Picks!A5)</f>
        <v>Alan Rogers</v>
      </c>
      <c r="B5" s="124" t="str">
        <f>IF(Picks!B5="","",Picks!B5)</f>
        <v>Brentford</v>
      </c>
      <c r="C5" s="676">
        <f>IF(Picks!C5="","",Picks!C5)</f>
        <v>1</v>
      </c>
      <c r="D5" s="120">
        <f>IF(Picks!D5="","",Picks!D5)</f>
        <v>4.2</v>
      </c>
      <c r="E5" s="125" t="str">
        <f>IF(Picks!E5="","",Picks!E5)</f>
        <v>x</v>
      </c>
      <c r="F5" s="122">
        <f>IF(Picks!F5="","",Picks!F5)</f>
        <v>-3</v>
      </c>
      <c r="G5" s="123">
        <f>IF(Picks!G5="","",Picks!G5)</f>
        <v>18.36</v>
      </c>
    </row>
    <row r="6" spans="1:7" ht="13.15">
      <c r="A6" s="126"/>
      <c r="B6" s="64" t="str">
        <f>IF(Picks!B6="","",Picks!B6)</f>
        <v>Huddersfield draw</v>
      </c>
      <c r="C6" s="676">
        <f>IF(Picks!C6="","",Picks!C6)</f>
        <v>1</v>
      </c>
      <c r="D6" s="117">
        <f>IF(Picks!D6="","",Picks!D6)</f>
        <v>3.3</v>
      </c>
      <c r="E6" s="95" t="str">
        <f>IF(Picks!E6="","",Picks!E6)</f>
        <v>x</v>
      </c>
      <c r="F6" s="145" t="str">
        <f>IF(Picks!F6="","",Picks!F6)</f>
        <v/>
      </c>
      <c r="G6" s="48" t="str">
        <f>IF(Picks!G6="","",Picks!G6)</f>
        <v/>
      </c>
    </row>
    <row r="7" spans="1:7" ht="13.5" thickBot="1">
      <c r="A7" s="146"/>
      <c r="B7" s="141" t="str">
        <f>IF(Picks!B7="","",Picks!B7)</f>
        <v>Blackburn</v>
      </c>
      <c r="C7" s="677">
        <f>IF(Picks!C7="","",Picks!C7)</f>
        <v>1</v>
      </c>
      <c r="D7" s="142">
        <f>IF(Picks!D7="","",Picks!D7)</f>
        <v>2.4</v>
      </c>
      <c r="E7" s="95" t="str">
        <f>IF(Picks!E7="","",Picks!E7)</f>
        <v>x</v>
      </c>
      <c r="F7" s="145" t="str">
        <f>IF(Picks!F7="","",Picks!F7)</f>
        <v/>
      </c>
      <c r="G7" s="48" t="str">
        <f>IF(Picks!G7="","",Picks!G7)</f>
        <v/>
      </c>
    </row>
    <row r="8" spans="1:7" ht="13.9" thickTop="1" thickBot="1">
      <c r="A8" s="126" t="str">
        <f>IF(Picks!A8="","",Picks!A8)</f>
        <v>Alan White</v>
      </c>
      <c r="B8" s="124" t="str">
        <f>IF(Picks!B8="","",Picks!B8)</f>
        <v>Mansfield</v>
      </c>
      <c r="C8" s="676">
        <f>IF(Picks!C8="","",Picks!C8)</f>
        <v>1</v>
      </c>
      <c r="D8" s="120">
        <f>IF(Picks!D8="","",Picks!D8)</f>
        <v>1.9090909090909092</v>
      </c>
      <c r="E8" s="125" t="str">
        <f>IF(Picks!E8="","",Picks!E8)</f>
        <v>√</v>
      </c>
      <c r="F8" s="122">
        <f>IF(Picks!F8="","",Picks!F8)</f>
        <v>1.163636363636364</v>
      </c>
      <c r="G8" s="123">
        <f>IF(Picks!G8="","",Picks!G8)</f>
        <v>23.656198347107441</v>
      </c>
    </row>
    <row r="9" spans="1:7" ht="13.15">
      <c r="A9" s="126"/>
      <c r="B9" s="64" t="str">
        <f>IF(Picks!B9="","",Picks!B9)</f>
        <v>Tranmere</v>
      </c>
      <c r="C9" s="676">
        <f>IF(Picks!C9="","",Picks!C9)</f>
        <v>1</v>
      </c>
      <c r="D9" s="117">
        <f>IF(Picks!D9="","",Picks!D9)</f>
        <v>2.15</v>
      </c>
      <c r="E9" s="95" t="str">
        <f>IF(Picks!E9="","",Picks!E9)</f>
        <v>√</v>
      </c>
      <c r="F9" s="145" t="str">
        <f>IF(Picks!F9="","",Picks!F9)</f>
        <v/>
      </c>
      <c r="G9" s="48" t="str">
        <f>IF(Picks!G9="","",Picks!G9)</f>
        <v/>
      </c>
    </row>
    <row r="10" spans="1:7" ht="13.5" thickBot="1">
      <c r="A10" s="146"/>
      <c r="B10" s="141" t="str">
        <f>IF(Picks!B10="","",Picks!B10)</f>
        <v>Aldershot</v>
      </c>
      <c r="C10" s="677">
        <f>IF(Picks!C10="","",Picks!C10)</f>
        <v>1</v>
      </c>
      <c r="D10" s="142">
        <f>IF(Picks!D10="","",Picks!D10)</f>
        <v>2.4545454545454546</v>
      </c>
      <c r="E10" s="95" t="str">
        <f>IF(Picks!E10="","",Picks!E10)</f>
        <v>x</v>
      </c>
      <c r="F10" s="145" t="str">
        <f>IF(Picks!F10="","",Picks!F10)</f>
        <v/>
      </c>
      <c r="G10" s="48" t="str">
        <f>IF(Picks!G10="","",Picks!G10)</f>
        <v/>
      </c>
    </row>
    <row r="11" spans="1:7" ht="13.9" thickTop="1" thickBot="1">
      <c r="A11" s="126" t="str">
        <f>IF(Picks!A11="","",Picks!A11)</f>
        <v>Alfie Davies</v>
      </c>
      <c r="B11" s="124" t="str">
        <f>IF(Picks!B11="","",Picks!B11)</f>
        <v>Arsenal</v>
      </c>
      <c r="C11" s="676">
        <f>IF(Picks!C11="","",Picks!C11)</f>
        <v>1</v>
      </c>
      <c r="D11" s="120">
        <f>IF(Picks!D11="","",Picks!D11)</f>
        <v>1.4444444444444444</v>
      </c>
      <c r="E11" s="125" t="str">
        <f>IF(Picks!E11="","",Picks!E11)</f>
        <v>√</v>
      </c>
      <c r="F11" s="122">
        <f>IF(Picks!F11="","",Picks!F11)</f>
        <v>-1.6068376068376065</v>
      </c>
      <c r="G11" s="123">
        <f>IF(Picks!G11="","",Picks!G11)</f>
        <v>20.76923076923077</v>
      </c>
    </row>
    <row r="12" spans="1:7" ht="13.15">
      <c r="A12" s="126"/>
      <c r="B12" s="64" t="str">
        <f>IF(Picks!B12="","",Picks!B12)</f>
        <v>Chelsea</v>
      </c>
      <c r="C12" s="676">
        <f>IF(Picks!C12="","",Picks!C12)</f>
        <v>1</v>
      </c>
      <c r="D12" s="117">
        <f>IF(Picks!D12="","",Picks!D12)</f>
        <v>1.6153846153846154</v>
      </c>
      <c r="E12" s="95" t="str">
        <f>IF(Picks!E12="","",Picks!E12)</f>
        <v>√</v>
      </c>
      <c r="F12" s="145" t="str">
        <f>IF(Picks!F12="","",Picks!F12)</f>
        <v/>
      </c>
      <c r="G12" s="48" t="str">
        <f>IF(Picks!G12="","",Picks!G12)</f>
        <v/>
      </c>
    </row>
    <row r="13" spans="1:7" ht="13.5" thickBot="1">
      <c r="A13" s="146"/>
      <c r="B13" s="141" t="str">
        <f>IF(Picks!B13="","",Picks!B13)</f>
        <v>Blackpool</v>
      </c>
      <c r="C13" s="677">
        <f>IF(Picks!C13="","",Picks!C13)</f>
        <v>1</v>
      </c>
      <c r="D13" s="142">
        <f>IF(Picks!D13="","",Picks!D13)</f>
        <v>3.5</v>
      </c>
      <c r="E13" s="95" t="str">
        <f>IF(Picks!E13="","",Picks!E13)</f>
        <v>x</v>
      </c>
      <c r="F13" s="145" t="str">
        <f>IF(Picks!F13="","",Picks!F13)</f>
        <v/>
      </c>
      <c r="G13" s="48" t="str">
        <f>IF(Picks!G13="","",Picks!G13)</f>
        <v/>
      </c>
    </row>
    <row r="14" spans="1:7" ht="13.9" thickTop="1" thickBot="1">
      <c r="A14" s="126" t="str">
        <f>IF(Picks!A14="","",Picks!A14)</f>
        <v>Alick Rocca</v>
      </c>
      <c r="B14" s="124" t="str">
        <f>IF(Picks!B14="","",Picks!B14)</f>
        <v>Cheltenham Draw</v>
      </c>
      <c r="C14" s="676">
        <f>IF(Picks!C14="","",Picks!C14)</f>
        <v>1</v>
      </c>
      <c r="D14" s="120">
        <f>IF(Picks!D14="","",Picks!D14)</f>
        <v>3.3</v>
      </c>
      <c r="E14" s="125" t="str">
        <f>IF(Picks!E14="","",Picks!E14)</f>
        <v>x</v>
      </c>
      <c r="F14" s="122">
        <f>IF(Picks!F14="","",Picks!F14)</f>
        <v>-1</v>
      </c>
      <c r="G14" s="123">
        <f>IF(Picks!G14="","",Picks!G14)</f>
        <v>2.2999999999999998</v>
      </c>
    </row>
    <row r="15" spans="1:7" ht="13.15">
      <c r="A15" s="126"/>
      <c r="B15" s="64" t="str">
        <f>IF(Picks!B15="","",Picks!B15)</f>
        <v>Carlisle Draw</v>
      </c>
      <c r="C15" s="676">
        <f>IF(Picks!C15="","",Picks!C15)</f>
        <v>1</v>
      </c>
      <c r="D15" s="117">
        <f>IF(Picks!D15="","",Picks!D15)</f>
        <v>3.25</v>
      </c>
      <c r="E15" s="95" t="str">
        <f>IF(Picks!E15="","",Picks!E15)</f>
        <v>√</v>
      </c>
      <c r="F15" s="145" t="str">
        <f>IF(Picks!F15="","",Picks!F15)</f>
        <v/>
      </c>
      <c r="G15" s="48" t="str">
        <f>IF(Picks!G15="","",Picks!G15)</f>
        <v/>
      </c>
    </row>
    <row r="16" spans="1:7" ht="13.5" thickBot="1">
      <c r="A16" s="146"/>
      <c r="B16" s="141" t="str">
        <f>IF(Picks!B16="","",Picks!B16)</f>
        <v>Colchester Draw</v>
      </c>
      <c r="C16" s="677">
        <f>IF(Picks!C16="","",Picks!C16)</f>
        <v>1</v>
      </c>
      <c r="D16" s="142">
        <f>IF(Picks!D16="","",Picks!D16)</f>
        <v>3.4</v>
      </c>
      <c r="E16" s="95" t="str">
        <f>IF(Picks!E16="","",Picks!E16)</f>
        <v>√</v>
      </c>
      <c r="F16" s="145" t="str">
        <f>IF(Picks!F16="","",Picks!F16)</f>
        <v/>
      </c>
      <c r="G16" s="48" t="str">
        <f>IF(Picks!G16="","",Picks!G16)</f>
        <v/>
      </c>
    </row>
    <row r="17" spans="1:7" ht="13.9" thickTop="1" thickBot="1">
      <c r="A17" s="126" t="str">
        <f>IF(Picks!A17="","",Picks!A17)</f>
        <v>Andy Charleston</v>
      </c>
      <c r="B17" s="124" t="str">
        <f>IF(Picks!B17="","",Picks!B17)</f>
        <v>Hull draw</v>
      </c>
      <c r="C17" s="676">
        <f>IF(Picks!C17="","",Picks!C17)</f>
        <v>1</v>
      </c>
      <c r="D17" s="120">
        <f>IF(Picks!D17="","",Picks!D17)</f>
        <v>3.25</v>
      </c>
      <c r="E17" s="125" t="str">
        <f>IF(Picks!E17="","",Picks!E17)</f>
        <v>√</v>
      </c>
      <c r="F17" s="122">
        <f>IF(Picks!F17="","",Picks!F17)</f>
        <v>-3</v>
      </c>
      <c r="G17" s="123">
        <f>IF(Picks!G17="","",Picks!G17)</f>
        <v>15.8</v>
      </c>
    </row>
    <row r="18" spans="1:7" ht="13.15">
      <c r="A18" s="126"/>
      <c r="B18" s="64" t="str">
        <f>IF(Picks!B18="","",Picks!B18)</f>
        <v>Brighton draw</v>
      </c>
      <c r="C18" s="676">
        <f>IF(Picks!C18="","",Picks!C18)</f>
        <v>1</v>
      </c>
      <c r="D18" s="117">
        <f>IF(Picks!D18="","",Picks!D18)</f>
        <v>3.5</v>
      </c>
      <c r="E18" s="95" t="str">
        <f>IF(Picks!E18="","",Picks!E18)</f>
        <v>x</v>
      </c>
      <c r="F18" s="145" t="str">
        <f>IF(Picks!F18="","",Picks!F18)</f>
        <v/>
      </c>
      <c r="G18" s="48" t="str">
        <f>IF(Picks!G18="","",Picks!G18)</f>
        <v/>
      </c>
    </row>
    <row r="19" spans="1:7" ht="13.5" thickBot="1">
      <c r="A19" s="146"/>
      <c r="B19" s="141" t="str">
        <f>IF(Picks!B19="","",Picks!B19)</f>
        <v>Lincoln draw</v>
      </c>
      <c r="C19" s="677">
        <f>IF(Picks!C19="","",Picks!C19)</f>
        <v>1</v>
      </c>
      <c r="D19" s="142">
        <f>IF(Picks!D19="","",Picks!D19)</f>
        <v>3.4</v>
      </c>
      <c r="E19" s="95" t="str">
        <f>IF(Picks!E19="","",Picks!E19)</f>
        <v>x</v>
      </c>
      <c r="F19" s="145" t="str">
        <f>IF(Picks!F19="","",Picks!F19)</f>
        <v/>
      </c>
      <c r="G19" s="48" t="str">
        <f>IF(Picks!G19="","",Picks!G19)</f>
        <v/>
      </c>
    </row>
    <row r="20" spans="1:7" ht="13.9" thickTop="1" thickBot="1">
      <c r="A20" s="126" t="str">
        <f>IF(Picks!A20="","",Picks!A20)</f>
        <v>Andy Hargreaves</v>
      </c>
      <c r="B20" s="124" t="str">
        <f>IF(Picks!B20="","",Picks!B20)</f>
        <v/>
      </c>
      <c r="C20" s="676" t="str">
        <f>IF(Picks!C20="","",Picks!C20)</f>
        <v/>
      </c>
      <c r="D20" s="120" t="str">
        <f>IF(Picks!D20="","",Picks!D20)</f>
        <v/>
      </c>
      <c r="E20" s="125" t="str">
        <f>IF(Picks!E20="","",Picks!E20)</f>
        <v/>
      </c>
      <c r="F20" s="122">
        <f>IF(Picks!F20="","",Picks!F20)</f>
        <v>-10</v>
      </c>
      <c r="G20" s="123" t="str">
        <f>IF(Picks!G20="","",Picks!G20)</f>
        <v/>
      </c>
    </row>
    <row r="21" spans="1:7" ht="13.15">
      <c r="A21" s="126"/>
      <c r="B21" s="64" t="str">
        <f>IF(Picks!B21="","",Picks!B21)</f>
        <v/>
      </c>
      <c r="C21" s="676" t="str">
        <f>IF(Picks!C21="","",Picks!C21)</f>
        <v/>
      </c>
      <c r="D21" s="117" t="str">
        <f>IF(Picks!D21="","",Picks!D21)</f>
        <v/>
      </c>
      <c r="E21" s="95" t="str">
        <f>IF(Picks!E21="","",Picks!E21)</f>
        <v/>
      </c>
      <c r="F21" s="145" t="str">
        <f>IF(Picks!F21="","",Picks!F21)</f>
        <v/>
      </c>
      <c r="G21" s="48" t="str">
        <f>IF(Picks!G21="","",Picks!G21)</f>
        <v/>
      </c>
    </row>
    <row r="22" spans="1:7" ht="13.5" thickBot="1">
      <c r="A22" s="146"/>
      <c r="B22" s="141" t="str">
        <f>IF(Picks!B22="","",Picks!B22)</f>
        <v/>
      </c>
      <c r="C22" s="677" t="str">
        <f>IF(Picks!C22="","",Picks!C22)</f>
        <v/>
      </c>
      <c r="D22" s="142" t="str">
        <f>IF(Picks!D22="","",Picks!D22)</f>
        <v/>
      </c>
      <c r="E22" s="95" t="str">
        <f>IF(Picks!E22="","",Picks!E22)</f>
        <v/>
      </c>
      <c r="F22" s="145" t="str">
        <f>IF(Picks!F22="","",Picks!F22)</f>
        <v/>
      </c>
      <c r="G22" s="48" t="str">
        <f>IF(Picks!G22="","",Picks!G22)</f>
        <v/>
      </c>
    </row>
    <row r="23" spans="1:7" ht="13.9" thickTop="1" thickBot="1">
      <c r="A23" s="126" t="str">
        <f>IF(Picks!A23="","",Picks!A23)</f>
        <v>Andy White</v>
      </c>
      <c r="B23" s="124" t="str">
        <f>IF(Picks!B23="","",Picks!B23)</f>
        <v>Villa</v>
      </c>
      <c r="C23" s="676">
        <f>IF(Picks!C23="","",Picks!C23)</f>
        <v>1</v>
      </c>
      <c r="D23" s="120">
        <f>IF(Picks!D23="","",Picks!D23)</f>
        <v>5.8</v>
      </c>
      <c r="E23" s="125" t="str">
        <f>IF(Picks!E23="","",Picks!E23)</f>
        <v>x</v>
      </c>
      <c r="F23" s="122">
        <f>IF(Picks!F23="","",Picks!F23)</f>
        <v>0.83500000000000085</v>
      </c>
      <c r="G23" s="123">
        <f>IF(Picks!G23="","",Picks!G23)</f>
        <v>52.078000000000003</v>
      </c>
    </row>
    <row r="24" spans="1:7" ht="13.15">
      <c r="A24" s="126"/>
      <c r="B24" s="64" t="str">
        <f>IF(Picks!B24="","",Picks!B24)</f>
        <v>Brighton</v>
      </c>
      <c r="C24" s="676">
        <f>IF(Picks!C24="","",Picks!C24)</f>
        <v>1</v>
      </c>
      <c r="D24" s="117">
        <f>IF(Picks!D24="","",Picks!D24)</f>
        <v>1.85</v>
      </c>
      <c r="E24" s="95" t="str">
        <f>IF(Picks!E24="","",Picks!E24)</f>
        <v>√</v>
      </c>
      <c r="F24" s="145" t="str">
        <f>IF(Picks!F24="","",Picks!F24)</f>
        <v/>
      </c>
      <c r="G24" s="48" t="str">
        <f>IF(Picks!G24="","",Picks!G24)</f>
        <v/>
      </c>
    </row>
    <row r="25" spans="1:7" ht="13.5" thickBot="1">
      <c r="A25" s="146"/>
      <c r="B25" s="141" t="str">
        <f>IF(Picks!B25="","",Picks!B25)</f>
        <v>Huddersfield</v>
      </c>
      <c r="C25" s="677">
        <f>IF(Picks!C25="","",Picks!C25)</f>
        <v>1</v>
      </c>
      <c r="D25" s="142">
        <f>IF(Picks!D25="","",Picks!D25)</f>
        <v>2.1</v>
      </c>
      <c r="E25" s="95" t="str">
        <f>IF(Picks!E25="","",Picks!E25)</f>
        <v>√</v>
      </c>
      <c r="F25" s="145" t="str">
        <f>IF(Picks!F25="","",Picks!F25)</f>
        <v/>
      </c>
      <c r="G25" s="48" t="str">
        <f>IF(Picks!G25="","",Picks!G25)</f>
        <v/>
      </c>
    </row>
    <row r="26" spans="1:7" ht="13.9" thickTop="1" thickBot="1">
      <c r="A26" s="126" t="str">
        <f>IF(Picks!A26="","",Picks!A26)</f>
        <v>Ashley Houghton</v>
      </c>
      <c r="B26" s="124" t="str">
        <f>IF(Picks!B26="","",Picks!B26)</f>
        <v>Wigan</v>
      </c>
      <c r="C26" s="676">
        <f>IF(Picks!C26="","",Picks!C26)</f>
        <v>1</v>
      </c>
      <c r="D26" s="120">
        <f>IF(Picks!D26="","",Picks!D26)</f>
        <v>1.6153846153846154</v>
      </c>
      <c r="E26" s="125" t="str">
        <f>IF(Picks!E26="","",Picks!E26)</f>
        <v>x</v>
      </c>
      <c r="F26" s="122">
        <f>IF(Picks!F26="","",Picks!F26)</f>
        <v>0</v>
      </c>
      <c r="G26" s="123">
        <f>IF(Picks!G26="","",Picks!G26)</f>
        <v>-1</v>
      </c>
    </row>
    <row r="27" spans="1:7" ht="13.15">
      <c r="A27" s="126"/>
      <c r="B27" s="64" t="str">
        <f>IF(Picks!B27="","",Picks!B27)</f>
        <v>Blackburn</v>
      </c>
      <c r="C27" s="676">
        <f>IF(Picks!C27="","",Picks!C27)</f>
        <v>1</v>
      </c>
      <c r="D27" s="117">
        <f>IF(Picks!D27="","",Picks!D27)</f>
        <v>2.4</v>
      </c>
      <c r="E27" s="95" t="str">
        <f>IF(Picks!E27="","",Picks!E27)</f>
        <v>x</v>
      </c>
      <c r="F27" s="145" t="str">
        <f>IF(Picks!F27="","",Picks!F27)</f>
        <v/>
      </c>
      <c r="G27" s="48" t="str">
        <f>IF(Picks!G27="","",Picks!G27)</f>
        <v/>
      </c>
    </row>
    <row r="28" spans="1:7" ht="13.5" thickBot="1">
      <c r="A28" s="146"/>
      <c r="B28" s="141" t="str">
        <f>IF(Picks!B28="","",Picks!B28)</f>
        <v>Bristol R</v>
      </c>
      <c r="C28" s="677">
        <f>IF(Picks!C28="","",Picks!C28)</f>
        <v>1</v>
      </c>
      <c r="D28" s="142">
        <f>IF(Picks!D28="","",Picks!D28)</f>
        <v>2.6</v>
      </c>
      <c r="E28" s="95" t="str">
        <f>IF(Picks!E28="","",Picks!E28)</f>
        <v>x</v>
      </c>
      <c r="F28" s="145" t="str">
        <f>IF(Picks!F28="","",Picks!F28)</f>
        <v/>
      </c>
      <c r="G28" s="48" t="str">
        <f>IF(Picks!G28="","",Picks!G28)</f>
        <v/>
      </c>
    </row>
    <row r="29" spans="1:7" ht="13.9" thickTop="1" thickBot="1">
      <c r="A29" s="126" t="str">
        <f>IF(Picks!A29="","",Picks!A29)</f>
        <v>Barry Birchall</v>
      </c>
      <c r="B29" s="124" t="str">
        <f>IF(Picks!B29="","",Picks!B29)</f>
        <v>Rotherham</v>
      </c>
      <c r="C29" s="676">
        <f>IF(Picks!C29="","",Picks!C29)</f>
        <v>1</v>
      </c>
      <c r="D29" s="120">
        <f>IF(Picks!D29="","",Picks!D29)</f>
        <v>1.8</v>
      </c>
      <c r="E29" s="125" t="str">
        <f>IF(Picks!E29="","",Picks!E29)</f>
        <v>x</v>
      </c>
      <c r="F29" s="122">
        <f>IF(Picks!F29="","",Picks!F29)</f>
        <v>9.2200000000000024</v>
      </c>
      <c r="G29" s="123">
        <f>IF(Picks!G29="","",Picks!G29)</f>
        <v>40.216000000000001</v>
      </c>
    </row>
    <row r="30" spans="1:7" ht="13.15">
      <c r="A30" s="126"/>
      <c r="B30" s="64" t="str">
        <f>IF(Picks!B30="","",Picks!B30)</f>
        <v>Shrewsbury</v>
      </c>
      <c r="C30" s="676">
        <f>IF(Picks!C30="","",Picks!C30)</f>
        <v>1</v>
      </c>
      <c r="D30" s="117">
        <f>IF(Picks!D30="","",Picks!D30)</f>
        <v>3.2</v>
      </c>
      <c r="E30" s="95" t="str">
        <f>IF(Picks!E30="","",Picks!E30)</f>
        <v>√</v>
      </c>
      <c r="F30" s="145" t="str">
        <f>IF(Picks!F30="","",Picks!F30)</f>
        <v/>
      </c>
      <c r="G30" s="48" t="str">
        <f>IF(Picks!G30="","",Picks!G30)</f>
        <v/>
      </c>
    </row>
    <row r="31" spans="1:7" ht="13.5" thickBot="1">
      <c r="A31" s="146"/>
      <c r="B31" s="141" t="str">
        <f>IF(Picks!B31="","",Picks!B31)</f>
        <v>Scunthorpe</v>
      </c>
      <c r="C31" s="677">
        <f>IF(Picks!C31="","",Picks!C31)</f>
        <v>1</v>
      </c>
      <c r="D31" s="142">
        <f>IF(Picks!D31="","",Picks!D31)</f>
        <v>3.1</v>
      </c>
      <c r="E31" s="95" t="str">
        <f>IF(Picks!E31="","",Picks!E31)</f>
        <v>√</v>
      </c>
      <c r="F31" s="145" t="str">
        <f>IF(Picks!F31="","",Picks!F31)</f>
        <v/>
      </c>
      <c r="G31" s="48" t="str">
        <f>IF(Picks!G31="","",Picks!G31)</f>
        <v/>
      </c>
    </row>
    <row r="32" spans="1:7" ht="13.9" thickTop="1" thickBot="1">
      <c r="A32" s="126" t="str">
        <f>IF(Picks!A32="","",Picks!A32)</f>
        <v>Ben Rosser</v>
      </c>
      <c r="B32" s="124" t="str">
        <f>IF(Picks!B32="","",Picks!B32)</f>
        <v>Villa</v>
      </c>
      <c r="C32" s="676">
        <f>IF(Picks!C32="","",Picks!C32)</f>
        <v>1</v>
      </c>
      <c r="D32" s="120">
        <f>IF(Picks!D32="","",Picks!D32)</f>
        <v>5.8</v>
      </c>
      <c r="E32" s="125" t="str">
        <f>IF(Picks!E32="","",Picks!E32)</f>
        <v>x</v>
      </c>
      <c r="F32" s="122">
        <f>IF(Picks!F32="","",Picks!F32)</f>
        <v>-3</v>
      </c>
      <c r="G32" s="123">
        <f>IF(Picks!G32="","",Picks!G32)</f>
        <v>28.3</v>
      </c>
    </row>
    <row r="33" spans="1:7" ht="13.15">
      <c r="A33" s="126"/>
      <c r="B33" s="64" t="str">
        <f>IF(Picks!B33="","",Picks!B33)</f>
        <v>Wolves draw</v>
      </c>
      <c r="C33" s="676">
        <f>IF(Picks!C33="","",Picks!C33)</f>
        <v>1</v>
      </c>
      <c r="D33" s="117">
        <f>IF(Picks!D33="","",Picks!D33)</f>
        <v>3.5</v>
      </c>
      <c r="E33" s="95" t="str">
        <f>IF(Picks!E33="","",Picks!E33)</f>
        <v>√</v>
      </c>
      <c r="F33" s="145" t="str">
        <f>IF(Picks!F33="","",Picks!F33)</f>
        <v/>
      </c>
      <c r="G33" s="48" t="str">
        <f>IF(Picks!G33="","",Picks!G33)</f>
        <v/>
      </c>
    </row>
    <row r="34" spans="1:7" ht="13.5" thickBot="1">
      <c r="A34" s="146"/>
      <c r="B34" s="141" t="str">
        <f>IF(Picks!B34="","",Picks!B34)</f>
        <v>Spurs draw</v>
      </c>
      <c r="C34" s="677">
        <f>IF(Picks!C34="","",Picks!C34)</f>
        <v>1</v>
      </c>
      <c r="D34" s="142">
        <f>IF(Picks!D34="","",Picks!D34)</f>
        <v>3.75</v>
      </c>
      <c r="E34" s="95" t="str">
        <f>IF(Picks!E34="","",Picks!E34)</f>
        <v>x</v>
      </c>
      <c r="F34" s="145" t="str">
        <f>IF(Picks!F34="","",Picks!F34)</f>
        <v/>
      </c>
      <c r="G34" s="48" t="str">
        <f>IF(Picks!G34="","",Picks!G34)</f>
        <v/>
      </c>
    </row>
    <row r="35" spans="1:7" ht="13.9" thickTop="1" thickBot="1">
      <c r="A35" s="126" t="str">
        <f>IF(Picks!A35="","",Picks!A35)</f>
        <v>Bob Bailey</v>
      </c>
      <c r="B35" s="124" t="str">
        <f>IF(Picks!B35="","",Picks!B35)</f>
        <v>Wolves</v>
      </c>
      <c r="C35" s="676">
        <f>IF(Picks!C35="","",Picks!C35)</f>
        <v>1</v>
      </c>
      <c r="D35" s="120">
        <f>IF(Picks!D35="","",Picks!D35)</f>
        <v>1.8333333333333335</v>
      </c>
      <c r="E35" s="125" t="str">
        <f>IF(Picks!E35="","",Picks!E35)</f>
        <v>x</v>
      </c>
      <c r="F35" s="122">
        <f>IF(Picks!F35="","",Picks!F35)</f>
        <v>-1</v>
      </c>
      <c r="G35" s="123">
        <f>IF(Picks!G35="","",Picks!G35)</f>
        <v>4.8</v>
      </c>
    </row>
    <row r="36" spans="1:7" ht="13.15">
      <c r="A36" s="126"/>
      <c r="B36" s="64" t="str">
        <f>IF(Picks!B36="","",Picks!B36)</f>
        <v>Villa</v>
      </c>
      <c r="C36" s="676">
        <f>IF(Picks!C36="","",Picks!C36)</f>
        <v>1</v>
      </c>
      <c r="D36" s="117">
        <f>IF(Picks!D36="","",Picks!D36)</f>
        <v>5.8</v>
      </c>
      <c r="E36" s="95" t="str">
        <f>IF(Picks!E36="","",Picks!E36)</f>
        <v>x</v>
      </c>
      <c r="F36" s="145" t="str">
        <f>IF(Picks!F36="","",Picks!F36)</f>
        <v/>
      </c>
      <c r="G36" s="48" t="str">
        <f>IF(Picks!G36="","",Picks!G36)</f>
        <v/>
      </c>
    </row>
    <row r="37" spans="1:7" ht="13.5" thickBot="1">
      <c r="A37" s="146"/>
      <c r="B37" s="141" t="str">
        <f>IF(Picks!B37="","",Picks!B37)</f>
        <v>Millwall</v>
      </c>
      <c r="C37" s="677">
        <f>IF(Picks!C37="","",Picks!C37)</f>
        <v>1</v>
      </c>
      <c r="D37" s="142">
        <f>IF(Picks!D37="","",Picks!D37)</f>
        <v>2.375</v>
      </c>
      <c r="E37" s="95" t="str">
        <f>IF(Picks!E37="","",Picks!E37)</f>
        <v>x</v>
      </c>
      <c r="F37" s="145" t="str">
        <f>IF(Picks!F37="","",Picks!F37)</f>
        <v/>
      </c>
      <c r="G37" s="48" t="str">
        <f>IF(Picks!G37="","",Picks!G37)</f>
        <v/>
      </c>
    </row>
    <row r="38" spans="1:7" ht="13.9" thickTop="1" thickBot="1">
      <c r="A38" s="126" t="str">
        <f>IF(Picks!A38="","",Picks!A38)</f>
        <v>Charlie Griffiths</v>
      </c>
      <c r="B38" s="124" t="str">
        <f>IF(Picks!B38="","",Picks!B38)</f>
        <v>Blackburn</v>
      </c>
      <c r="C38" s="676">
        <f>IF(Picks!C38="","",Picks!C38)</f>
        <v>1</v>
      </c>
      <c r="D38" s="120">
        <f>IF(Picks!D38="","",Picks!D38)</f>
        <v>2.4</v>
      </c>
      <c r="E38" s="125" t="str">
        <f>IF(Picks!E38="","",Picks!E38)</f>
        <v>x</v>
      </c>
      <c r="F38" s="122">
        <f>IF(Picks!F38="","",Picks!F38)</f>
        <v>1.1000000000000001</v>
      </c>
      <c r="G38" s="123">
        <f>IF(Picks!G38="","",Picks!G38)</f>
        <v>1.1000000000000001</v>
      </c>
    </row>
    <row r="39" spans="1:7" ht="13.15">
      <c r="A39" s="126"/>
      <c r="B39" s="64" t="str">
        <f>IF(Picks!B39="","",Picks!B39)</f>
        <v>Sheff U</v>
      </c>
      <c r="C39" s="676">
        <f>IF(Picks!C39="","",Picks!C39)</f>
        <v>1</v>
      </c>
      <c r="D39" s="117">
        <f>IF(Picks!D39="","",Picks!D39)</f>
        <v>2.375</v>
      </c>
      <c r="E39" s="95" t="str">
        <f>IF(Picks!E39="","",Picks!E39)</f>
        <v>x</v>
      </c>
      <c r="F39" s="145" t="str">
        <f>IF(Picks!F39="","",Picks!F39)</f>
        <v/>
      </c>
      <c r="G39" s="48" t="str">
        <f>IF(Picks!G39="","",Picks!G39)</f>
        <v/>
      </c>
    </row>
    <row r="40" spans="1:7" ht="13.5" thickBot="1">
      <c r="A40" s="146"/>
      <c r="B40" s="141" t="str">
        <f>IF(Picks!B40="","",Picks!B40)</f>
        <v>Middlesbro</v>
      </c>
      <c r="C40" s="677">
        <f>IF(Picks!C40="","",Picks!C40)</f>
        <v>1</v>
      </c>
      <c r="D40" s="142">
        <f>IF(Picks!D40="","",Picks!D40)</f>
        <v>2.1</v>
      </c>
      <c r="E40" s="95" t="str">
        <f>IF(Picks!E40="","",Picks!E40)</f>
        <v>√</v>
      </c>
      <c r="F40" s="145" t="str">
        <f>IF(Picks!F40="","",Picks!F40)</f>
        <v/>
      </c>
      <c r="G40" s="48" t="str">
        <f>IF(Picks!G40="","",Picks!G40)</f>
        <v/>
      </c>
    </row>
    <row r="41" spans="1:7" ht="13.9" thickTop="1" thickBot="1">
      <c r="A41" s="126" t="str">
        <f>IF(Picks!A41="","",Picks!A41)</f>
        <v>Chris Bow</v>
      </c>
      <c r="B41" s="124" t="str">
        <f>IF(Picks!B41="","",Picks!B41)</f>
        <v>Villa</v>
      </c>
      <c r="C41" s="676">
        <f>IF(Picks!C41="","",Picks!C41)</f>
        <v>1</v>
      </c>
      <c r="D41" s="120">
        <f>IF(Picks!D41="","",Picks!D41)</f>
        <v>5.8</v>
      </c>
      <c r="E41" s="125" t="str">
        <f>IF(Picks!E41="","",Picks!E41)</f>
        <v>x</v>
      </c>
      <c r="F41" s="122">
        <f>IF(Picks!F41="","",Picks!F41)</f>
        <v>7.75</v>
      </c>
      <c r="G41" s="123">
        <f>IF(Picks!G41="","",Picks!G41)</f>
        <v>99.1</v>
      </c>
    </row>
    <row r="42" spans="1:7" ht="13.15">
      <c r="A42" s="126"/>
      <c r="B42" s="64" t="str">
        <f>IF(Picks!B42="","",Picks!B42)</f>
        <v>Accrington</v>
      </c>
      <c r="C42" s="676">
        <f>IF(Picks!C42="","",Picks!C42)</f>
        <v>1</v>
      </c>
      <c r="D42" s="117">
        <f>IF(Picks!D42="","",Picks!D42)</f>
        <v>4</v>
      </c>
      <c r="E42" s="95" t="str">
        <f>IF(Picks!E42="","",Picks!E42)</f>
        <v>√</v>
      </c>
      <c r="F42" s="145" t="str">
        <f>IF(Picks!F42="","",Picks!F42)</f>
        <v/>
      </c>
      <c r="G42" s="48" t="str">
        <f>IF(Picks!G42="","",Picks!G42)</f>
        <v/>
      </c>
    </row>
    <row r="43" spans="1:7" ht="13.5" thickBot="1">
      <c r="A43" s="146"/>
      <c r="B43" s="141" t="str">
        <f>IF(Picks!B43="","",Picks!B43)</f>
        <v>Tranmere</v>
      </c>
      <c r="C43" s="677">
        <f>IF(Picks!C43="","",Picks!C43)</f>
        <v>1</v>
      </c>
      <c r="D43" s="142">
        <f>IF(Picks!D43="","",Picks!D43)</f>
        <v>2.15</v>
      </c>
      <c r="E43" s="95" t="str">
        <f>IF(Picks!E43="","",Picks!E43)</f>
        <v>√</v>
      </c>
      <c r="F43" s="145" t="str">
        <f>IF(Picks!F43="","",Picks!F43)</f>
        <v/>
      </c>
      <c r="G43" s="48" t="str">
        <f>IF(Picks!G43="","",Picks!G43)</f>
        <v/>
      </c>
    </row>
    <row r="44" spans="1:7" ht="13.9" thickTop="1" thickBot="1">
      <c r="A44" s="126" t="str">
        <f>IF(Picks!A44="","",Picks!A44)</f>
        <v>Chris Griffin</v>
      </c>
      <c r="B44" s="124" t="str">
        <f>IF(Picks!B44="","",Picks!B44)</f>
        <v>Tranmere</v>
      </c>
      <c r="C44" s="676">
        <f>IF(Picks!C44="","",Picks!C44)</f>
        <v>1</v>
      </c>
      <c r="D44" s="120">
        <f>IF(Picks!D44="","",Picks!D44)</f>
        <v>2.15</v>
      </c>
      <c r="E44" s="125" t="str">
        <f>IF(Picks!E44="","",Picks!E44)</f>
        <v>√</v>
      </c>
      <c r="F44" s="122">
        <f>IF(Picks!F44="","",Picks!F44)</f>
        <v>-4.8499999999999996</v>
      </c>
      <c r="G44" s="123">
        <f>IF(Picks!G44="","",Picks!G44)</f>
        <v>30.981250000000003</v>
      </c>
    </row>
    <row r="45" spans="1:7" ht="13.15">
      <c r="A45" s="126"/>
      <c r="B45" s="64" t="str">
        <f>IF(Picks!B45="","",Picks!B45)</f>
        <v>West Ham</v>
      </c>
      <c r="C45" s="676">
        <f>IF(Picks!C45="","",Picks!C45)</f>
        <v>1</v>
      </c>
      <c r="D45" s="117">
        <f>IF(Picks!D45="","",Picks!D45)</f>
        <v>1.75</v>
      </c>
      <c r="E45" s="95" t="str">
        <f>IF(Picks!E45="","",Picks!E45)</f>
        <v>x</v>
      </c>
      <c r="F45" s="145" t="str">
        <f>IF(Picks!F45="","",Picks!F45)</f>
        <v/>
      </c>
      <c r="G45" s="48" t="str">
        <f>IF(Picks!G45="","",Picks!G45)</f>
        <v/>
      </c>
    </row>
    <row r="46" spans="1:7" ht="13.5" thickBot="1">
      <c r="A46" s="146"/>
      <c r="B46" s="141" t="str">
        <f>IF(Picks!B46="","",Picks!B46)</f>
        <v>Brighton draw</v>
      </c>
      <c r="C46" s="677">
        <f>IF(Picks!C46="","",Picks!C46)</f>
        <v>1</v>
      </c>
      <c r="D46" s="142">
        <f>IF(Picks!D46="","",Picks!D46)</f>
        <v>3.5</v>
      </c>
      <c r="E46" s="95" t="str">
        <f>IF(Picks!E46="","",Picks!E46)</f>
        <v>x</v>
      </c>
      <c r="F46" s="145" t="str">
        <f>IF(Picks!F46="","",Picks!F46)</f>
        <v/>
      </c>
      <c r="G46" s="48" t="str">
        <f>IF(Picks!G46="","",Picks!G46)</f>
        <v/>
      </c>
    </row>
    <row r="47" spans="1:7" ht="13.9" thickTop="1" thickBot="1">
      <c r="A47" s="126" t="str">
        <f>IF(Picks!A47="","",Picks!A47)</f>
        <v>Chris Luck</v>
      </c>
      <c r="B47" s="124" t="str">
        <f>IF(Picks!B47="","",Picks!B47)</f>
        <v>Brighton draw</v>
      </c>
      <c r="C47" s="676">
        <f>IF(Picks!C47="","",Picks!C47)</f>
        <v>1</v>
      </c>
      <c r="D47" s="120">
        <f>IF(Picks!D47="","",Picks!D47)</f>
        <v>3.5</v>
      </c>
      <c r="E47" s="125" t="str">
        <f>IF(Picks!E47="","",Picks!E47)</f>
        <v>x</v>
      </c>
      <c r="F47" s="122">
        <f>IF(Picks!F47="","",Picks!F47)</f>
        <v>-7</v>
      </c>
      <c r="G47" s="123">
        <f>IF(Picks!G47="","",Picks!G47)</f>
        <v>152.3125</v>
      </c>
    </row>
    <row r="48" spans="1:7" ht="13.15">
      <c r="A48" s="147"/>
      <c r="B48" s="64" t="str">
        <f>IF(Picks!B48="","",Picks!B48)</f>
        <v>Man C draw</v>
      </c>
      <c r="C48" s="676">
        <f>IF(Picks!C48="","",Picks!C48)</f>
        <v>1</v>
      </c>
      <c r="D48" s="117">
        <f>IF(Picks!D48="","",Picks!D48)</f>
        <v>6.5</v>
      </c>
      <c r="E48" s="95" t="str">
        <f>IF(Picks!E48="","",Picks!E48)</f>
        <v>x</v>
      </c>
      <c r="F48" s="145" t="str">
        <f>IF(Picks!F48="","",Picks!F48)</f>
        <v/>
      </c>
      <c r="G48" s="48" t="str">
        <f>IF(Picks!G48="","",Picks!G48)</f>
        <v/>
      </c>
    </row>
    <row r="49" spans="1:7" ht="13.5" thickBot="1">
      <c r="A49" s="146"/>
      <c r="B49" s="141" t="str">
        <f>IF(Picks!B49="","",Picks!B49)</f>
        <v>Spurs draw</v>
      </c>
      <c r="C49" s="677">
        <f>IF(Picks!C49="","",Picks!C49)</f>
        <v>1</v>
      </c>
      <c r="D49" s="142">
        <f>IF(Picks!D49="","",Picks!D49)</f>
        <v>3.75</v>
      </c>
      <c r="E49" s="95" t="str">
        <f>IF(Picks!E49="","",Picks!E49)</f>
        <v>x</v>
      </c>
      <c r="F49" s="145" t="str">
        <f>IF(Picks!F49="","",Picks!F49)</f>
        <v/>
      </c>
      <c r="G49" s="48" t="str">
        <f>IF(Picks!G49="","",Picks!G49)</f>
        <v/>
      </c>
    </row>
    <row r="50" spans="1:7" ht="13.9" thickTop="1" thickBot="1">
      <c r="A50" s="126" t="str">
        <f>IF(Picks!A50="","",Picks!A50)</f>
        <v>Chris Townsend</v>
      </c>
      <c r="B50" s="124" t="str">
        <f>IF(Picks!B50="","",Picks!B50)</f>
        <v>Chelsea</v>
      </c>
      <c r="C50" s="676">
        <f>IF(Picks!C50="","",Picks!C50)</f>
        <v>1</v>
      </c>
      <c r="D50" s="120">
        <f>IF(Picks!D50="","",Picks!D50)</f>
        <v>1.6153846153846154</v>
      </c>
      <c r="E50" s="125" t="str">
        <f>IF(Picks!E50="","",Picks!E50)</f>
        <v>√</v>
      </c>
      <c r="F50" s="122">
        <f>IF(Picks!F50="","",Picks!F50)</f>
        <v>-0.54615384615384599</v>
      </c>
      <c r="G50" s="123">
        <f>IF(Picks!G50="","",Picks!G50)</f>
        <v>34.859615384615381</v>
      </c>
    </row>
    <row r="51" spans="1:7" ht="13.15">
      <c r="A51" s="126"/>
      <c r="B51" s="64" t="str">
        <f>IF(Picks!B51="","",Picks!B51)</f>
        <v>Brighton</v>
      </c>
      <c r="C51" s="676">
        <f>IF(Picks!C51="","",Picks!C51)</f>
        <v>1</v>
      </c>
      <c r="D51" s="117">
        <f>IF(Picks!D51="","",Picks!D51)</f>
        <v>1.85</v>
      </c>
      <c r="E51" s="95" t="str">
        <f>IF(Picks!E51="","",Picks!E51)</f>
        <v>√</v>
      </c>
      <c r="F51" s="145" t="str">
        <f>IF(Picks!F51="","",Picks!F51)</f>
        <v/>
      </c>
      <c r="G51" s="48" t="str">
        <f>IF(Picks!G51="","",Picks!G51)</f>
        <v/>
      </c>
    </row>
    <row r="52" spans="1:7" ht="13.5" thickBot="1">
      <c r="A52" s="146"/>
      <c r="B52" s="141" t="str">
        <f>IF(Picks!B52="","",Picks!B52)</f>
        <v>Southend</v>
      </c>
      <c r="C52" s="677">
        <f>IF(Picks!C52="","",Picks!C52)</f>
        <v>1</v>
      </c>
      <c r="D52" s="142">
        <f>IF(Picks!D52="","",Picks!D52)</f>
        <v>4.75</v>
      </c>
      <c r="E52" s="95" t="str">
        <f>IF(Picks!E52="","",Picks!E52)</f>
        <v>x</v>
      </c>
      <c r="F52" s="145" t="str">
        <f>IF(Picks!F52="","",Picks!F52)</f>
        <v/>
      </c>
      <c r="G52" s="48" t="str">
        <f>IF(Picks!G52="","",Picks!G52)</f>
        <v/>
      </c>
    </row>
    <row r="53" spans="1:7" ht="13.9" thickTop="1" thickBot="1">
      <c r="A53" s="126" t="str">
        <f>IF(Picks!A53="","",Picks!A53)</f>
        <v>Dan Gibbard</v>
      </c>
      <c r="B53" s="124" t="str">
        <f>IF(Picks!B53="","",Picks!B53)</f>
        <v>Blackburn</v>
      </c>
      <c r="C53" s="676">
        <f>IF(Picks!C53="","",Picks!C53)</f>
        <v>1</v>
      </c>
      <c r="D53" s="120">
        <f>IF(Picks!D53="","",Picks!D53)</f>
        <v>2.4</v>
      </c>
      <c r="E53" s="125" t="str">
        <f>IF(Picks!E53="","",Picks!E53)</f>
        <v>x</v>
      </c>
      <c r="F53" s="122">
        <f>IF(Picks!F53="","",Picks!F53)</f>
        <v>-1.3</v>
      </c>
      <c r="G53" s="123">
        <f>IF(Picks!G53="","",Picks!G53)</f>
        <v>8.1499999999999986</v>
      </c>
    </row>
    <row r="54" spans="1:7" ht="13.15">
      <c r="A54" s="126"/>
      <c r="B54" s="64" t="str">
        <f>IF(Picks!B54="","",Picks!B54)</f>
        <v>Brighton Draw</v>
      </c>
      <c r="C54" s="676">
        <f>IF(Picks!C54="","",Picks!C54)</f>
        <v>1</v>
      </c>
      <c r="D54" s="117">
        <f>IF(Picks!D54="","",Picks!D54)</f>
        <v>3.5</v>
      </c>
      <c r="E54" s="95" t="str">
        <f>IF(Picks!E54="","",Picks!E54)</f>
        <v>x</v>
      </c>
      <c r="F54" s="145" t="str">
        <f>IF(Picks!F54="","",Picks!F54)</f>
        <v/>
      </c>
      <c r="G54" s="48" t="str">
        <f>IF(Picks!G54="","",Picks!G54)</f>
        <v/>
      </c>
    </row>
    <row r="55" spans="1:7" ht="13.5" thickBot="1">
      <c r="A55" s="146"/>
      <c r="B55" s="141" t="str">
        <f>IF(Picks!B55="","",Picks!B55)</f>
        <v>Spurs</v>
      </c>
      <c r="C55" s="677">
        <f>IF(Picks!C55="","",Picks!C55)</f>
        <v>1</v>
      </c>
      <c r="D55" s="142">
        <f>IF(Picks!D55="","",Picks!D55)</f>
        <v>1.7</v>
      </c>
      <c r="E55" s="95" t="str">
        <f>IF(Picks!E55="","",Picks!E55)</f>
        <v>√</v>
      </c>
      <c r="F55" s="145" t="str">
        <f>IF(Picks!F55="","",Picks!F55)</f>
        <v/>
      </c>
      <c r="G55" s="48" t="str">
        <f>IF(Picks!G55="","",Picks!G55)</f>
        <v/>
      </c>
    </row>
    <row r="56" spans="1:7" ht="13.9" thickTop="1" thickBot="1">
      <c r="A56" s="126" t="str">
        <f>IF(Picks!A56="","",Picks!A56)</f>
        <v>Dave Bell</v>
      </c>
      <c r="B56" s="124" t="str">
        <f>IF(Picks!B56="","",Picks!B56)</f>
        <v>Leicester</v>
      </c>
      <c r="C56" s="676">
        <f>IF(Picks!C56="","",Picks!C56)</f>
        <v>1</v>
      </c>
      <c r="D56" s="120">
        <f>IF(Picks!D56="","",Picks!D56)</f>
        <v>13</v>
      </c>
      <c r="E56" s="125" t="str">
        <f>IF(Picks!E56="","",Picks!E56)</f>
        <v>x</v>
      </c>
      <c r="F56" s="122">
        <f>IF(Picks!F56="","",Picks!F56)</f>
        <v>-7</v>
      </c>
      <c r="G56" s="123">
        <f>IF(Picks!G56="","",Picks!G56)</f>
        <v>801.2</v>
      </c>
    </row>
    <row r="57" spans="1:7" ht="13.15">
      <c r="A57" s="126"/>
      <c r="B57" s="64" t="str">
        <f>IF(Picks!B57="","",Picks!B57)</f>
        <v>Norwich</v>
      </c>
      <c r="C57" s="676">
        <f>IF(Picks!C57="","",Picks!C57)</f>
        <v>1</v>
      </c>
      <c r="D57" s="117">
        <f>IF(Picks!D57="","",Picks!D57)</f>
        <v>7.5</v>
      </c>
      <c r="E57" s="95" t="str">
        <f>IF(Picks!E57="","",Picks!E57)</f>
        <v>x</v>
      </c>
      <c r="F57" s="145" t="str">
        <f>IF(Picks!F57="","",Picks!F57)</f>
        <v/>
      </c>
      <c r="G57" s="48" t="str">
        <f>IF(Picks!G57="","",Picks!G57)</f>
        <v/>
      </c>
    </row>
    <row r="58" spans="1:7" ht="13.5" thickBot="1">
      <c r="A58" s="146"/>
      <c r="B58" s="141" t="str">
        <f>IF(Picks!B58="","",Picks!B58)</f>
        <v>Villa</v>
      </c>
      <c r="C58" s="677">
        <f>IF(Picks!C58="","",Picks!C58)</f>
        <v>1</v>
      </c>
      <c r="D58" s="142">
        <f>IF(Picks!D58="","",Picks!D58)</f>
        <v>5.8</v>
      </c>
      <c r="E58" s="95" t="str">
        <f>IF(Picks!E58="","",Picks!E58)</f>
        <v>x</v>
      </c>
      <c r="F58" s="145" t="str">
        <f>IF(Picks!F58="","",Picks!F58)</f>
        <v/>
      </c>
      <c r="G58" s="48" t="str">
        <f>IF(Picks!G58="","",Picks!G58)</f>
        <v/>
      </c>
    </row>
    <row r="59" spans="1:7" ht="13.9" thickTop="1" thickBot="1">
      <c r="A59" s="126" t="str">
        <f>IF(Picks!A59="","",Picks!A59)</f>
        <v>Dave Orrell</v>
      </c>
      <c r="B59" s="124" t="str">
        <f>IF(Picks!B59="","",Picks!B59)</f>
        <v>Oldham</v>
      </c>
      <c r="C59" s="676">
        <f>IF(Picks!C59="","",Picks!C59)</f>
        <v>1</v>
      </c>
      <c r="D59" s="120">
        <f>IF(Picks!D59="","",Picks!D59)</f>
        <v>2.2000000000000002</v>
      </c>
      <c r="E59" s="125" t="str">
        <f>IF(Picks!E59="","",Picks!E59)</f>
        <v>x</v>
      </c>
      <c r="F59" s="122">
        <f>IF(Picks!F59="","",Picks!F59)</f>
        <v>-1.1709401709401703</v>
      </c>
      <c r="G59" s="123">
        <f>IF(Picks!G59="","",Picks!G59)</f>
        <v>13.852991452991454</v>
      </c>
    </row>
    <row r="60" spans="1:7" ht="13.15">
      <c r="A60" s="126"/>
      <c r="B60" s="64" t="str">
        <f>IF(Picks!B60="","",Picks!B60)</f>
        <v>Dagenham</v>
      </c>
      <c r="C60" s="676">
        <f>IF(Picks!C60="","",Picks!C60)</f>
        <v>1</v>
      </c>
      <c r="D60" s="117">
        <f>IF(Picks!D60="","",Picks!D60)</f>
        <v>1.6111111111111112</v>
      </c>
      <c r="E60" s="95" t="str">
        <f>IF(Picks!E60="","",Picks!E60)</f>
        <v>√</v>
      </c>
      <c r="F60" s="145" t="str">
        <f>IF(Picks!F60="","",Picks!F60)</f>
        <v/>
      </c>
      <c r="G60" s="48" t="str">
        <f>IF(Picks!G60="","",Picks!G60)</f>
        <v/>
      </c>
    </row>
    <row r="61" spans="1:7" ht="13.5" thickBot="1">
      <c r="A61" s="146"/>
      <c r="B61" s="141" t="str">
        <f>IF(Picks!B61="","",Picks!B61)</f>
        <v>Chelsea</v>
      </c>
      <c r="C61" s="677">
        <f>IF(Picks!C61="","",Picks!C61)</f>
        <v>1</v>
      </c>
      <c r="D61" s="142">
        <f>IF(Picks!D61="","",Picks!D61)</f>
        <v>1.6153846153846154</v>
      </c>
      <c r="E61" s="95" t="str">
        <f>IF(Picks!E61="","",Picks!E61)</f>
        <v>√</v>
      </c>
      <c r="F61" s="145" t="str">
        <f>IF(Picks!F61="","",Picks!F61)</f>
        <v/>
      </c>
      <c r="G61" s="48" t="str">
        <f>IF(Picks!G61="","",Picks!G61)</f>
        <v/>
      </c>
    </row>
    <row r="62" spans="1:7" ht="13.9" thickTop="1" thickBot="1">
      <c r="A62" s="126" t="str">
        <f>IF(Picks!A62="","",Picks!A62)</f>
        <v>David Dunn</v>
      </c>
      <c r="B62" s="124" t="str">
        <f>IF(Picks!B62="","",Picks!B62)</f>
        <v>Brighton Draw</v>
      </c>
      <c r="C62" s="676">
        <f>IF(Picks!C62="","",Picks!C62)</f>
        <v>1</v>
      </c>
      <c r="D62" s="120">
        <f>IF(Picks!D62="","",Picks!D62)</f>
        <v>3.5</v>
      </c>
      <c r="E62" s="125" t="str">
        <f>IF(Picks!E62="","",Picks!E62)</f>
        <v>x</v>
      </c>
      <c r="F62" s="122">
        <f>IF(Picks!F62="","",Picks!F62)</f>
        <v>-3</v>
      </c>
      <c r="G62" s="123">
        <f>IF(Picks!G62="","",Picks!G62)</f>
        <v>8.375</v>
      </c>
    </row>
    <row r="63" spans="1:7" ht="13.15">
      <c r="A63" s="126"/>
      <c r="B63" s="64" t="str">
        <f>IF(Picks!B63="","",Picks!B63)</f>
        <v>Cardiff Draw</v>
      </c>
      <c r="C63" s="676">
        <f>IF(Picks!C63="","",Picks!C63)</f>
        <v>1</v>
      </c>
      <c r="D63" s="117">
        <f>IF(Picks!D63="","",Picks!D63)</f>
        <v>3.25</v>
      </c>
      <c r="E63" s="95" t="str">
        <f>IF(Picks!E63="","",Picks!E63)</f>
        <v>√</v>
      </c>
      <c r="F63" s="145" t="str">
        <f>IF(Picks!F63="","",Picks!F63)</f>
        <v/>
      </c>
      <c r="G63" s="48" t="str">
        <f>IF(Picks!G63="","",Picks!G63)</f>
        <v/>
      </c>
    </row>
    <row r="64" spans="1:7" ht="13.5" thickBot="1">
      <c r="A64" s="146"/>
      <c r="B64" s="141" t="str">
        <f>IF(Picks!B64="","",Picks!B64)</f>
        <v>West Ham</v>
      </c>
      <c r="C64" s="677">
        <f>IF(Picks!C64="","",Picks!C64)</f>
        <v>1</v>
      </c>
      <c r="D64" s="142">
        <f>IF(Picks!D64="","",Picks!D64)</f>
        <v>1.75</v>
      </c>
      <c r="E64" s="95" t="str">
        <f>IF(Picks!E64="","",Picks!E64)</f>
        <v>x</v>
      </c>
      <c r="F64" s="145" t="str">
        <f>IF(Picks!F64="","",Picks!F64)</f>
        <v/>
      </c>
      <c r="G64" s="48" t="str">
        <f>IF(Picks!G64="","",Picks!G64)</f>
        <v/>
      </c>
    </row>
    <row r="65" spans="1:7" ht="13.9" thickTop="1" thickBot="1">
      <c r="A65" s="126" t="str">
        <f>IF(Picks!A65="","",Picks!A65)</f>
        <v>Frank Allen</v>
      </c>
      <c r="B65" s="124" t="str">
        <f>IF(Picks!B65="","",Picks!B65)</f>
        <v>MK Dons</v>
      </c>
      <c r="C65" s="676">
        <f>IF(Picks!C65="","",Picks!C65)</f>
        <v>1</v>
      </c>
      <c r="D65" s="120">
        <f>IF(Picks!D65="","",Picks!D65)</f>
        <v>2.25</v>
      </c>
      <c r="E65" s="125" t="str">
        <f>IF(Picks!E65="","",Picks!E65)</f>
        <v>√</v>
      </c>
      <c r="F65" s="122">
        <f>IF(Picks!F65="","",Picks!F65)</f>
        <v>21.781818181818181</v>
      </c>
      <c r="G65" s="123">
        <f>IF(Picks!G65="","",Picks!G65)</f>
        <v>21.781818181818181</v>
      </c>
    </row>
    <row r="66" spans="1:7" ht="13.15">
      <c r="A66" s="126"/>
      <c r="B66" s="64" t="str">
        <f>IF(Picks!B66="","",Picks!B66)</f>
        <v>Mansfield</v>
      </c>
      <c r="C66" s="676">
        <f>IF(Picks!C66="","",Picks!C66)</f>
        <v>1</v>
      </c>
      <c r="D66" s="117">
        <f>IF(Picks!D66="","",Picks!D66)</f>
        <v>1.9090909090909092</v>
      </c>
      <c r="E66" s="95" t="str">
        <f>IF(Picks!E66="","",Picks!E66)</f>
        <v>√</v>
      </c>
      <c r="F66" s="145" t="str">
        <f>IF(Picks!F66="","",Picks!F66)</f>
        <v/>
      </c>
      <c r="G66" s="48" t="str">
        <f>IF(Picks!G66="","",Picks!G66)</f>
        <v/>
      </c>
    </row>
    <row r="67" spans="1:7" ht="13.5" thickBot="1">
      <c r="A67" s="146"/>
      <c r="B67" s="141" t="str">
        <f>IF(Picks!B67="","",Picks!B67)</f>
        <v>Tranmere</v>
      </c>
      <c r="C67" s="677">
        <f>IF(Picks!C67="","",Picks!C67)</f>
        <v>1</v>
      </c>
      <c r="D67" s="142">
        <f>IF(Picks!D67="","",Picks!D67)</f>
        <v>2.15</v>
      </c>
      <c r="E67" s="95" t="str">
        <f>IF(Picks!E67="","",Picks!E67)</f>
        <v>√</v>
      </c>
      <c r="F67" s="145" t="str">
        <f>IF(Picks!F67="","",Picks!F67)</f>
        <v/>
      </c>
      <c r="G67" s="48" t="str">
        <f>IF(Picks!G67="","",Picks!G67)</f>
        <v/>
      </c>
    </row>
    <row r="68" spans="1:7" ht="13.9" thickTop="1" thickBot="1">
      <c r="A68" s="126" t="str">
        <f>IF(Picks!A68="","",Picks!A68)</f>
        <v>Gareth McGuire</v>
      </c>
      <c r="B68" s="124" t="str">
        <f>IF(Picks!B68="","",Picks!B68)</f>
        <v>Arsenal</v>
      </c>
      <c r="C68" s="676">
        <f>IF(Picks!C68="","",Picks!C68)</f>
        <v>1</v>
      </c>
      <c r="D68" s="120">
        <f>IF(Picks!D68="","",Picks!D68)</f>
        <v>1.4444444444444444</v>
      </c>
      <c r="E68" s="125" t="str">
        <f>IF(Picks!E68="","",Picks!E68)</f>
        <v>√</v>
      </c>
      <c r="F68" s="122">
        <f>IF(Picks!F68="","",Picks!F68)</f>
        <v>-0.4222222222222225</v>
      </c>
      <c r="G68" s="123">
        <f>IF(Picks!G68="","",Picks!G68)</f>
        <v>13.217777777777776</v>
      </c>
    </row>
    <row r="69" spans="1:7" ht="13.15">
      <c r="A69" s="126"/>
      <c r="B69" s="64" t="str">
        <f>IF(Picks!B69="","",Picks!B69)</f>
        <v>Huddersfield</v>
      </c>
      <c r="C69" s="676">
        <f>IF(Picks!C69="","",Picks!C69)</f>
        <v>1</v>
      </c>
      <c r="D69" s="117">
        <f>IF(Picks!D69="","",Picks!D69)</f>
        <v>2.1</v>
      </c>
      <c r="E69" s="95" t="str">
        <f>IF(Picks!E69="","",Picks!E69)</f>
        <v>√</v>
      </c>
      <c r="F69" s="145" t="str">
        <f>IF(Picks!F69="","",Picks!F69)</f>
        <v/>
      </c>
      <c r="G69" s="48" t="str">
        <f>IF(Picks!G69="","",Picks!G69)</f>
        <v/>
      </c>
    </row>
    <row r="70" spans="1:7" ht="13.5" thickBot="1">
      <c r="A70" s="146"/>
      <c r="B70" s="141" t="str">
        <f>IF(Picks!B70="","",Picks!B70)</f>
        <v>Rotherham</v>
      </c>
      <c r="C70" s="677">
        <f>IF(Picks!C70="","",Picks!C70)</f>
        <v>1</v>
      </c>
      <c r="D70" s="142">
        <f>IF(Picks!D70="","",Picks!D70)</f>
        <v>1.8</v>
      </c>
      <c r="E70" s="95" t="str">
        <f>IF(Picks!E70="","",Picks!E70)</f>
        <v>x</v>
      </c>
      <c r="F70" s="145" t="str">
        <f>IF(Picks!F70="","",Picks!F70)</f>
        <v/>
      </c>
      <c r="G70" s="48" t="str">
        <f>IF(Picks!G70="","",Picks!G70)</f>
        <v/>
      </c>
    </row>
    <row r="71" spans="1:7" ht="13.9" thickTop="1" thickBot="1">
      <c r="A71" s="126" t="str">
        <f>IF(Picks!A71="","",Picks!A71)</f>
        <v>Gareth Powell</v>
      </c>
      <c r="B71" s="124" t="str">
        <f>IF(Picks!B71="","",Picks!B71)</f>
        <v/>
      </c>
      <c r="C71" s="676" t="str">
        <f>IF(Picks!C71="","",Picks!C71)</f>
        <v/>
      </c>
      <c r="D71" s="120" t="str">
        <f>IF(Picks!D71="","",Picks!D71)</f>
        <v/>
      </c>
      <c r="E71" s="125" t="str">
        <f>IF(Picks!E71="","",Picks!E71)</f>
        <v/>
      </c>
      <c r="F71" s="122">
        <f>IF(Picks!F71="","",Picks!F71)</f>
        <v>-10</v>
      </c>
      <c r="G71" s="123" t="str">
        <f>IF(Picks!G71="","",Picks!G71)</f>
        <v/>
      </c>
    </row>
    <row r="72" spans="1:7" ht="13.15">
      <c r="A72" s="126"/>
      <c r="B72" s="64" t="str">
        <f>IF(Picks!B72="","",Picks!B72)</f>
        <v/>
      </c>
      <c r="C72" s="676" t="str">
        <f>IF(Picks!C72="","",Picks!C72)</f>
        <v/>
      </c>
      <c r="D72" s="117" t="str">
        <f>IF(Picks!D72="","",Picks!D72)</f>
        <v/>
      </c>
      <c r="E72" s="95" t="str">
        <f>IF(Picks!E72="","",Picks!E72)</f>
        <v/>
      </c>
      <c r="F72" s="145" t="str">
        <f>IF(Picks!F72="","",Picks!F72)</f>
        <v/>
      </c>
      <c r="G72" s="48" t="str">
        <f>IF(Picks!G72="","",Picks!G72)</f>
        <v/>
      </c>
    </row>
    <row r="73" spans="1:7" ht="13.5" thickBot="1">
      <c r="A73" s="146"/>
      <c r="B73" s="141" t="str">
        <f>IF(Picks!B73="","",Picks!B73)</f>
        <v/>
      </c>
      <c r="C73" s="677" t="str">
        <f>IF(Picks!C73="","",Picks!C73)</f>
        <v/>
      </c>
      <c r="D73" s="142" t="str">
        <f>IF(Picks!D73="","",Picks!D73)</f>
        <v/>
      </c>
      <c r="E73" s="95" t="str">
        <f>IF(Picks!E73="","",Picks!E73)</f>
        <v/>
      </c>
      <c r="F73" s="145" t="str">
        <f>IF(Picks!F73="","",Picks!F73)</f>
        <v/>
      </c>
      <c r="G73" s="48" t="str">
        <f>IF(Picks!G73="","",Picks!G73)</f>
        <v/>
      </c>
    </row>
    <row r="74" spans="1:7" ht="13.9" thickTop="1" thickBot="1">
      <c r="A74" s="126" t="str">
        <f>IF(Picks!A74="","",Picks!A74)</f>
        <v>Gerard Ventom</v>
      </c>
      <c r="B74" s="124" t="str">
        <f>IF(Picks!B74="","",Picks!B74)</f>
        <v>Brentford</v>
      </c>
      <c r="C74" s="676">
        <f>IF(Picks!C74="","",Picks!C74)</f>
        <v>1</v>
      </c>
      <c r="D74" s="120">
        <f>IF(Picks!D74="","",Picks!D74)</f>
        <v>4.2</v>
      </c>
      <c r="E74" s="125" t="str">
        <f>IF(Picks!E74="","",Picks!E74)</f>
        <v>x</v>
      </c>
      <c r="F74" s="122">
        <f>IF(Picks!F74="","",Picks!F74)</f>
        <v>-7</v>
      </c>
      <c r="G74" s="123">
        <f>IF(Picks!G74="","",Picks!G74)</f>
        <v>190.9</v>
      </c>
    </row>
    <row r="75" spans="1:7" ht="13.15">
      <c r="A75" s="126"/>
      <c r="B75" s="64" t="str">
        <f>IF(Picks!B75="","",Picks!B75)</f>
        <v>Norwich</v>
      </c>
      <c r="C75" s="676">
        <f>IF(Picks!C75="","",Picks!C75)</f>
        <v>1</v>
      </c>
      <c r="D75" s="117">
        <f>IF(Picks!D75="","",Picks!D75)</f>
        <v>7.5</v>
      </c>
      <c r="E75" s="95" t="str">
        <f>IF(Picks!E75="","",Picks!E75)</f>
        <v>x</v>
      </c>
      <c r="F75" s="145" t="str">
        <f>IF(Picks!F75="","",Picks!F75)</f>
        <v/>
      </c>
      <c r="G75" s="48" t="str">
        <f>IF(Picks!G75="","",Picks!G75)</f>
        <v/>
      </c>
    </row>
    <row r="76" spans="1:7" ht="13.5" thickBot="1">
      <c r="A76" s="146"/>
      <c r="B76" s="141" t="str">
        <f>IF(Picks!B76="","",Picks!B76)</f>
        <v>Blackpool</v>
      </c>
      <c r="C76" s="677">
        <f>IF(Picks!C76="","",Picks!C76)</f>
        <v>1</v>
      </c>
      <c r="D76" s="142">
        <f>IF(Picks!D76="","",Picks!D76)</f>
        <v>3.5</v>
      </c>
      <c r="E76" s="95" t="str">
        <f>IF(Picks!E76="","",Picks!E76)</f>
        <v>x</v>
      </c>
      <c r="F76" s="145" t="str">
        <f>IF(Picks!F76="","",Picks!F76)</f>
        <v/>
      </c>
      <c r="G76" s="48" t="str">
        <f>IF(Picks!G76="","",Picks!G76)</f>
        <v/>
      </c>
    </row>
    <row r="77" spans="1:7" ht="13.9" thickTop="1" thickBot="1">
      <c r="A77" s="126" t="str">
        <f>IF(Picks!A77="","",Picks!A77)</f>
        <v>Graham Miller</v>
      </c>
      <c r="B77" s="124" t="str">
        <f>IF(Picks!B77="","",Picks!B77)</f>
        <v>Brighton</v>
      </c>
      <c r="C77" s="676">
        <f>IF(Picks!C77="","",Picks!C77)</f>
        <v>1</v>
      </c>
      <c r="D77" s="120">
        <f>IF(Picks!D77="","",Picks!D77)</f>
        <v>1.85</v>
      </c>
      <c r="E77" s="125" t="str">
        <f>IF(Picks!E77="","",Picks!E77)</f>
        <v>√</v>
      </c>
      <c r="F77" s="122">
        <f>IF(Picks!F77="","",Picks!F77)</f>
        <v>16.239249999999998</v>
      </c>
      <c r="G77" s="123">
        <f>IF(Picks!G77="","",Picks!G77)</f>
        <v>16.239249999999998</v>
      </c>
    </row>
    <row r="78" spans="1:7" ht="13.15">
      <c r="A78" s="126"/>
      <c r="B78" s="64" t="str">
        <f>IF(Picks!B78="","",Picks!B78)</f>
        <v>Spurs</v>
      </c>
      <c r="C78" s="676">
        <f>IF(Picks!C78="","",Picks!C78)</f>
        <v>1</v>
      </c>
      <c r="D78" s="117">
        <f>IF(Picks!D78="","",Picks!D78)</f>
        <v>1.7</v>
      </c>
      <c r="E78" s="95" t="str">
        <f>IF(Picks!E78="","",Picks!E78)</f>
        <v>√</v>
      </c>
      <c r="F78" s="145" t="str">
        <f>IF(Picks!F78="","",Picks!F78)</f>
        <v/>
      </c>
      <c r="G78" s="48" t="str">
        <f>IF(Picks!G78="","",Picks!G78)</f>
        <v/>
      </c>
    </row>
    <row r="79" spans="1:7" ht="13.5" thickBot="1">
      <c r="A79" s="146"/>
      <c r="B79" s="141" t="str">
        <f>IF(Picks!B79="","",Picks!B79)</f>
        <v>Tranmere</v>
      </c>
      <c r="C79" s="677">
        <f>IF(Picks!C79="","",Picks!C79)</f>
        <v>1</v>
      </c>
      <c r="D79" s="142">
        <f>IF(Picks!D79="","",Picks!D79)</f>
        <v>2.15</v>
      </c>
      <c r="E79" s="95" t="str">
        <f>IF(Picks!E79="","",Picks!E79)</f>
        <v>√</v>
      </c>
      <c r="F79" s="145" t="str">
        <f>IF(Picks!F79="","",Picks!F79)</f>
        <v/>
      </c>
      <c r="G79" s="48" t="str">
        <f>IF(Picks!G79="","",Picks!G79)</f>
        <v/>
      </c>
    </row>
    <row r="80" spans="1:7" ht="13.9" thickTop="1" thickBot="1">
      <c r="A80" s="126" t="str">
        <f>IF(Picks!A80="","",Picks!A80)</f>
        <v>Howard Bradley</v>
      </c>
      <c r="B80" s="124" t="str">
        <f>IF(Picks!B80="","",Picks!B80)</f>
        <v>Arsenal</v>
      </c>
      <c r="C80" s="676">
        <f>IF(Picks!C80="","",Picks!C80)</f>
        <v>1</v>
      </c>
      <c r="D80" s="120">
        <f>IF(Picks!D80="","",Picks!D80)</f>
        <v>1.4444444444444444</v>
      </c>
      <c r="E80" s="125" t="str">
        <f>IF(Picks!E80="","",Picks!E80)</f>
        <v>√</v>
      </c>
      <c r="F80" s="122">
        <f>IF(Picks!F80="","",Picks!F80)</f>
        <v>-5.5555555555555554</v>
      </c>
      <c r="G80" s="123">
        <f>IF(Picks!G80="","",Picks!G80)</f>
        <v>20.233333333333334</v>
      </c>
    </row>
    <row r="81" spans="1:7" ht="13.15">
      <c r="A81" s="126"/>
      <c r="B81" s="64" t="str">
        <f>IF(Picks!B81="","",Picks!B81)</f>
        <v>West Ham</v>
      </c>
      <c r="C81" s="676">
        <f>IF(Picks!C81="","",Picks!C81)</f>
        <v>1</v>
      </c>
      <c r="D81" s="117">
        <f>IF(Picks!D81="","",Picks!D81)</f>
        <v>1.75</v>
      </c>
      <c r="E81" s="95" t="str">
        <f>IF(Picks!E81="","",Picks!E81)</f>
        <v>x</v>
      </c>
      <c r="F81" s="145" t="str">
        <f>IF(Picks!F81="","",Picks!F81)</f>
        <v/>
      </c>
      <c r="G81" s="48" t="str">
        <f>IF(Picks!G81="","",Picks!G81)</f>
        <v/>
      </c>
    </row>
    <row r="82" spans="1:7" ht="13.5" thickBot="1">
      <c r="A82" s="146"/>
      <c r="B82" s="141" t="str">
        <f>IF(Picks!B82="","",Picks!B82)</f>
        <v>Middlesbro draw</v>
      </c>
      <c r="C82" s="677">
        <f>IF(Picks!C82="","",Picks!C82)</f>
        <v>1</v>
      </c>
      <c r="D82" s="142">
        <f>IF(Picks!D82="","",Picks!D82)</f>
        <v>3.2</v>
      </c>
      <c r="E82" s="95" t="str">
        <f>IF(Picks!E82="","",Picks!E82)</f>
        <v>x</v>
      </c>
      <c r="F82" s="145" t="str">
        <f>IF(Picks!F82="","",Picks!F82)</f>
        <v/>
      </c>
      <c r="G82" s="48" t="str">
        <f>IF(Picks!G82="","",Picks!G82)</f>
        <v/>
      </c>
    </row>
    <row r="83" spans="1:7" ht="13.9" thickTop="1" thickBot="1">
      <c r="A83" s="126" t="str">
        <f>IF(Picks!A83="","",Picks!A83)</f>
        <v>Ian Davies</v>
      </c>
      <c r="B83" s="124" t="str">
        <f>IF(Picks!B83="","",Picks!B83)</f>
        <v>Huddersfield draw</v>
      </c>
      <c r="C83" s="676">
        <f>IF(Picks!C83="","",Picks!C83)</f>
        <v>1</v>
      </c>
      <c r="D83" s="120">
        <f>IF(Picks!D83="","",Picks!D83)</f>
        <v>3.3</v>
      </c>
      <c r="E83" s="125" t="str">
        <f>IF(Picks!E83="","",Picks!E83)</f>
        <v>x</v>
      </c>
      <c r="F83" s="122">
        <f>IF(Picks!F83="","",Picks!F83)</f>
        <v>-3</v>
      </c>
      <c r="G83" s="123">
        <f>IF(Picks!G83="","",Picks!G83)</f>
        <v>14.059999999999999</v>
      </c>
    </row>
    <row r="84" spans="1:7" ht="13.15">
      <c r="A84" s="126"/>
      <c r="B84" s="64" t="str">
        <f>IF(Picks!B84="","",Picks!B84)</f>
        <v>Blackburn</v>
      </c>
      <c r="C84" s="676">
        <f>IF(Picks!C84="","",Picks!C84)</f>
        <v>1</v>
      </c>
      <c r="D84" s="117">
        <f>IF(Picks!D84="","",Picks!D84)</f>
        <v>2.4</v>
      </c>
      <c r="E84" s="95" t="str">
        <f>IF(Picks!E84="","",Picks!E84)</f>
        <v>x</v>
      </c>
      <c r="F84" s="145" t="str">
        <f>IF(Picks!F84="","",Picks!F84)</f>
        <v/>
      </c>
      <c r="G84" s="48" t="str">
        <f>IF(Picks!G84="","",Picks!G84)</f>
        <v/>
      </c>
    </row>
    <row r="85" spans="1:7" ht="13.5" thickBot="1">
      <c r="A85" s="146"/>
      <c r="B85" s="141" t="str">
        <f>IF(Picks!B85="","",Picks!B85)</f>
        <v>Middlesbro draw</v>
      </c>
      <c r="C85" s="677">
        <f>IF(Picks!C85="","",Picks!C85)</f>
        <v>1</v>
      </c>
      <c r="D85" s="142">
        <f>IF(Picks!D85="","",Picks!D85)</f>
        <v>3.2</v>
      </c>
      <c r="E85" s="95" t="str">
        <f>IF(Picks!E85="","",Picks!E85)</f>
        <v>x</v>
      </c>
      <c r="F85" s="145" t="str">
        <f>IF(Picks!F85="","",Picks!F85)</f>
        <v/>
      </c>
      <c r="G85" s="48" t="str">
        <f>IF(Picks!G85="","",Picks!G85)</f>
        <v/>
      </c>
    </row>
    <row r="86" spans="1:7" ht="13.9" thickTop="1" thickBot="1">
      <c r="A86" s="126" t="str">
        <f>IF(Picks!A86="","",Picks!A86)</f>
        <v>Jack Walsh</v>
      </c>
      <c r="B86" s="124" t="str">
        <f>IF(Picks!B86="","",Picks!B86)</f>
        <v>Burnley draw</v>
      </c>
      <c r="C86" s="676">
        <f>IF(Picks!C86="","",Picks!C86)</f>
        <v>1</v>
      </c>
      <c r="D86" s="120">
        <f>IF(Picks!D86="","",Picks!D86)</f>
        <v>3.2</v>
      </c>
      <c r="E86" s="125" t="str">
        <f>IF(Picks!E86="","",Picks!E86)</f>
        <v>√</v>
      </c>
      <c r="F86" s="122">
        <f>IF(Picks!F86="","",Picks!F86)</f>
        <v>-1.3</v>
      </c>
      <c r="G86" s="123">
        <f>IF(Picks!G86="","",Picks!G86)</f>
        <v>8.8249999999999993</v>
      </c>
    </row>
    <row r="87" spans="1:7" ht="13.15">
      <c r="A87" s="126"/>
      <c r="B87" s="64" t="str">
        <f>IF(Picks!B87="","",Picks!B87)</f>
        <v>Spurs</v>
      </c>
      <c r="C87" s="676">
        <f>IF(Picks!C87="","",Picks!C87)</f>
        <v>1</v>
      </c>
      <c r="D87" s="117">
        <f>IF(Picks!D87="","",Picks!D87)</f>
        <v>1.7</v>
      </c>
      <c r="E87" s="95" t="str">
        <f>IF(Picks!E87="","",Picks!E87)</f>
        <v>√</v>
      </c>
      <c r="F87" s="145" t="str">
        <f>IF(Picks!F87="","",Picks!F87)</f>
        <v/>
      </c>
      <c r="G87" s="48" t="str">
        <f>IF(Picks!G87="","",Picks!G87)</f>
        <v/>
      </c>
    </row>
    <row r="88" spans="1:7" ht="13.5" thickBot="1">
      <c r="A88" s="146"/>
      <c r="B88" s="141" t="str">
        <f>IF(Picks!B88="","",Picks!B88)</f>
        <v>Villa draw</v>
      </c>
      <c r="C88" s="677">
        <f>IF(Picks!C88="","",Picks!C88)</f>
        <v>1</v>
      </c>
      <c r="D88" s="142">
        <f>IF(Picks!D88="","",Picks!D88)</f>
        <v>3.75</v>
      </c>
      <c r="E88" s="95" t="str">
        <f>IF(Picks!E88="","",Picks!E88)</f>
        <v>x</v>
      </c>
      <c r="F88" s="145" t="str">
        <f>IF(Picks!F88="","",Picks!F88)</f>
        <v/>
      </c>
      <c r="G88" s="48" t="str">
        <f>IF(Picks!G88="","",Picks!G88)</f>
        <v/>
      </c>
    </row>
    <row r="89" spans="1:7" ht="13.9" thickTop="1" thickBot="1">
      <c r="A89" s="126" t="str">
        <f>IF(Picks!A89="","",Picks!A89)</f>
        <v>James Bell</v>
      </c>
      <c r="B89" s="124" t="str">
        <f>IF(Picks!B89="","",Picks!B89)</f>
        <v/>
      </c>
      <c r="C89" s="676" t="str">
        <f>IF(Picks!C89="","",Picks!C89)</f>
        <v/>
      </c>
      <c r="D89" s="120" t="str">
        <f>IF(Picks!D89="","",Picks!D89)</f>
        <v/>
      </c>
      <c r="E89" s="125" t="str">
        <f>IF(Picks!E89="","",Picks!E89)</f>
        <v/>
      </c>
      <c r="F89" s="122">
        <f>IF(Picks!F89="","",Picks!F89)</f>
        <v>-10</v>
      </c>
      <c r="G89" s="123" t="str">
        <f>IF(Picks!G89="","",Picks!G89)</f>
        <v/>
      </c>
    </row>
    <row r="90" spans="1:7" ht="13.15">
      <c r="A90" s="126"/>
      <c r="B90" s="64" t="str">
        <f>IF(Picks!B90="","",Picks!B90)</f>
        <v/>
      </c>
      <c r="C90" s="676" t="str">
        <f>IF(Picks!C90="","",Picks!C90)</f>
        <v/>
      </c>
      <c r="D90" s="117" t="str">
        <f>IF(Picks!D90="","",Picks!D90)</f>
        <v/>
      </c>
      <c r="E90" s="95" t="str">
        <f>IF(Picks!E90="","",Picks!E90)</f>
        <v/>
      </c>
      <c r="F90" s="145" t="str">
        <f>IF(Picks!F90="","",Picks!F90)</f>
        <v/>
      </c>
      <c r="G90" s="48" t="str">
        <f>IF(Picks!G90="","",Picks!G90)</f>
        <v/>
      </c>
    </row>
    <row r="91" spans="1:7" ht="13.5" thickBot="1">
      <c r="A91" s="146"/>
      <c r="B91" s="141" t="str">
        <f>IF(Picks!B91="","",Picks!B91)</f>
        <v/>
      </c>
      <c r="C91" s="677" t="str">
        <f>IF(Picks!C91="","",Picks!C91)</f>
        <v/>
      </c>
      <c r="D91" s="142" t="str">
        <f>IF(Picks!D91="","",Picks!D91)</f>
        <v/>
      </c>
      <c r="E91" s="95" t="str">
        <f>IF(Picks!E91="","",Picks!E91)</f>
        <v/>
      </c>
      <c r="F91" s="145" t="str">
        <f>IF(Picks!F91="","",Picks!F91)</f>
        <v/>
      </c>
      <c r="G91" s="48" t="str">
        <f>IF(Picks!G91="","",Picks!G91)</f>
        <v/>
      </c>
    </row>
    <row r="92" spans="1:7" ht="13.9" thickTop="1" thickBot="1">
      <c r="A92" s="126" t="str">
        <f>IF(Picks!A92="","",Picks!A92)</f>
        <v>John Murphy</v>
      </c>
      <c r="B92" s="124" t="str">
        <f>IF(Picks!B92="","",Picks!B92)</f>
        <v>Accrington</v>
      </c>
      <c r="C92" s="676">
        <f>IF(Picks!C92="","",Picks!C92)</f>
        <v>1</v>
      </c>
      <c r="D92" s="120">
        <f>IF(Picks!D92="","",Picks!D92)</f>
        <v>4</v>
      </c>
      <c r="E92" s="125" t="str">
        <f>IF(Picks!E92="","",Picks!E92)</f>
        <v>√</v>
      </c>
      <c r="F92" s="122">
        <f>IF(Picks!F92="","",Picks!F92)</f>
        <v>5.0555555555555554</v>
      </c>
      <c r="G92" s="123">
        <f>IF(Picks!G92="","",Picks!G92)</f>
        <v>44.222222222222221</v>
      </c>
    </row>
    <row r="93" spans="1:7" ht="13.15">
      <c r="A93" s="126"/>
      <c r="B93" s="64" t="str">
        <f>IF(Picks!B93="","",Picks!B93)</f>
        <v>Lincoln</v>
      </c>
      <c r="C93" s="676">
        <f>IF(Picks!C93="","",Picks!C93)</f>
        <v>1</v>
      </c>
      <c r="D93" s="117">
        <f>IF(Picks!D93="","",Picks!D93)</f>
        <v>3</v>
      </c>
      <c r="E93" s="95" t="str">
        <f>IF(Picks!E93="","",Picks!E93)</f>
        <v>x</v>
      </c>
      <c r="F93" s="145" t="str">
        <f>IF(Picks!F93="","",Picks!F93)</f>
        <v/>
      </c>
      <c r="G93" s="48" t="str">
        <f>IF(Picks!G93="","",Picks!G93)</f>
        <v/>
      </c>
    </row>
    <row r="94" spans="1:7" ht="13.5" thickBot="1">
      <c r="A94" s="146"/>
      <c r="B94" s="141" t="str">
        <f>IF(Picks!B94="","",Picks!B94)</f>
        <v>Dagenham</v>
      </c>
      <c r="C94" s="677">
        <f>IF(Picks!C94="","",Picks!C94)</f>
        <v>1</v>
      </c>
      <c r="D94" s="142">
        <f>IF(Picks!D94="","",Picks!D94)</f>
        <v>1.6111111111111112</v>
      </c>
      <c r="E94" s="95" t="str">
        <f>IF(Picks!E94="","",Picks!E94)</f>
        <v>√</v>
      </c>
      <c r="F94" s="145" t="str">
        <f>IF(Picks!F94="","",Picks!F94)</f>
        <v/>
      </c>
      <c r="G94" s="48" t="str">
        <f>IF(Picks!G94="","",Picks!G94)</f>
        <v/>
      </c>
    </row>
    <row r="95" spans="1:7" ht="13.9" thickTop="1" thickBot="1">
      <c r="A95" s="126" t="str">
        <f>IF(Picks!A95="","",Picks!A95)</f>
        <v>John Ronan</v>
      </c>
      <c r="B95" s="124" t="str">
        <f>IF(Picks!B95="","",Picks!B95)</f>
        <v>West Ham</v>
      </c>
      <c r="C95" s="676">
        <f>IF(Picks!C95="","",Picks!C95)</f>
        <v>1</v>
      </c>
      <c r="D95" s="120">
        <f>IF(Picks!D95="","",Picks!D95)</f>
        <v>1.75</v>
      </c>
      <c r="E95" s="125" t="str">
        <f>IF(Picks!E95="","",Picks!E95)</f>
        <v>x</v>
      </c>
      <c r="F95" s="122">
        <f>IF(Picks!F95="","",Picks!F95)</f>
        <v>-5.2777777777777777</v>
      </c>
      <c r="G95" s="123">
        <f>IF(Picks!G95="","",Picks!G95)</f>
        <v>25.6875</v>
      </c>
    </row>
    <row r="96" spans="1:7" ht="13.15">
      <c r="A96" s="126"/>
      <c r="B96" s="64" t="str">
        <f>IF(Picks!B96="","",Picks!B96)</f>
        <v>Forest</v>
      </c>
      <c r="C96" s="676">
        <f>IF(Picks!C96="","",Picks!C96)</f>
        <v>1</v>
      </c>
      <c r="D96" s="117">
        <f>IF(Picks!D96="","",Picks!D96)</f>
        <v>3.5</v>
      </c>
      <c r="E96" s="95" t="str">
        <f>IF(Picks!E96="","",Picks!E96)</f>
        <v>x</v>
      </c>
      <c r="F96" s="145" t="str">
        <f>IF(Picks!F96="","",Picks!F96)</f>
        <v/>
      </c>
      <c r="G96" s="48" t="str">
        <f>IF(Picks!G96="","",Picks!G96)</f>
        <v/>
      </c>
    </row>
    <row r="97" spans="1:7" ht="13.5" thickBot="1">
      <c r="A97" s="146"/>
      <c r="B97" s="141" t="str">
        <f>IF(Picks!B97="","",Picks!B97)</f>
        <v>Stockport</v>
      </c>
      <c r="C97" s="677">
        <f>IF(Picks!C97="","",Picks!C97)</f>
        <v>1</v>
      </c>
      <c r="D97" s="142">
        <f>IF(Picks!D97="","",Picks!D97)</f>
        <v>1.7222222222222223</v>
      </c>
      <c r="E97" s="95" t="str">
        <f>IF(Picks!E97="","",Picks!E97)</f>
        <v>√</v>
      </c>
      <c r="F97" s="145" t="str">
        <f>IF(Picks!F97="","",Picks!F97)</f>
        <v/>
      </c>
      <c r="G97" s="48" t="str">
        <f>IF(Picks!G97="","",Picks!G97)</f>
        <v/>
      </c>
    </row>
    <row r="98" spans="1:7" ht="13.9" thickTop="1" thickBot="1">
      <c r="A98" s="126" t="str">
        <f>IF(Picks!A98="","",Picks!A98)</f>
        <v>Kei Lok Ma</v>
      </c>
      <c r="B98" s="124" t="str">
        <f>IF(Picks!B98="","",Picks!B98)</f>
        <v>Brighton draw</v>
      </c>
      <c r="C98" s="676">
        <f>IF(Picks!C98="","",Picks!C98)</f>
        <v>1</v>
      </c>
      <c r="D98" s="120">
        <f>IF(Picks!D98="","",Picks!D98)</f>
        <v>3.5</v>
      </c>
      <c r="E98" s="125" t="str">
        <f>IF(Picks!E98="","",Picks!E98)</f>
        <v>x</v>
      </c>
      <c r="F98" s="122">
        <f>IF(Picks!F98="","",Picks!F98)</f>
        <v>-7</v>
      </c>
      <c r="G98" s="123">
        <f>IF(Picks!G98="","",Picks!G98)</f>
        <v>49.712499999999999</v>
      </c>
    </row>
    <row r="99" spans="1:7" ht="13.15">
      <c r="A99" s="126"/>
      <c r="B99" s="64" t="str">
        <f>IF(Picks!B99="","",Picks!B99)</f>
        <v>Villa draw</v>
      </c>
      <c r="C99" s="676">
        <f>IF(Picks!C99="","",Picks!C99)</f>
        <v>1</v>
      </c>
      <c r="D99" s="117">
        <f>IF(Picks!D99="","",Picks!D99)</f>
        <v>3.75</v>
      </c>
      <c r="E99" s="95" t="str">
        <f>IF(Picks!E99="","",Picks!E99)</f>
        <v>x</v>
      </c>
      <c r="F99" s="145" t="str">
        <f>IF(Picks!F99="","",Picks!F99)</f>
        <v/>
      </c>
      <c r="G99" s="48" t="str">
        <f>IF(Picks!G99="","",Picks!G99)</f>
        <v/>
      </c>
    </row>
    <row r="100" spans="1:7" ht="13.5" thickBot="1">
      <c r="A100" s="146"/>
      <c r="B100" s="141" t="str">
        <f>IF(Picks!B100="","",Picks!B100)</f>
        <v>Bromley</v>
      </c>
      <c r="C100" s="677">
        <f>IF(Picks!C100="","",Picks!C100)</f>
        <v>1</v>
      </c>
      <c r="D100" s="142">
        <f>IF(Picks!D100="","",Picks!D100)</f>
        <v>1.7</v>
      </c>
      <c r="E100" s="95" t="str">
        <f>IF(Picks!E100="","",Picks!E100)</f>
        <v>x</v>
      </c>
      <c r="F100" s="145" t="str">
        <f>IF(Picks!F100="","",Picks!F100)</f>
        <v/>
      </c>
      <c r="G100" s="48" t="str">
        <f>IF(Picks!G100="","",Picks!G100)</f>
        <v/>
      </c>
    </row>
    <row r="101" spans="1:7" ht="13.9" thickTop="1" thickBot="1">
      <c r="A101" s="126" t="str">
        <f>IF(Picks!A101="","",Picks!A101)</f>
        <v>Kevin Carter</v>
      </c>
      <c r="B101" s="124" t="str">
        <f>IF(Picks!B101="","",Picks!B101)</f>
        <v>Spurs</v>
      </c>
      <c r="C101" s="676">
        <f>IF(Picks!C101="","",Picks!C101)</f>
        <v>1</v>
      </c>
      <c r="D101" s="120">
        <f>IF(Picks!D101="","",Picks!D101)</f>
        <v>1.7</v>
      </c>
      <c r="E101" s="125" t="str">
        <f>IF(Picks!E101="","",Picks!E101)</f>
        <v>√</v>
      </c>
      <c r="F101" s="122">
        <f>IF(Picks!F101="","",Picks!F101)</f>
        <v>14.207499999999996</v>
      </c>
      <c r="G101" s="123">
        <f>IF(Picks!G101="","",Picks!G101)</f>
        <v>14.207499999999996</v>
      </c>
    </row>
    <row r="102" spans="1:7" ht="13.15">
      <c r="A102" s="126"/>
      <c r="B102" s="64" t="str">
        <f>IF(Picks!B102="","",Picks!B102)</f>
        <v>Dagenham</v>
      </c>
      <c r="C102" s="676">
        <f>IF(Picks!C102="","",Picks!C102)</f>
        <v>1</v>
      </c>
      <c r="D102" s="117">
        <f>IF(Picks!D102="","",Picks!D102)</f>
        <v>1.6111111111111112</v>
      </c>
      <c r="E102" s="95" t="str">
        <f>IF(Picks!E102="","",Picks!E102)</f>
        <v>√</v>
      </c>
      <c r="F102" s="145" t="str">
        <f>IF(Picks!F102="","",Picks!F102)</f>
        <v/>
      </c>
      <c r="G102" s="48" t="str">
        <f>IF(Picks!G102="","",Picks!G102)</f>
        <v/>
      </c>
    </row>
    <row r="103" spans="1:7" ht="13.5" thickBot="1">
      <c r="A103" s="146"/>
      <c r="B103" s="141" t="str">
        <f>IF(Picks!B103="","",Picks!B103)</f>
        <v>Tranmere</v>
      </c>
      <c r="C103" s="677">
        <f>IF(Picks!C103="","",Picks!C103)</f>
        <v>1</v>
      </c>
      <c r="D103" s="142">
        <f>IF(Picks!D103="","",Picks!D103)</f>
        <v>2.15</v>
      </c>
      <c r="E103" s="95" t="str">
        <f>IF(Picks!E103="","",Picks!E103)</f>
        <v>√</v>
      </c>
      <c r="F103" s="145" t="str">
        <f>IF(Picks!F103="","",Picks!F103)</f>
        <v/>
      </c>
      <c r="G103" s="48" t="str">
        <f>IF(Picks!G103="","",Picks!G103)</f>
        <v/>
      </c>
    </row>
    <row r="104" spans="1:7" ht="13.9" thickTop="1" thickBot="1">
      <c r="A104" s="126" t="str">
        <f>IF(Picks!A104="","",Picks!A104)</f>
        <v>Lennie Bow</v>
      </c>
      <c r="B104" s="124" t="str">
        <f>IF(Picks!B104="","",Picks!B104)</f>
        <v>Tranmere</v>
      </c>
      <c r="C104" s="676">
        <f>IF(Picks!C104="","",Picks!C104)</f>
        <v>1</v>
      </c>
      <c r="D104" s="120">
        <f>IF(Picks!D104="","",Picks!D104)</f>
        <v>2.15</v>
      </c>
      <c r="E104" s="125" t="str">
        <f>IF(Picks!E104="","",Picks!E104)</f>
        <v>√</v>
      </c>
      <c r="F104" s="122">
        <f>IF(Picks!F104="","",Picks!F104)</f>
        <v>0.57500000000000018</v>
      </c>
      <c r="G104" s="123">
        <f>IF(Picks!G104="","",Picks!G104)</f>
        <v>15.1525</v>
      </c>
    </row>
    <row r="105" spans="1:7" ht="13.15">
      <c r="A105" s="126"/>
      <c r="B105" s="64" t="str">
        <f>IF(Picks!B105="","",Picks!B105)</f>
        <v>Bromley</v>
      </c>
      <c r="C105" s="676">
        <f>IF(Picks!C105="","",Picks!C105)</f>
        <v>1</v>
      </c>
      <c r="D105" s="117">
        <f>IF(Picks!D105="","",Picks!D105)</f>
        <v>1.7</v>
      </c>
      <c r="E105" s="95" t="str">
        <f>IF(Picks!E105="","",Picks!E105)</f>
        <v>x</v>
      </c>
      <c r="F105" s="145" t="str">
        <f>IF(Picks!F105="","",Picks!F105)</f>
        <v/>
      </c>
      <c r="G105" s="48" t="str">
        <f>IF(Picks!G105="","",Picks!G105)</f>
        <v/>
      </c>
    </row>
    <row r="106" spans="1:7" ht="13.5" thickBot="1">
      <c r="A106" s="146"/>
      <c r="B106" s="141" t="str">
        <f>IF(Picks!B106="","",Picks!B106)</f>
        <v>Stockport</v>
      </c>
      <c r="C106" s="677">
        <f>IF(Picks!C106="","",Picks!C106)</f>
        <v>1</v>
      </c>
      <c r="D106" s="142">
        <f>IF(Picks!D106="","",Picks!D106)</f>
        <v>1.7222222222222223</v>
      </c>
      <c r="E106" s="95" t="str">
        <f>IF(Picks!E106="","",Picks!E106)</f>
        <v>√</v>
      </c>
      <c r="F106" s="145" t="str">
        <f>IF(Picks!F106="","",Picks!F106)</f>
        <v/>
      </c>
      <c r="G106" s="48" t="str">
        <f>IF(Picks!G106="","",Picks!G106)</f>
        <v/>
      </c>
    </row>
    <row r="107" spans="1:7" ht="13.9" thickTop="1" thickBot="1">
      <c r="A107" s="126" t="str">
        <f>IF(Picks!A107="","",Picks!A107)</f>
        <v>Liam Wah</v>
      </c>
      <c r="B107" s="124" t="str">
        <f>IF(Picks!B107="","",Picks!B107)</f>
        <v/>
      </c>
      <c r="C107" s="676" t="str">
        <f>IF(Picks!C107="","",Picks!C107)</f>
        <v/>
      </c>
      <c r="D107" s="120" t="str">
        <f>IF(Picks!D107="","",Picks!D107)</f>
        <v/>
      </c>
      <c r="E107" s="125" t="str">
        <f>IF(Picks!E107="","",Picks!E107)</f>
        <v/>
      </c>
      <c r="F107" s="122">
        <f>IF(Picks!F107="","",Picks!F107)</f>
        <v>-10</v>
      </c>
      <c r="G107" s="123" t="str">
        <f>IF(Picks!G107="","",Picks!G107)</f>
        <v/>
      </c>
    </row>
    <row r="108" spans="1:7" ht="13.15">
      <c r="A108" s="126"/>
      <c r="B108" s="64" t="str">
        <f>IF(Picks!B108="","",Picks!B108)</f>
        <v/>
      </c>
      <c r="C108" s="676" t="str">
        <f>IF(Picks!C108="","",Picks!C108)</f>
        <v/>
      </c>
      <c r="D108" s="117" t="str">
        <f>IF(Picks!D108="","",Picks!D108)</f>
        <v/>
      </c>
      <c r="E108" s="95" t="str">
        <f>IF(Picks!E108="","",Picks!E108)</f>
        <v/>
      </c>
      <c r="F108" s="145" t="str">
        <f>IF(Picks!F108="","",Picks!F108)</f>
        <v/>
      </c>
      <c r="G108" s="48" t="str">
        <f>IF(Picks!G108="","",Picks!G108)</f>
        <v/>
      </c>
    </row>
    <row r="109" spans="1:7" ht="13.5" thickBot="1">
      <c r="A109" s="146"/>
      <c r="B109" s="141" t="str">
        <f>IF(Picks!B109="","",Picks!B109)</f>
        <v/>
      </c>
      <c r="C109" s="677" t="str">
        <f>IF(Picks!C109="","",Picks!C109)</f>
        <v/>
      </c>
      <c r="D109" s="142" t="str">
        <f>IF(Picks!D109="","",Picks!D109)</f>
        <v/>
      </c>
      <c r="E109" s="95" t="str">
        <f>IF(Picks!E109="","",Picks!E109)</f>
        <v/>
      </c>
      <c r="F109" s="145" t="str">
        <f>IF(Picks!F109="","",Picks!F109)</f>
        <v/>
      </c>
      <c r="G109" s="48" t="str">
        <f>IF(Picks!G109="","",Picks!G109)</f>
        <v/>
      </c>
    </row>
    <row r="110" spans="1:7" ht="13.9" thickTop="1" thickBot="1">
      <c r="A110" s="126" t="str">
        <f>IF(Picks!A110="","",Picks!A110)</f>
        <v>Mal Stott</v>
      </c>
      <c r="B110" s="124" t="str">
        <f>IF(Picks!B110="","",Picks!B110)</f>
        <v>Shrewsbury</v>
      </c>
      <c r="C110" s="676">
        <f>IF(Picks!C110="","",Picks!C110)</f>
        <v>1</v>
      </c>
      <c r="D110" s="120">
        <f>IF(Picks!D110="","",Picks!D110)</f>
        <v>3.2</v>
      </c>
      <c r="E110" s="125" t="str">
        <f>IF(Picks!E110="","",Picks!E110)</f>
        <v>√</v>
      </c>
      <c r="F110" s="122">
        <f>IF(Picks!F110="","",Picks!F110)</f>
        <v>14.680000000000003</v>
      </c>
      <c r="G110" s="123">
        <f>IF(Picks!G110="","",Picks!G110)</f>
        <v>103.13200000000001</v>
      </c>
    </row>
    <row r="111" spans="1:7" ht="13.15">
      <c r="A111" s="126"/>
      <c r="B111" s="64" t="str">
        <f>IF(Picks!B111="","",Picks!B111)</f>
        <v>Southampton</v>
      </c>
      <c r="C111" s="676">
        <f>IF(Picks!C111="","",Picks!C111)</f>
        <v>1</v>
      </c>
      <c r="D111" s="117">
        <f>IF(Picks!D111="","",Picks!D111)</f>
        <v>4.4000000000000004</v>
      </c>
      <c r="E111" s="95" t="str">
        <f>IF(Picks!E111="","",Picks!E111)</f>
        <v>√</v>
      </c>
      <c r="F111" s="145" t="str">
        <f>IF(Picks!F111="","",Picks!F111)</f>
        <v/>
      </c>
      <c r="G111" s="48" t="str">
        <f>IF(Picks!G111="","",Picks!G111)</f>
        <v/>
      </c>
    </row>
    <row r="112" spans="1:7" ht="13.5" thickBot="1">
      <c r="A112" s="146"/>
      <c r="B112" s="141" t="str">
        <f>IF(Picks!B112="","",Picks!B112)</f>
        <v>Hartlepool</v>
      </c>
      <c r="C112" s="677">
        <f>IF(Picks!C112="","",Picks!C112)</f>
        <v>1</v>
      </c>
      <c r="D112" s="142">
        <f>IF(Picks!D112="","",Picks!D112)</f>
        <v>3.9</v>
      </c>
      <c r="E112" s="95" t="str">
        <f>IF(Picks!E112="","",Picks!E112)</f>
        <v>x</v>
      </c>
      <c r="F112" s="145" t="str">
        <f>IF(Picks!F112="","",Picks!F112)</f>
        <v/>
      </c>
      <c r="G112" s="48" t="str">
        <f>IF(Picks!G112="","",Picks!G112)</f>
        <v/>
      </c>
    </row>
    <row r="113" spans="1:7" ht="13.9" thickTop="1" thickBot="1">
      <c r="A113" s="126" t="str">
        <f>IF(Picks!A113="","",Picks!A113)</f>
        <v>Mark Bunn</v>
      </c>
      <c r="B113" s="124" t="str">
        <f>IF(Picks!B113="","",Picks!B113)</f>
        <v>Middlesbro draw</v>
      </c>
      <c r="C113" s="676">
        <f>IF(Picks!C113="","",Picks!C113)</f>
        <v>1</v>
      </c>
      <c r="D113" s="120">
        <f>IF(Picks!D113="","",Picks!D113)</f>
        <v>3.2</v>
      </c>
      <c r="E113" s="125" t="str">
        <f>IF(Picks!E113="","",Picks!E113)</f>
        <v>x</v>
      </c>
      <c r="F113" s="122">
        <f>IF(Picks!F113="","",Picks!F113)</f>
        <v>-7</v>
      </c>
      <c r="G113" s="123">
        <f>IF(Picks!G113="","",Picks!G113)</f>
        <v>78.503846153846155</v>
      </c>
    </row>
    <row r="114" spans="1:7" ht="13.15">
      <c r="A114" s="126"/>
      <c r="B114" s="64" t="str">
        <f>IF(Picks!B114="","",Picks!B114)</f>
        <v>Fleetwood draw</v>
      </c>
      <c r="C114" s="676">
        <f>IF(Picks!C114="","",Picks!C114)</f>
        <v>1</v>
      </c>
      <c r="D114" s="117">
        <f>IF(Picks!D114="","",Picks!D114)</f>
        <v>3.25</v>
      </c>
      <c r="E114" s="95" t="str">
        <f>IF(Picks!E114="","",Picks!E114)</f>
        <v>x</v>
      </c>
      <c r="F114" s="145" t="str">
        <f>IF(Picks!F114="","",Picks!F114)</f>
        <v/>
      </c>
      <c r="G114" s="48" t="str">
        <f>IF(Picks!G114="","",Picks!G114)</f>
        <v/>
      </c>
    </row>
    <row r="115" spans="1:7" ht="13.5" thickBot="1">
      <c r="A115" s="146"/>
      <c r="B115" s="64" t="str">
        <f>IF(Picks!B115="","",Picks!B115)</f>
        <v>Stockport draw</v>
      </c>
      <c r="C115" s="677">
        <f>IF(Picks!C115="","",Picks!C115)</f>
        <v>1</v>
      </c>
      <c r="D115" s="142">
        <f>IF(Picks!D115="","",Picks!D115)</f>
        <v>3.8461538461538463</v>
      </c>
      <c r="E115" s="95" t="str">
        <f>IF(Picks!E115="","",Picks!E115)</f>
        <v>x</v>
      </c>
      <c r="F115" s="145" t="str">
        <f>IF(Picks!F115="","",Picks!F115)</f>
        <v/>
      </c>
      <c r="G115" s="48" t="str">
        <f>IF(Picks!G115="","",Picks!G115)</f>
        <v/>
      </c>
    </row>
    <row r="116" spans="1:7" ht="13.9" thickTop="1" thickBot="1">
      <c r="A116" s="126" t="str">
        <f>IF(Picks!A116="","",Picks!A116)</f>
        <v>Mark Saunders</v>
      </c>
      <c r="B116" s="124" t="str">
        <f>IF(Picks!B116="","",Picks!B116)</f>
        <v>West Ham</v>
      </c>
      <c r="C116" s="676">
        <f>IF(Picks!C116="","",Picks!C116)</f>
        <v>1</v>
      </c>
      <c r="D116" s="120">
        <f>IF(Picks!D116="","",Picks!D116)</f>
        <v>1.75</v>
      </c>
      <c r="E116" s="125" t="str">
        <f>IF(Picks!E116="","",Picks!E116)</f>
        <v>x</v>
      </c>
      <c r="F116" s="122">
        <f>IF(Picks!F116="","",Picks!F116)</f>
        <v>-2.0600000000000005</v>
      </c>
      <c r="G116" s="123">
        <f>IF(Picks!G116="","",Picks!G116)</f>
        <v>8.3349999999999973</v>
      </c>
    </row>
    <row r="117" spans="1:7" ht="13.15">
      <c r="A117" s="126"/>
      <c r="B117" s="64" t="str">
        <f>IF(Picks!B117="","",Picks!B117)</f>
        <v>Spurs</v>
      </c>
      <c r="C117" s="676">
        <f>IF(Picks!C117="","",Picks!C117)</f>
        <v>1</v>
      </c>
      <c r="D117" s="117">
        <f>IF(Picks!D117="","",Picks!D117)</f>
        <v>1.7</v>
      </c>
      <c r="E117" s="95" t="str">
        <f>IF(Picks!E117="","",Picks!E117)</f>
        <v>√</v>
      </c>
      <c r="F117" s="145" t="str">
        <f>IF(Picks!F117="","",Picks!F117)</f>
        <v/>
      </c>
      <c r="G117" s="48" t="str">
        <f>IF(Picks!G117="","",Picks!G117)</f>
        <v/>
      </c>
    </row>
    <row r="118" spans="1:7" ht="13.5" thickBot="1">
      <c r="A118" s="146"/>
      <c r="B118" s="141" t="str">
        <f>IF(Picks!B118="","",Picks!B118)</f>
        <v>Man C</v>
      </c>
      <c r="C118" s="677">
        <f>IF(Picks!C118="","",Picks!C118)</f>
        <v>1</v>
      </c>
      <c r="D118" s="142">
        <f>IF(Picks!D118="","",Picks!D118)</f>
        <v>1.2</v>
      </c>
      <c r="E118" s="95" t="str">
        <f>IF(Picks!E118="","",Picks!E118)</f>
        <v>√</v>
      </c>
      <c r="F118" s="145" t="str">
        <f>IF(Picks!F118="","",Picks!F118)</f>
        <v/>
      </c>
      <c r="G118" s="48" t="str">
        <f>IF(Picks!G118="","",Picks!G118)</f>
        <v/>
      </c>
    </row>
    <row r="119" spans="1:7" ht="13.9" thickTop="1" thickBot="1">
      <c r="A119" s="126" t="str">
        <f>IF(Picks!A119="","",Picks!A119)</f>
        <v>Martin Molyneux</v>
      </c>
      <c r="B119" s="124" t="str">
        <f>IF(Picks!B119="","",Picks!B119)</f>
        <v>Spurs</v>
      </c>
      <c r="C119" s="676">
        <f>IF(Picks!C119="","",Picks!C119)</f>
        <v>1</v>
      </c>
      <c r="D119" s="120">
        <f>IF(Picks!D119="","",Picks!D119)</f>
        <v>1.7</v>
      </c>
      <c r="E119" s="125" t="str">
        <f>IF(Picks!E119="","",Picks!E119)</f>
        <v>√</v>
      </c>
      <c r="F119" s="122">
        <f>IF(Picks!F119="","",Picks!F119)</f>
        <v>-1.4000000000000004</v>
      </c>
      <c r="G119" s="123">
        <f>IF(Picks!G119="","",Picks!G119)</f>
        <v>10.149999999999999</v>
      </c>
    </row>
    <row r="120" spans="1:7" ht="13.15">
      <c r="A120" s="126"/>
      <c r="B120" s="64" t="str">
        <f>IF(Picks!B120="","",Picks!B120)</f>
        <v>Arsenal</v>
      </c>
      <c r="C120" s="676">
        <f>IF(Picks!C120="","",Picks!C120)</f>
        <v>1</v>
      </c>
      <c r="D120" s="117">
        <f>IF(Picks!D120="","",Picks!D120)</f>
        <v>1.4444444444444444</v>
      </c>
      <c r="E120" s="95" t="str">
        <f>IF(Picks!E120="","",Picks!E120)</f>
        <v>√</v>
      </c>
      <c r="F120" s="145" t="str">
        <f>IF(Picks!F120="","",Picks!F120)</f>
        <v/>
      </c>
      <c r="G120" s="48" t="str">
        <f>IF(Picks!G120="","",Picks!G120)</f>
        <v/>
      </c>
    </row>
    <row r="121" spans="1:7" ht="13.5" thickBot="1">
      <c r="A121" s="146"/>
      <c r="B121" s="141" t="str">
        <f>IF(Picks!B121="","",Picks!B121)</f>
        <v>West Ham</v>
      </c>
      <c r="C121" s="677">
        <f>IF(Picks!C121="","",Picks!C121)</f>
        <v>1</v>
      </c>
      <c r="D121" s="142">
        <f>IF(Picks!D121="","",Picks!D121)</f>
        <v>1.75</v>
      </c>
      <c r="E121" s="95" t="str">
        <f>IF(Picks!E121="","",Picks!E121)</f>
        <v>x</v>
      </c>
      <c r="F121" s="145" t="str">
        <f>IF(Picks!F121="","",Picks!F121)</f>
        <v/>
      </c>
      <c r="G121" s="48" t="str">
        <f>IF(Picks!G121="","",Picks!G121)</f>
        <v/>
      </c>
    </row>
    <row r="122" spans="1:7" ht="13.9" thickTop="1" thickBot="1">
      <c r="A122" s="126" t="str">
        <f>IF(Picks!A122="","",Picks!A122)</f>
        <v>Martin Tarbuck</v>
      </c>
      <c r="B122" s="124" t="str">
        <f>IF(Picks!B122="","",Picks!B122)</f>
        <v>Forest</v>
      </c>
      <c r="C122" s="676">
        <f>IF(Picks!C122="","",Picks!C122)</f>
        <v>1</v>
      </c>
      <c r="D122" s="120">
        <f>IF(Picks!D122="","",Picks!D122)</f>
        <v>3.5</v>
      </c>
      <c r="E122" s="125" t="str">
        <f>IF(Picks!E122="","",Picks!E122)</f>
        <v>x</v>
      </c>
      <c r="F122" s="122">
        <f>IF(Picks!F122="","",Picks!F122)</f>
        <v>-3.9</v>
      </c>
      <c r="G122" s="123">
        <f>IF(Picks!G122="","",Picks!G122)</f>
        <v>43.66</v>
      </c>
    </row>
    <row r="123" spans="1:7" ht="13.15">
      <c r="A123" s="126"/>
      <c r="B123" s="64" t="str">
        <f>IF(Picks!B123="","",Picks!B123)</f>
        <v>Scunthorpe</v>
      </c>
      <c r="C123" s="676">
        <f>IF(Picks!C123="","",Picks!C123)</f>
        <v>1</v>
      </c>
      <c r="D123" s="117">
        <f>IF(Picks!D123="","",Picks!D123)</f>
        <v>3.1</v>
      </c>
      <c r="E123" s="95" t="str">
        <f>IF(Picks!E123="","",Picks!E123)</f>
        <v>√</v>
      </c>
      <c r="F123" s="145" t="str">
        <f>IF(Picks!F123="","",Picks!F123)</f>
        <v/>
      </c>
      <c r="G123" s="48" t="str">
        <f>IF(Picks!G123="","",Picks!G123)</f>
        <v/>
      </c>
    </row>
    <row r="124" spans="1:7" ht="13.5" thickBot="1">
      <c r="A124" s="146"/>
      <c r="B124" s="141" t="str">
        <f>IF(Picks!B124="","",Picks!B124)</f>
        <v>Rotherham</v>
      </c>
      <c r="C124" s="677">
        <f>IF(Picks!C124="","",Picks!C124)</f>
        <v>1</v>
      </c>
      <c r="D124" s="142">
        <f>IF(Picks!D124="","",Picks!D124)</f>
        <v>1.8</v>
      </c>
      <c r="E124" s="95" t="str">
        <f>IF(Picks!E124="","",Picks!E124)</f>
        <v>x</v>
      </c>
      <c r="F124" s="145" t="str">
        <f>IF(Picks!F124="","",Picks!F124)</f>
        <v/>
      </c>
      <c r="G124" s="48" t="str">
        <f>IF(Picks!G124="","",Picks!G124)</f>
        <v/>
      </c>
    </row>
    <row r="125" spans="1:7" ht="13.9" thickTop="1" thickBot="1">
      <c r="A125" s="126" t="str">
        <f>IF(Picks!A125="","",Picks!A125)</f>
        <v>Mike Penk</v>
      </c>
      <c r="B125" s="124" t="str">
        <f>IF(Picks!B125="","",Picks!B125)</f>
        <v>Rotherham</v>
      </c>
      <c r="C125" s="676">
        <f>IF(Picks!C125="","",Picks!C125)</f>
        <v>1</v>
      </c>
      <c r="D125" s="120">
        <f>IF(Picks!D125="","",Picks!D125)</f>
        <v>1.8</v>
      </c>
      <c r="E125" s="125" t="str">
        <f>IF(Picks!E125="","",Picks!E125)</f>
        <v>x</v>
      </c>
      <c r="F125" s="122">
        <f>IF(Picks!F125="","",Picks!F125)</f>
        <v>6.666666666666643E-2</v>
      </c>
      <c r="G125" s="123">
        <f>IF(Picks!G125="","",Picks!G125)</f>
        <v>14.586666666666666</v>
      </c>
    </row>
    <row r="126" spans="1:7" ht="13.15">
      <c r="A126" s="126"/>
      <c r="B126" s="64" t="str">
        <f>IF(Picks!B126="","",Picks!B126)</f>
        <v>Arsenal</v>
      </c>
      <c r="C126" s="676">
        <f>IF(Picks!C126="","",Picks!C126)</f>
        <v>1</v>
      </c>
      <c r="D126" s="117">
        <f>IF(Picks!D126="","",Picks!D126)</f>
        <v>1.4444444444444444</v>
      </c>
      <c r="E126" s="95" t="str">
        <f>IF(Picks!E126="","",Picks!E126)</f>
        <v>√</v>
      </c>
      <c r="F126" s="145" t="str">
        <f>IF(Picks!F126="","",Picks!F126)</f>
        <v/>
      </c>
      <c r="G126" s="48" t="str">
        <f>IF(Picks!G126="","",Picks!G126)</f>
        <v/>
      </c>
    </row>
    <row r="127" spans="1:7" ht="13.5" thickBot="1">
      <c r="A127" s="146"/>
      <c r="B127" s="141" t="str">
        <f>IF(Picks!B127="","",Picks!B127)</f>
        <v>Plymouth</v>
      </c>
      <c r="C127" s="677">
        <f>IF(Picks!C127="","",Picks!C127)</f>
        <v>1</v>
      </c>
      <c r="D127" s="142">
        <f>IF(Picks!D127="","",Picks!D127)</f>
        <v>2.2999999999999998</v>
      </c>
      <c r="E127" s="95" t="str">
        <f>IF(Picks!E127="","",Picks!E127)</f>
        <v>√</v>
      </c>
      <c r="F127" s="145" t="str">
        <f>IF(Picks!F127="","",Picks!F127)</f>
        <v/>
      </c>
      <c r="G127" s="48" t="str">
        <f>IF(Picks!G127="","",Picks!G127)</f>
        <v/>
      </c>
    </row>
    <row r="128" spans="1:7" ht="13.9" thickTop="1" thickBot="1">
      <c r="A128" s="126" t="str">
        <f>IF(Picks!A128="","",Picks!A128)</f>
        <v>Mo Sudell</v>
      </c>
      <c r="B128" s="124" t="str">
        <f>IF(Picks!B128="","",Picks!B128)</f>
        <v>Bromley</v>
      </c>
      <c r="C128" s="676">
        <f>IF(Picks!C128="","",Picks!C128)</f>
        <v>1</v>
      </c>
      <c r="D128" s="120">
        <f>IF(Picks!D128="","",Picks!D128)</f>
        <v>1.7</v>
      </c>
      <c r="E128" s="125" t="str">
        <f>IF(Picks!E128="","",Picks!E128)</f>
        <v>x</v>
      </c>
      <c r="F128" s="122">
        <f>IF(Picks!F128="","",Picks!F128)</f>
        <v>-0.40404040404040309</v>
      </c>
      <c r="G128" s="123">
        <f>IF(Picks!G128="","",Picks!G128)</f>
        <v>12.509090909090908</v>
      </c>
    </row>
    <row r="129" spans="1:7" ht="13.15">
      <c r="A129" s="126"/>
      <c r="B129" s="64" t="str">
        <f>IF(Picks!B129="","",Picks!B129)</f>
        <v>Dagenham</v>
      </c>
      <c r="C129" s="676">
        <f>IF(Picks!C129="","",Picks!C129)</f>
        <v>1</v>
      </c>
      <c r="D129" s="117">
        <f>IF(Picks!D129="","",Picks!D129)</f>
        <v>1.6111111111111112</v>
      </c>
      <c r="E129" s="95" t="str">
        <f>IF(Picks!E129="","",Picks!E129)</f>
        <v>√</v>
      </c>
      <c r="F129" s="145" t="str">
        <f>IF(Picks!F129="","",Picks!F129)</f>
        <v/>
      </c>
      <c r="G129" s="48" t="str">
        <f>IF(Picks!G129="","",Picks!G129)</f>
        <v/>
      </c>
    </row>
    <row r="130" spans="1:7" ht="13.5" thickBot="1">
      <c r="A130" s="146"/>
      <c r="B130" s="141" t="str">
        <f>IF(Picks!B130="","",Picks!B130)</f>
        <v>Mansfield</v>
      </c>
      <c r="C130" s="677">
        <f>IF(Picks!C130="","",Picks!C130)</f>
        <v>1</v>
      </c>
      <c r="D130" s="142">
        <f>IF(Picks!D130="","",Picks!D130)</f>
        <v>1.9090909090909092</v>
      </c>
      <c r="E130" s="95" t="str">
        <f>IF(Picks!E130="","",Picks!E130)</f>
        <v>√</v>
      </c>
      <c r="F130" s="145" t="str">
        <f>IF(Picks!F130="","",Picks!F130)</f>
        <v/>
      </c>
      <c r="G130" s="48" t="str">
        <f>IF(Picks!G130="","",Picks!G130)</f>
        <v/>
      </c>
    </row>
    <row r="131" spans="1:7" ht="13.9" thickTop="1" thickBot="1">
      <c r="A131" s="126" t="str">
        <f>IF(Picks!A131="","",Picks!A131)</f>
        <v>Nick Blocksidge</v>
      </c>
      <c r="B131" s="124" t="str">
        <f>IF(Picks!B131="","",Picks!B131)</f>
        <v>Man C</v>
      </c>
      <c r="C131" s="676">
        <f>IF(Picks!C131="","",Picks!C131)</f>
        <v>1</v>
      </c>
      <c r="D131" s="120">
        <f>IF(Picks!D131="","",Picks!D131)</f>
        <v>1.2</v>
      </c>
      <c r="E131" s="125" t="str">
        <f>IF(Picks!E131="","",Picks!E131)</f>
        <v>√</v>
      </c>
      <c r="F131" s="122">
        <f>IF(Picks!F131="","",Picks!F131)</f>
        <v>-2.6222222222222218</v>
      </c>
      <c r="G131" s="123">
        <f>IF(Picks!G131="","",Picks!G131)</f>
        <v>17.544444444444444</v>
      </c>
    </row>
    <row r="132" spans="1:7" ht="13.15">
      <c r="A132" s="126"/>
      <c r="B132" s="64" t="str">
        <f>IF(Picks!B132="","",Picks!B132)</f>
        <v>Arsenal</v>
      </c>
      <c r="C132" s="676">
        <f>IF(Picks!C132="","",Picks!C132)</f>
        <v>1</v>
      </c>
      <c r="D132" s="117">
        <f>IF(Picks!D132="","",Picks!D132)</f>
        <v>1.4444444444444444</v>
      </c>
      <c r="E132" s="95" t="str">
        <f>IF(Picks!E132="","",Picks!E132)</f>
        <v>√</v>
      </c>
      <c r="F132" s="145" t="str">
        <f>IF(Picks!F132="","",Picks!F132)</f>
        <v/>
      </c>
      <c r="G132" s="48" t="str">
        <f>IF(Picks!G132="","",Picks!G132)</f>
        <v/>
      </c>
    </row>
    <row r="133" spans="1:7" ht="13.5" thickBot="1">
      <c r="A133" s="146"/>
      <c r="B133" s="141" t="str">
        <f>IF(Picks!B133="","",Picks!B133)</f>
        <v>Spurs draw</v>
      </c>
      <c r="C133" s="677">
        <f>IF(Picks!C133="","",Picks!C133)</f>
        <v>1</v>
      </c>
      <c r="D133" s="142">
        <f>IF(Picks!D133="","",Picks!D133)</f>
        <v>3.75</v>
      </c>
      <c r="E133" s="95" t="str">
        <f>IF(Picks!E133="","",Picks!E133)</f>
        <v>x</v>
      </c>
      <c r="F133" s="145" t="str">
        <f>IF(Picks!F133="","",Picks!F133)</f>
        <v/>
      </c>
      <c r="G133" s="48" t="str">
        <f>IF(Picks!G133="","",Picks!G133)</f>
        <v/>
      </c>
    </row>
    <row r="134" spans="1:7" ht="13.9" thickTop="1" thickBot="1">
      <c r="A134" s="126" t="str">
        <f>IF(Picks!A134="","",Picks!A134)</f>
        <v>Nigel Heyes</v>
      </c>
      <c r="B134" s="124" t="str">
        <f>IF(Picks!B134="","",Picks!B134)</f>
        <v>Rotherham</v>
      </c>
      <c r="C134" s="676">
        <f>IF(Picks!C134="","",Picks!C134)</f>
        <v>1</v>
      </c>
      <c r="D134" s="120">
        <f>IF(Picks!D134="","",Picks!D134)</f>
        <v>1.8</v>
      </c>
      <c r="E134" s="125" t="str">
        <f>IF(Picks!E134="","",Picks!E134)</f>
        <v>x</v>
      </c>
      <c r="F134" s="122">
        <f>IF(Picks!F134="","",Picks!F134)</f>
        <v>2.7249999999999996</v>
      </c>
      <c r="G134" s="123">
        <f>IF(Picks!G134="","",Picks!G134)</f>
        <v>22.03</v>
      </c>
    </row>
    <row r="135" spans="1:7" ht="13.15">
      <c r="A135" s="126"/>
      <c r="B135" s="64" t="str">
        <f>IF(Picks!B135="","",Picks!B135)</f>
        <v>Plymouth</v>
      </c>
      <c r="C135" s="676">
        <f>IF(Picks!C135="","",Picks!C135)</f>
        <v>1</v>
      </c>
      <c r="D135" s="117">
        <f>IF(Picks!D135="","",Picks!D135)</f>
        <v>2.2999999999999998</v>
      </c>
      <c r="E135" s="95" t="str">
        <f>IF(Picks!E135="","",Picks!E135)</f>
        <v>√</v>
      </c>
      <c r="F135" s="145" t="str">
        <f>IF(Picks!F135="","",Picks!F135)</f>
        <v/>
      </c>
      <c r="G135" s="48" t="str">
        <f>IF(Picks!G135="","",Picks!G135)</f>
        <v/>
      </c>
    </row>
    <row r="136" spans="1:7" ht="13.5" thickBot="1">
      <c r="A136" s="146"/>
      <c r="B136" s="141" t="str">
        <f>IF(Picks!B136="","",Picks!B136)</f>
        <v>MK Dons</v>
      </c>
      <c r="C136" s="677">
        <f>IF(Picks!C136="","",Picks!C136)</f>
        <v>1</v>
      </c>
      <c r="D136" s="142">
        <f>IF(Picks!D136="","",Picks!D136)</f>
        <v>2.25</v>
      </c>
      <c r="E136" s="95" t="str">
        <f>IF(Picks!E136="","",Picks!E136)</f>
        <v>√</v>
      </c>
      <c r="F136" s="145" t="str">
        <f>IF(Picks!F136="","",Picks!F136)</f>
        <v/>
      </c>
      <c r="G136" s="48" t="str">
        <f>IF(Picks!G136="","",Picks!G136)</f>
        <v/>
      </c>
    </row>
    <row r="137" spans="1:7" ht="13.9" thickTop="1" thickBot="1">
      <c r="A137" s="126" t="str">
        <f>IF(Picks!A137="","",Picks!A137)</f>
        <v>Oscar Jackson</v>
      </c>
      <c r="B137" s="124" t="str">
        <f>IF(Picks!B137="","",Picks!B137)</f>
        <v/>
      </c>
      <c r="C137" s="676" t="str">
        <f>IF(Picks!C137="","",Picks!C137)</f>
        <v/>
      </c>
      <c r="D137" s="120" t="str">
        <f>IF(Picks!D137="","",Picks!D137)</f>
        <v/>
      </c>
      <c r="E137" s="125" t="str">
        <f>IF(Picks!E137="","",Picks!E137)</f>
        <v/>
      </c>
      <c r="F137" s="122">
        <f>IF(Picks!F137="","",Picks!F137)</f>
        <v>-10</v>
      </c>
      <c r="G137" s="123" t="str">
        <f>IF(Picks!G137="","",Picks!G137)</f>
        <v/>
      </c>
    </row>
    <row r="138" spans="1:7" ht="13.15">
      <c r="A138" s="126"/>
      <c r="B138" s="64" t="str">
        <f>IF(Picks!B138="","",Picks!B138)</f>
        <v/>
      </c>
      <c r="C138" s="676" t="str">
        <f>IF(Picks!C138="","",Picks!C138)</f>
        <v/>
      </c>
      <c r="D138" s="117" t="str">
        <f>IF(Picks!D138="","",Picks!D138)</f>
        <v/>
      </c>
      <c r="E138" s="95" t="str">
        <f>IF(Picks!E138="","",Picks!E138)</f>
        <v/>
      </c>
      <c r="F138" s="145" t="str">
        <f>IF(Picks!F138="","",Picks!F138)</f>
        <v/>
      </c>
      <c r="G138" s="48" t="str">
        <f>IF(Picks!G138="","",Picks!G138)</f>
        <v/>
      </c>
    </row>
    <row r="139" spans="1:7" ht="13.5" thickBot="1">
      <c r="A139" s="146"/>
      <c r="B139" s="141" t="str">
        <f>IF(Picks!B139="","",Picks!B139)</f>
        <v/>
      </c>
      <c r="C139" s="677" t="str">
        <f>IF(Picks!C139="","",Picks!C139)</f>
        <v/>
      </c>
      <c r="D139" s="142" t="str">
        <f>IF(Picks!D139="","",Picks!D139)</f>
        <v/>
      </c>
      <c r="E139" s="95" t="str">
        <f>IF(Picks!E139="","",Picks!E139)</f>
        <v/>
      </c>
      <c r="F139" s="145" t="str">
        <f>IF(Picks!F139="","",Picks!F139)</f>
        <v/>
      </c>
      <c r="G139" s="48" t="str">
        <f>IF(Picks!G139="","",Picks!G139)</f>
        <v/>
      </c>
    </row>
    <row r="140" spans="1:7" ht="13.9" thickTop="1" thickBot="1">
      <c r="A140" s="126" t="str">
        <f>IF(Picks!A140="","",Picks!A140)</f>
        <v>Paul Adderley</v>
      </c>
      <c r="B140" s="124" t="str">
        <f>IF(Picks!B140="","",Picks!B140)</f>
        <v>Spurs</v>
      </c>
      <c r="C140" s="676">
        <f>IF(Picks!C140="","",Picks!C140)</f>
        <v>1</v>
      </c>
      <c r="D140" s="120">
        <f>IF(Picks!D140="","",Picks!D140)</f>
        <v>1.7</v>
      </c>
      <c r="E140" s="125" t="str">
        <f>IF(Picks!E140="","",Picks!E140)</f>
        <v>√</v>
      </c>
      <c r="F140" s="122">
        <f>IF(Picks!F140="","",Picks!F140)</f>
        <v>-1.4000000000000004</v>
      </c>
      <c r="G140" s="123">
        <f>IF(Picks!G140="","",Picks!G140)</f>
        <v>10.149999999999999</v>
      </c>
    </row>
    <row r="141" spans="1:7" ht="13.15">
      <c r="A141" s="126"/>
      <c r="B141" s="64" t="str">
        <f>IF(Picks!B141="","",Picks!B141)</f>
        <v>West Ham</v>
      </c>
      <c r="C141" s="676">
        <f>IF(Picks!C141="","",Picks!C141)</f>
        <v>1</v>
      </c>
      <c r="D141" s="117">
        <f>IF(Picks!D141="","",Picks!D141)</f>
        <v>1.75</v>
      </c>
      <c r="E141" s="95" t="str">
        <f>IF(Picks!E141="","",Picks!E141)</f>
        <v>x</v>
      </c>
      <c r="F141" s="145" t="str">
        <f>IF(Picks!F141="","",Picks!F141)</f>
        <v/>
      </c>
      <c r="G141" s="48" t="str">
        <f>IF(Picks!G141="","",Picks!G141)</f>
        <v/>
      </c>
    </row>
    <row r="142" spans="1:7" ht="13.5" thickBot="1">
      <c r="A142" s="146"/>
      <c r="B142" s="141" t="str">
        <f>IF(Picks!B142="","",Picks!B142)</f>
        <v>Arsenal</v>
      </c>
      <c r="C142" s="677">
        <f>IF(Picks!C142="","",Picks!C142)</f>
        <v>1</v>
      </c>
      <c r="D142" s="142">
        <f>IF(Picks!D142="","",Picks!D142)</f>
        <v>1.4444444444444444</v>
      </c>
      <c r="E142" s="95" t="str">
        <f>IF(Picks!E142="","",Picks!E142)</f>
        <v>√</v>
      </c>
      <c r="F142" s="145" t="str">
        <f>IF(Picks!F142="","",Picks!F142)</f>
        <v/>
      </c>
      <c r="G142" s="48" t="str">
        <f>IF(Picks!G142="","",Picks!G142)</f>
        <v/>
      </c>
    </row>
    <row r="143" spans="1:7" ht="13.9" thickTop="1" thickBot="1">
      <c r="A143" s="126" t="str">
        <f>IF(Picks!A143="","",Picks!A143)</f>
        <v>Paul Allen</v>
      </c>
      <c r="B143" s="124" t="str">
        <f>IF(Picks!B143="","",Picks!B143)</f>
        <v>Brighton</v>
      </c>
      <c r="C143" s="676">
        <f>IF(Picks!C143="","",Picks!C143)</f>
        <v>1</v>
      </c>
      <c r="D143" s="120">
        <f>IF(Picks!D143="","",Picks!D143)</f>
        <v>1.85</v>
      </c>
      <c r="E143" s="125" t="str">
        <f>IF(Picks!E143="","",Picks!E143)</f>
        <v>√</v>
      </c>
      <c r="F143" s="122">
        <f>IF(Picks!F143="","",Picks!F143)</f>
        <v>-0.30499999999999972</v>
      </c>
      <c r="G143" s="123">
        <f>IF(Picks!G143="","",Picks!G143)</f>
        <v>13.161250000000003</v>
      </c>
    </row>
    <row r="144" spans="1:7" ht="13.15">
      <c r="A144" s="126"/>
      <c r="B144" s="64" t="str">
        <f>IF(Picks!B144="","",Picks!B144)</f>
        <v>Spurs</v>
      </c>
      <c r="C144" s="676">
        <f>IF(Picks!C144="","",Picks!C144)</f>
        <v>1</v>
      </c>
      <c r="D144" s="117">
        <f>IF(Picks!D144="","",Picks!D144)</f>
        <v>1.7</v>
      </c>
      <c r="E144" s="95" t="str">
        <f>IF(Picks!E144="","",Picks!E144)</f>
        <v>√</v>
      </c>
      <c r="F144" s="145" t="str">
        <f>IF(Picks!F144="","",Picks!F144)</f>
        <v/>
      </c>
      <c r="G144" s="48" t="str">
        <f>IF(Picks!G144="","",Picks!G144)</f>
        <v/>
      </c>
    </row>
    <row r="145" spans="1:7" ht="13.5" thickBot="1">
      <c r="A145" s="146"/>
      <c r="B145" s="141" t="str">
        <f>IF(Picks!B145="","",Picks!B145)</f>
        <v>West Ham</v>
      </c>
      <c r="C145" s="677">
        <f>IF(Picks!C145="","",Picks!C145)</f>
        <v>1</v>
      </c>
      <c r="D145" s="142">
        <f>IF(Picks!D145="","",Picks!D145)</f>
        <v>1.75</v>
      </c>
      <c r="E145" s="95" t="str">
        <f>IF(Picks!E145="","",Picks!E145)</f>
        <v>x</v>
      </c>
      <c r="F145" s="145" t="str">
        <f>IF(Picks!F145="","",Picks!F145)</f>
        <v/>
      </c>
      <c r="G145" s="48" t="str">
        <f>IF(Picks!G145="","",Picks!G145)</f>
        <v/>
      </c>
    </row>
    <row r="146" spans="1:7" ht="13.9" thickTop="1" thickBot="1">
      <c r="A146" s="126" t="str">
        <f>IF(Picks!A146="","",Picks!A146)</f>
        <v>Paul Barnes</v>
      </c>
      <c r="B146" s="124" t="str">
        <f>IF(Picks!B146="","",Picks!B146)</f>
        <v>Arsenal</v>
      </c>
      <c r="C146" s="676">
        <f>IF(Picks!C146="","",Picks!C146)</f>
        <v>1</v>
      </c>
      <c r="D146" s="120">
        <f>IF(Picks!D146="","",Picks!D146)</f>
        <v>1.4444444444444444</v>
      </c>
      <c r="E146" s="125" t="str">
        <f>IF(Picks!E146="","",Picks!E146)</f>
        <v>√</v>
      </c>
      <c r="F146" s="122">
        <f>IF(Picks!F146="","",Picks!F146)</f>
        <v>-5.5555555555555554</v>
      </c>
      <c r="G146" s="123">
        <f>IF(Picks!G146="","",Picks!G146)</f>
        <v>52.37777777777778</v>
      </c>
    </row>
    <row r="147" spans="1:7" ht="13.15">
      <c r="A147" s="126"/>
      <c r="B147" s="64" t="str">
        <f>IF(Picks!B147="","",Picks!B147)</f>
        <v>Brentford</v>
      </c>
      <c r="C147" s="676">
        <f>IF(Picks!C147="","",Picks!C147)</f>
        <v>1</v>
      </c>
      <c r="D147" s="117">
        <f>IF(Picks!D147="","",Picks!D147)</f>
        <v>4.2</v>
      </c>
      <c r="E147" s="95" t="str">
        <f>IF(Picks!E147="","",Picks!E147)</f>
        <v>x</v>
      </c>
      <c r="F147" s="145" t="str">
        <f>IF(Picks!F147="","",Picks!F147)</f>
        <v/>
      </c>
      <c r="G147" s="48" t="str">
        <f>IF(Picks!G147="","",Picks!G147)</f>
        <v/>
      </c>
    </row>
    <row r="148" spans="1:7" ht="13.5" thickBot="1">
      <c r="A148" s="146"/>
      <c r="B148" s="141" t="str">
        <f>IF(Picks!B148="","",Picks!B148)</f>
        <v>Villa draw</v>
      </c>
      <c r="C148" s="677">
        <f>IF(Picks!C148="","",Picks!C148)</f>
        <v>1</v>
      </c>
      <c r="D148" s="142">
        <f>IF(Picks!D148="","",Picks!D148)</f>
        <v>3.75</v>
      </c>
      <c r="E148" s="95" t="str">
        <f>IF(Picks!E148="","",Picks!E148)</f>
        <v>x</v>
      </c>
      <c r="F148" s="145" t="str">
        <f>IF(Picks!F148="","",Picks!F148)</f>
        <v/>
      </c>
      <c r="G148" s="48" t="str">
        <f>IF(Picks!G148="","",Picks!G148)</f>
        <v/>
      </c>
    </row>
    <row r="149" spans="1:7" ht="13.9" thickTop="1" thickBot="1">
      <c r="A149" s="126" t="str">
        <f>IF(Picks!A149="","",Picks!A149)</f>
        <v>Paul Fairhurst</v>
      </c>
      <c r="B149" s="124" t="str">
        <f>IF(Picks!B149="","",Picks!B149)</f>
        <v>Hull</v>
      </c>
      <c r="C149" s="676">
        <f>IF(Picks!C149="","",Picks!C149)</f>
        <v>1</v>
      </c>
      <c r="D149" s="120">
        <f>IF(Picks!D149="","",Picks!D149)</f>
        <v>2.875</v>
      </c>
      <c r="E149" s="125" t="str">
        <f>IF(Picks!E149="","",Picks!E149)</f>
        <v>x</v>
      </c>
      <c r="F149" s="122">
        <f>IF(Picks!F149="","",Picks!F149)</f>
        <v>-1</v>
      </c>
      <c r="G149" s="123">
        <f>IF(Picks!G149="","",Picks!G149)</f>
        <v>2</v>
      </c>
    </row>
    <row r="150" spans="1:7" ht="13.15">
      <c r="A150" s="126"/>
      <c r="B150" s="64" t="str">
        <f>IF(Picks!B150="","",Picks!B150)</f>
        <v>Lincoln</v>
      </c>
      <c r="C150" s="676">
        <f>IF(Picks!C150="","",Picks!C150)</f>
        <v>1</v>
      </c>
      <c r="D150" s="117">
        <f>IF(Picks!D150="","",Picks!D150)</f>
        <v>3</v>
      </c>
      <c r="E150" s="95" t="str">
        <f>IF(Picks!E150="","",Picks!E150)</f>
        <v>x</v>
      </c>
      <c r="F150" s="145" t="str">
        <f>IF(Picks!F150="","",Picks!F150)</f>
        <v/>
      </c>
      <c r="G150" s="48" t="str">
        <f>IF(Picks!G150="","",Picks!G150)</f>
        <v/>
      </c>
    </row>
    <row r="151" spans="1:7" ht="13.5" thickBot="1">
      <c r="A151" s="146"/>
      <c r="B151" s="141" t="str">
        <f>IF(Picks!B151="","",Picks!B151)</f>
        <v>Colchester</v>
      </c>
      <c r="C151" s="677">
        <f>IF(Picks!C151="","",Picks!C151)</f>
        <v>1</v>
      </c>
      <c r="D151" s="142">
        <f>IF(Picks!D151="","",Picks!D151)</f>
        <v>3.5</v>
      </c>
      <c r="E151" s="95" t="str">
        <f>IF(Picks!E151="","",Picks!E151)</f>
        <v>x</v>
      </c>
      <c r="F151" s="145" t="str">
        <f>IF(Picks!F151="","",Picks!F151)</f>
        <v/>
      </c>
      <c r="G151" s="48" t="str">
        <f>IF(Picks!G151="","",Picks!G151)</f>
        <v/>
      </c>
    </row>
    <row r="152" spans="1:7" ht="13.9" thickTop="1" thickBot="1">
      <c r="A152" s="126" t="str">
        <f>IF(Picks!A152="","",Picks!A152)</f>
        <v>Paul Fiddler</v>
      </c>
      <c r="B152" s="124" t="str">
        <f>IF(Picks!B152="","",Picks!B152)</f>
        <v>Arsenal</v>
      </c>
      <c r="C152" s="676">
        <f>IF(Picks!C152="","",Picks!C152)</f>
        <v>1</v>
      </c>
      <c r="D152" s="120">
        <f>IF(Picks!D152="","",Picks!D152)</f>
        <v>1.4444444444444444</v>
      </c>
      <c r="E152" s="125" t="str">
        <f>IF(Picks!E152="","",Picks!E152)</f>
        <v>√</v>
      </c>
      <c r="F152" s="122">
        <f>IF(Picks!F152="","",Picks!F152)</f>
        <v>-1.4000000000000004</v>
      </c>
      <c r="G152" s="123">
        <f>IF(Picks!G152="","",Picks!G152)</f>
        <v>10.149999999999999</v>
      </c>
    </row>
    <row r="153" spans="1:7" ht="13.15">
      <c r="A153" s="126"/>
      <c r="B153" s="64" t="str">
        <f>IF(Picks!B153="","",Picks!B153)</f>
        <v>Spurs</v>
      </c>
      <c r="C153" s="676">
        <f>IF(Picks!C153="","",Picks!C153)</f>
        <v>1</v>
      </c>
      <c r="D153" s="117">
        <f>IF(Picks!D153="","",Picks!D153)</f>
        <v>1.7</v>
      </c>
      <c r="E153" s="95" t="str">
        <f>IF(Picks!E153="","",Picks!E153)</f>
        <v>√</v>
      </c>
      <c r="F153" s="145" t="str">
        <f>IF(Picks!F153="","",Picks!F153)</f>
        <v/>
      </c>
      <c r="G153" s="48" t="str">
        <f>IF(Picks!G153="","",Picks!G153)</f>
        <v/>
      </c>
    </row>
    <row r="154" spans="1:7" ht="13.5" thickBot="1">
      <c r="A154" s="146"/>
      <c r="B154" s="141" t="str">
        <f>IF(Picks!B154="","",Picks!B154)</f>
        <v>West Ham</v>
      </c>
      <c r="C154" s="677">
        <f>IF(Picks!C154="","",Picks!C154)</f>
        <v>1</v>
      </c>
      <c r="D154" s="142">
        <f>IF(Picks!D154="","",Picks!D154)</f>
        <v>1.75</v>
      </c>
      <c r="E154" s="95" t="str">
        <f>IF(Picks!E154="","",Picks!E154)</f>
        <v>x</v>
      </c>
      <c r="F154" s="145" t="str">
        <f>IF(Picks!F154="","",Picks!F154)</f>
        <v/>
      </c>
      <c r="G154" s="48" t="str">
        <f>IF(Picks!G154="","",Picks!G154)</f>
        <v/>
      </c>
    </row>
    <row r="155" spans="1:7" ht="13.9" thickTop="1" thickBot="1">
      <c r="A155" s="126" t="str">
        <f>IF(Picks!A155="","",Picks!A155)</f>
        <v>Pete Baron</v>
      </c>
      <c r="B155" s="124" t="str">
        <f>IF(Picks!B155="","",Picks!B155)</f>
        <v>Man C draw</v>
      </c>
      <c r="C155" s="676">
        <f>IF(Picks!C155="","",Picks!C155)</f>
        <v>1</v>
      </c>
      <c r="D155" s="120">
        <f>IF(Picks!D155="","",Picks!D155)</f>
        <v>6.5</v>
      </c>
      <c r="E155" s="125" t="str">
        <f>IF(Picks!E155="","",Picks!E155)</f>
        <v>x</v>
      </c>
      <c r="F155" s="122">
        <f>IF(Picks!F155="","",Picks!F155)</f>
        <v>-7</v>
      </c>
      <c r="G155" s="123">
        <f>IF(Picks!G155="","",Picks!G155)</f>
        <v>287.79999999999995</v>
      </c>
    </row>
    <row r="156" spans="1:7" ht="13.15">
      <c r="A156" s="126"/>
      <c r="B156" s="64" t="str">
        <f>IF(Picks!B156="","",Picks!B156)</f>
        <v>Villa</v>
      </c>
      <c r="C156" s="676">
        <f>IF(Picks!C156="","",Picks!C156)</f>
        <v>1</v>
      </c>
      <c r="D156" s="117">
        <f>IF(Picks!D156="","",Picks!D156)</f>
        <v>5.8</v>
      </c>
      <c r="E156" s="95" t="str">
        <f>IF(Picks!E156="","",Picks!E156)</f>
        <v>x</v>
      </c>
      <c r="F156" s="145" t="str">
        <f>IF(Picks!F156="","",Picks!F156)</f>
        <v/>
      </c>
      <c r="G156" s="48" t="str">
        <f>IF(Picks!G156="","",Picks!G156)</f>
        <v/>
      </c>
    </row>
    <row r="157" spans="1:7" ht="13.5" thickBot="1">
      <c r="A157" s="146"/>
      <c r="B157" s="141" t="str">
        <f>IF(Picks!B157="","",Picks!B157)</f>
        <v>Palace</v>
      </c>
      <c r="C157" s="677">
        <f>IF(Picks!C157="","",Picks!C157)</f>
        <v>1</v>
      </c>
      <c r="D157" s="142">
        <f>IF(Picks!D157="","",Picks!D157)</f>
        <v>4.8</v>
      </c>
      <c r="E157" s="95" t="str">
        <f>IF(Picks!E157="","",Picks!E157)</f>
        <v>x</v>
      </c>
      <c r="F157" s="145" t="str">
        <f>IF(Picks!F157="","",Picks!F157)</f>
        <v/>
      </c>
      <c r="G157" s="48" t="str">
        <f>IF(Picks!G157="","",Picks!G157)</f>
        <v/>
      </c>
    </row>
    <row r="158" spans="1:7" ht="13.9" thickTop="1" thickBot="1">
      <c r="A158" s="126" t="str">
        <f>IF(Picks!A158="","",Picks!A158)</f>
        <v>Phil Miller</v>
      </c>
      <c r="B158" s="124" t="str">
        <f>IF(Picks!B158="","",Picks!B158)</f>
        <v>Spurs</v>
      </c>
      <c r="C158" s="676">
        <f>IF(Picks!C158="","",Picks!C158)</f>
        <v>1</v>
      </c>
      <c r="D158" s="120">
        <f>IF(Picks!D158="","",Picks!D158)</f>
        <v>1.7</v>
      </c>
      <c r="E158" s="125" t="str">
        <f>IF(Picks!E158="","",Picks!E158)</f>
        <v>√</v>
      </c>
      <c r="F158" s="122">
        <f>IF(Picks!F158="","",Picks!F158)</f>
        <v>-0.93846153846153868</v>
      </c>
      <c r="G158" s="123">
        <f>IF(Picks!G158="","",Picks!G158)</f>
        <v>11.419230769230769</v>
      </c>
    </row>
    <row r="159" spans="1:7" ht="13.15">
      <c r="A159" s="126"/>
      <c r="B159" s="64" t="str">
        <f>IF(Picks!B159="","",Picks!B159)</f>
        <v>West Ham</v>
      </c>
      <c r="C159" s="676">
        <f>IF(Picks!C159="","",Picks!C159)</f>
        <v>1</v>
      </c>
      <c r="D159" s="117">
        <f>IF(Picks!D159="","",Picks!D159)</f>
        <v>1.75</v>
      </c>
      <c r="E159" s="95" t="str">
        <f>IF(Picks!E159="","",Picks!E159)</f>
        <v>x</v>
      </c>
      <c r="F159" s="145" t="str">
        <f>IF(Picks!F159="","",Picks!F159)</f>
        <v/>
      </c>
      <c r="G159" s="48" t="str">
        <f>IF(Picks!G159="","",Picks!G159)</f>
        <v/>
      </c>
    </row>
    <row r="160" spans="1:7" ht="13.5" thickBot="1">
      <c r="A160" s="146"/>
      <c r="B160" s="141" t="str">
        <f>IF(Picks!B160="","",Picks!B160)</f>
        <v>Chelsea</v>
      </c>
      <c r="C160" s="677">
        <f>IF(Picks!C160="","",Picks!C160)</f>
        <v>1</v>
      </c>
      <c r="D160" s="142">
        <f>IF(Picks!D160="","",Picks!D160)</f>
        <v>1.6153846153846154</v>
      </c>
      <c r="E160" s="95" t="str">
        <f>IF(Picks!E160="","",Picks!E160)</f>
        <v>√</v>
      </c>
      <c r="F160" s="145" t="str">
        <f>IF(Picks!F160="","",Picks!F160)</f>
        <v/>
      </c>
      <c r="G160" s="48" t="str">
        <f>IF(Picks!G160="","",Picks!G160)</f>
        <v/>
      </c>
    </row>
    <row r="161" spans="1:7" ht="13.9" thickTop="1" thickBot="1">
      <c r="A161" s="126" t="str">
        <f>IF(Picks!A161="","",Picks!A161)</f>
        <v>Rob England</v>
      </c>
      <c r="B161" s="124" t="str">
        <f>IF(Picks!B161="","",Picks!B161)</f>
        <v>Arsenal</v>
      </c>
      <c r="C161" s="676">
        <f>IF(Picks!C161="","",Picks!C161)</f>
        <v>1</v>
      </c>
      <c r="D161" s="120">
        <f>IF(Picks!D161="","",Picks!D161)</f>
        <v>1.4444444444444444</v>
      </c>
      <c r="E161" s="125" t="str">
        <f>IF(Picks!E161="","",Picks!E161)</f>
        <v>√</v>
      </c>
      <c r="F161" s="122">
        <f>IF(Picks!F161="","",Picks!F161)</f>
        <v>15.466666666666669</v>
      </c>
      <c r="G161" s="123">
        <f>IF(Picks!G161="","",Picks!G161)</f>
        <v>15.466666666666669</v>
      </c>
    </row>
    <row r="162" spans="1:7" ht="13.15">
      <c r="A162" s="126"/>
      <c r="B162" s="64" t="str">
        <f>IF(Picks!B162="","",Picks!B162)</f>
        <v>Mansfield</v>
      </c>
      <c r="C162" s="676">
        <f>IF(Picks!C162="","",Picks!C162)</f>
        <v>1</v>
      </c>
      <c r="D162" s="117">
        <f>IF(Picks!D162="","",Picks!D162)</f>
        <v>1.9090909090909092</v>
      </c>
      <c r="E162" s="95" t="str">
        <f>IF(Picks!E162="","",Picks!E162)</f>
        <v>√</v>
      </c>
      <c r="F162" s="145" t="str">
        <f>IF(Picks!F162="","",Picks!F162)</f>
        <v/>
      </c>
      <c r="G162" s="48" t="str">
        <f>IF(Picks!G162="","",Picks!G162)</f>
        <v/>
      </c>
    </row>
    <row r="163" spans="1:7" ht="13.5" thickBot="1">
      <c r="A163" s="146"/>
      <c r="B163" s="141" t="str">
        <f>IF(Picks!B163="","",Picks!B163)</f>
        <v>Plymouth</v>
      </c>
      <c r="C163" s="677">
        <f>IF(Picks!C163="","",Picks!C163)</f>
        <v>1</v>
      </c>
      <c r="D163" s="142">
        <f>IF(Picks!D163="","",Picks!D163)</f>
        <v>2.2999999999999998</v>
      </c>
      <c r="E163" s="95" t="str">
        <f>IF(Picks!E163="","",Picks!E163)</f>
        <v>√</v>
      </c>
      <c r="F163" s="145" t="str">
        <f>IF(Picks!F163="","",Picks!F163)</f>
        <v/>
      </c>
      <c r="G163" s="48" t="str">
        <f>IF(Picks!G163="","",Picks!G163)</f>
        <v/>
      </c>
    </row>
    <row r="164" spans="1:7" ht="13.9" thickTop="1" thickBot="1">
      <c r="A164" s="126" t="str">
        <f>IF(Picks!A164="","",Picks!A164)</f>
        <v>Sally Williams</v>
      </c>
      <c r="B164" s="124" t="str">
        <f>IF(Picks!B164="","",Picks!B164)</f>
        <v>Brighton draw</v>
      </c>
      <c r="C164" s="676">
        <f>IF(Picks!C164="","",Picks!C164)</f>
        <v>1</v>
      </c>
      <c r="D164" s="120">
        <f>IF(Picks!D164="","",Picks!D164)</f>
        <v>3.5</v>
      </c>
      <c r="E164" s="125" t="str">
        <f>IF(Picks!E164="","",Picks!E164)</f>
        <v>x</v>
      </c>
      <c r="F164" s="122">
        <f>IF(Picks!F164="","",Picks!F164)</f>
        <v>-7</v>
      </c>
      <c r="G164" s="123">
        <f>IF(Picks!G164="","",Picks!G164)</f>
        <v>73.27000000000001</v>
      </c>
    </row>
    <row r="165" spans="1:7" ht="13.15">
      <c r="A165" s="126"/>
      <c r="B165" s="64" t="str">
        <f>IF(Picks!B165="","",Picks!B165)</f>
        <v>Huddersfield draw</v>
      </c>
      <c r="C165" s="676">
        <f>IF(Picks!C165="","",Picks!C165)</f>
        <v>1</v>
      </c>
      <c r="D165" s="117">
        <f>IF(Picks!D165="","",Picks!D165)</f>
        <v>3.3</v>
      </c>
      <c r="E165" s="95" t="str">
        <f>IF(Picks!E165="","",Picks!E165)</f>
        <v>x</v>
      </c>
      <c r="F165" s="145" t="str">
        <f>IF(Picks!F165="","",Picks!F165)</f>
        <v/>
      </c>
      <c r="G165" s="48" t="str">
        <f>IF(Picks!G165="","",Picks!G165)</f>
        <v/>
      </c>
    </row>
    <row r="166" spans="1:7" ht="13.5" thickBot="1">
      <c r="A166" s="146"/>
      <c r="B166" s="141" t="str">
        <f>IF(Picks!B166="","",Picks!B166)</f>
        <v>Middlesbro draw</v>
      </c>
      <c r="C166" s="677">
        <f>IF(Picks!C166="","",Picks!C166)</f>
        <v>1</v>
      </c>
      <c r="D166" s="142">
        <f>IF(Picks!D166="","",Picks!D166)</f>
        <v>3.2</v>
      </c>
      <c r="E166" s="95" t="str">
        <f>IF(Picks!E166="","",Picks!E166)</f>
        <v>x</v>
      </c>
      <c r="F166" s="145" t="str">
        <f>IF(Picks!F166="","",Picks!F166)</f>
        <v/>
      </c>
      <c r="G166" s="48" t="str">
        <f>IF(Picks!G166="","",Picks!G166)</f>
        <v/>
      </c>
    </row>
    <row r="167" spans="1:7" ht="13.9" thickTop="1" thickBot="1">
      <c r="A167" s="126" t="str">
        <f>IF(Picks!A167="","",Picks!A167)</f>
        <v>Simon Greenhalgh</v>
      </c>
      <c r="B167" s="124" t="str">
        <f>IF(Picks!B167="","",Picks!B167)</f>
        <v>Oldham</v>
      </c>
      <c r="C167" s="676">
        <f>IF(Picks!C167="","",Picks!C167)</f>
        <v>1</v>
      </c>
      <c r="D167" s="120">
        <f>IF(Picks!D167="","",Picks!D167)</f>
        <v>2.2000000000000002</v>
      </c>
      <c r="E167" s="125" t="str">
        <f>IF(Picks!E167="","",Picks!E167)</f>
        <v>x</v>
      </c>
      <c r="F167" s="122">
        <f>IF(Picks!F167="","",Picks!F167)</f>
        <v>2.3949999999999996</v>
      </c>
      <c r="G167" s="123">
        <f>IF(Picks!G167="","",Picks!G167)</f>
        <v>25.264000000000003</v>
      </c>
    </row>
    <row r="168" spans="1:7" ht="13.15">
      <c r="A168" s="126"/>
      <c r="B168" s="64" t="str">
        <f>IF(Picks!B168="","",Picks!B168)</f>
        <v>Plymouth</v>
      </c>
      <c r="C168" s="676">
        <f>IF(Picks!C168="","",Picks!C168)</f>
        <v>1</v>
      </c>
      <c r="D168" s="117">
        <f>IF(Picks!D168="","",Picks!D168)</f>
        <v>2.2999999999999998</v>
      </c>
      <c r="E168" s="95" t="str">
        <f>IF(Picks!E168="","",Picks!E168)</f>
        <v>√</v>
      </c>
      <c r="F168" s="145" t="str">
        <f>IF(Picks!F168="","",Picks!F168)</f>
        <v/>
      </c>
      <c r="G168" s="48" t="str">
        <f>IF(Picks!G168="","",Picks!G168)</f>
        <v/>
      </c>
    </row>
    <row r="169" spans="1:7" ht="13.5" thickBot="1">
      <c r="A169" s="146"/>
      <c r="B169" s="141" t="str">
        <f>IF(Picks!B169="","",Picks!B169)</f>
        <v>Tranmere</v>
      </c>
      <c r="C169" s="677">
        <f>IF(Picks!C169="","",Picks!C169)</f>
        <v>1</v>
      </c>
      <c r="D169" s="142">
        <f>IF(Picks!D169="","",Picks!D169)</f>
        <v>2.15</v>
      </c>
      <c r="E169" s="95" t="str">
        <f>IF(Picks!E169="","",Picks!E169)</f>
        <v>√</v>
      </c>
      <c r="F169" s="145" t="str">
        <f>IF(Picks!F169="","",Picks!F169)</f>
        <v/>
      </c>
      <c r="G169" s="48" t="str">
        <f>IF(Picks!G169="","",Picks!G169)</f>
        <v/>
      </c>
    </row>
    <row r="170" spans="1:7" ht="13.9" thickTop="1" thickBot="1">
      <c r="A170" s="126" t="str">
        <f>IF(Picks!A170="","",Picks!A170)</f>
        <v>Stephen Barr</v>
      </c>
      <c r="B170" s="124" t="str">
        <f>IF(Picks!B170="","",Picks!B170)</f>
        <v>West ham</v>
      </c>
      <c r="C170" s="676">
        <f>IF(Picks!C170="","",Picks!C170)</f>
        <v>1</v>
      </c>
      <c r="D170" s="120">
        <f>IF(Picks!D170="","",Picks!D170)</f>
        <v>1.75</v>
      </c>
      <c r="E170" s="125" t="str">
        <f>IF(Picks!E170="","",Picks!E170)</f>
        <v>x</v>
      </c>
      <c r="F170" s="122">
        <f>IF(Picks!F170="","",Picks!F170)</f>
        <v>-1.4000000000000004</v>
      </c>
      <c r="G170" s="123">
        <f>IF(Picks!G170="","",Picks!G170)</f>
        <v>10.149999999999999</v>
      </c>
    </row>
    <row r="171" spans="1:7" ht="13.15">
      <c r="A171" s="126"/>
      <c r="B171" s="64" t="str">
        <f>IF(Picks!B171="","",Picks!B171)</f>
        <v>Spurs</v>
      </c>
      <c r="C171" s="676">
        <f>IF(Picks!C171="","",Picks!C171)</f>
        <v>1</v>
      </c>
      <c r="D171" s="117">
        <f>IF(Picks!D171="","",Picks!D171)</f>
        <v>1.7</v>
      </c>
      <c r="E171" s="95" t="str">
        <f>IF(Picks!E171="","",Picks!E171)</f>
        <v>√</v>
      </c>
      <c r="F171" s="145" t="str">
        <f>IF(Picks!F171="","",Picks!F171)</f>
        <v/>
      </c>
      <c r="G171" s="48" t="str">
        <f>IF(Picks!G171="","",Picks!G171)</f>
        <v/>
      </c>
    </row>
    <row r="172" spans="1:7" ht="13.5" thickBot="1">
      <c r="A172" s="146"/>
      <c r="B172" s="141" t="str">
        <f>IF(Picks!B172="","",Picks!B172)</f>
        <v>Arsenal</v>
      </c>
      <c r="C172" s="677">
        <f>IF(Picks!C172="","",Picks!C172)</f>
        <v>1</v>
      </c>
      <c r="D172" s="142">
        <f>IF(Picks!D172="","",Picks!D172)</f>
        <v>1.4444444444444444</v>
      </c>
      <c r="E172" s="95" t="str">
        <f>IF(Picks!E172="","",Picks!E172)</f>
        <v>√</v>
      </c>
      <c r="F172" s="145" t="str">
        <f>IF(Picks!F172="","",Picks!F172)</f>
        <v/>
      </c>
      <c r="G172" s="48" t="str">
        <f>IF(Picks!G172="","",Picks!G172)</f>
        <v/>
      </c>
    </row>
    <row r="173" spans="1:7" ht="13.9" thickTop="1" thickBot="1">
      <c r="A173" s="126" t="str">
        <f>IF(Picks!A173="","",Picks!A173)</f>
        <v>Stephen Troop</v>
      </c>
      <c r="B173" s="64" t="str">
        <f>IF(Picks!B173="","",Picks!B173)</f>
        <v>Villa draw</v>
      </c>
      <c r="C173" s="676">
        <f>IF(Picks!C173="","",Picks!C173)</f>
        <v>1</v>
      </c>
      <c r="D173" s="120">
        <f>IF(Picks!D173="","",Picks!D173)</f>
        <v>3.75</v>
      </c>
      <c r="E173" s="125" t="str">
        <f>IF(Picks!E173="","",Picks!E173)</f>
        <v>x</v>
      </c>
      <c r="F173" s="122">
        <f>IF(Picks!F173="","",Picks!F173)</f>
        <v>-7</v>
      </c>
      <c r="G173" s="123">
        <f>IF(Picks!G173="","",Picks!G173)</f>
        <v>174.875</v>
      </c>
    </row>
    <row r="174" spans="1:7" ht="13.15">
      <c r="A174" s="126"/>
      <c r="B174" s="64" t="str">
        <f>IF(Picks!B174="","",Picks!B174)</f>
        <v>West Ham</v>
      </c>
      <c r="C174" s="676">
        <f>IF(Picks!C174="","",Picks!C174)</f>
        <v>1</v>
      </c>
      <c r="D174" s="117">
        <f>IF(Picks!D174="","",Picks!D174)</f>
        <v>1.75</v>
      </c>
      <c r="E174" s="95" t="str">
        <f>IF(Picks!E174="","",Picks!E174)</f>
        <v>x</v>
      </c>
      <c r="F174" s="145" t="str">
        <f>IF(Picks!F174="","",Picks!F174)</f>
        <v/>
      </c>
      <c r="G174" s="48" t="str">
        <f>IF(Picks!G174="","",Picks!G174)</f>
        <v/>
      </c>
    </row>
    <row r="175" spans="1:7" ht="13.5" thickBot="1">
      <c r="A175" s="146"/>
      <c r="B175" s="141" t="str">
        <f>IF(Picks!B175="","",Picks!B175)</f>
        <v>Leicester</v>
      </c>
      <c r="C175" s="677">
        <f>IF(Picks!C175="","",Picks!C175)</f>
        <v>1</v>
      </c>
      <c r="D175" s="142">
        <f>IF(Picks!D175="","",Picks!D175)</f>
        <v>13</v>
      </c>
      <c r="E175" s="95" t="str">
        <f>IF(Picks!E175="","",Picks!E175)</f>
        <v>x</v>
      </c>
      <c r="F175" s="145" t="str">
        <f>IF(Picks!F175="","",Picks!F175)</f>
        <v/>
      </c>
      <c r="G175" s="48" t="str">
        <f>IF(Picks!G175="","",Picks!G175)</f>
        <v/>
      </c>
    </row>
    <row r="176" spans="1:7" ht="13.15" thickTop="1">
      <c r="E176" s="471"/>
      <c r="F176" s="471"/>
      <c r="G176" s="471"/>
    </row>
  </sheetData>
  <hyperlinks>
    <hyperlink ref="A1" location="Menu!A1" display="Menu!A1" xr:uid="{00000000-0004-0000-0500-000000000000}"/>
  </hyperlinks>
  <pageMargins left="0.70866141732283472" right="0.70866141732283472" top="1.1659375000000001" bottom="0.74803149606299213" header="0.31496062992125984" footer="0.31496062992125984"/>
  <pageSetup paperSize="9" scale="85" fitToHeight="10" orientation="portrait" r:id="rId1"/>
  <headerFooter>
    <oddHeader>&amp;L&amp;G&amp;R&amp;24&amp;K7030A0Predictions</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7030A0"/>
    <pageSetUpPr fitToPage="1"/>
  </sheetPr>
  <dimension ref="A1:S48"/>
  <sheetViews>
    <sheetView topLeftCell="A10" workbookViewId="0">
      <selection activeCell="C25" sqref="C25"/>
    </sheetView>
  </sheetViews>
  <sheetFormatPr defaultRowHeight="12.75"/>
  <cols>
    <col min="1" max="1" width="10.1328125" bestFit="1" customWidth="1"/>
    <col min="2" max="2" width="18.86328125" style="4" customWidth="1"/>
    <col min="3" max="3" width="12.86328125" style="17" customWidth="1"/>
    <col min="4" max="4" width="17.59765625" style="17" customWidth="1"/>
    <col min="5" max="5" width="17.86328125" customWidth="1"/>
    <col min="6" max="6" width="20.59765625" customWidth="1"/>
    <col min="7" max="7" width="7.1328125" customWidth="1"/>
    <col min="9" max="11" width="16.265625" hidden="1" customWidth="1"/>
  </cols>
  <sheetData>
    <row r="1" spans="1:19">
      <c r="A1" s="364">
        <v>38</v>
      </c>
      <c r="B1" s="364">
        <v>2021</v>
      </c>
      <c r="C1" s="579" t="s">
        <v>554</v>
      </c>
      <c r="D1" s="164"/>
      <c r="E1" s="164"/>
      <c r="F1" s="164"/>
      <c r="G1" s="162"/>
      <c r="H1" s="82"/>
      <c r="I1" s="82"/>
      <c r="J1" s="82"/>
      <c r="K1" s="82"/>
      <c r="L1" s="82"/>
      <c r="M1" s="82"/>
      <c r="N1" s="82"/>
      <c r="O1" s="82"/>
      <c r="P1" s="82"/>
      <c r="Q1" s="82"/>
      <c r="R1" s="82"/>
      <c r="S1" s="82"/>
    </row>
    <row r="2" spans="1:19">
      <c r="A2" s="82"/>
      <c r="B2" s="83"/>
      <c r="C2" s="164"/>
      <c r="D2" s="164"/>
      <c r="E2" s="164"/>
      <c r="F2" s="164"/>
      <c r="G2" s="162"/>
      <c r="H2" s="82"/>
      <c r="I2" s="82"/>
      <c r="J2" s="82"/>
      <c r="K2" s="82"/>
      <c r="L2" s="82"/>
      <c r="M2" s="82"/>
      <c r="N2" s="82"/>
      <c r="O2" s="82"/>
      <c r="P2" s="82"/>
      <c r="Q2" s="82"/>
      <c r="R2" s="82"/>
      <c r="S2" s="82"/>
    </row>
    <row r="3" spans="1:19" ht="35.1" customHeight="1">
      <c r="A3" s="82"/>
      <c r="B3" s="732" t="str">
        <f>CONCATENATE("Season PL",$A$1," (",$C$1," ",$B$1,")")</f>
        <v>Season PL38 (Autumn 2021)</v>
      </c>
      <c r="C3" s="733"/>
      <c r="D3" s="733"/>
      <c r="E3" s="733"/>
      <c r="F3" s="734"/>
      <c r="G3" s="161"/>
      <c r="I3" s="262" t="s">
        <v>329</v>
      </c>
      <c r="J3" s="236"/>
      <c r="K3" s="236"/>
      <c r="L3" s="82"/>
      <c r="M3" s="82"/>
      <c r="N3" s="82"/>
      <c r="O3" s="82"/>
      <c r="P3" s="82"/>
      <c r="Q3" s="82"/>
      <c r="R3" s="82"/>
    </row>
    <row r="4" spans="1:19" s="247" customFormat="1" ht="29.85" customHeight="1">
      <c r="A4" s="157"/>
      <c r="B4" s="602" t="s">
        <v>487</v>
      </c>
      <c r="C4" s="541" t="s">
        <v>518</v>
      </c>
      <c r="D4" s="541" t="s">
        <v>488</v>
      </c>
      <c r="E4" s="541" t="s">
        <v>486</v>
      </c>
      <c r="F4" s="545" t="s">
        <v>457</v>
      </c>
      <c r="G4" s="259"/>
      <c r="H4" s="598"/>
      <c r="I4" s="263" t="s">
        <v>229</v>
      </c>
      <c r="J4" s="263" t="s">
        <v>230</v>
      </c>
      <c r="K4" s="263" t="s">
        <v>231</v>
      </c>
      <c r="L4" s="157"/>
      <c r="M4" s="157"/>
      <c r="N4" s="157"/>
      <c r="O4" s="157"/>
      <c r="P4" s="157"/>
      <c r="Q4" s="157"/>
    </row>
    <row r="5" spans="1:19" ht="20.100000000000001" customHeight="1">
      <c r="A5" s="82"/>
      <c r="B5" s="542">
        <v>44422</v>
      </c>
      <c r="C5" s="580">
        <v>1</v>
      </c>
      <c r="D5" s="543"/>
      <c r="E5" s="543"/>
      <c r="F5" s="543"/>
      <c r="G5" s="162"/>
      <c r="H5" s="599" t="s">
        <v>469</v>
      </c>
      <c r="I5" s="597">
        <f>IF($B5="","",$B5-5)</f>
        <v>44417</v>
      </c>
      <c r="J5" s="191">
        <f>IF($B5="","",$B5-3)</f>
        <v>44419</v>
      </c>
      <c r="K5" s="191">
        <f>IF($B5="","",$B5+2)</f>
        <v>44424</v>
      </c>
      <c r="L5" s="82"/>
      <c r="M5" s="82"/>
      <c r="N5" s="82"/>
      <c r="O5" s="82"/>
      <c r="P5" s="82"/>
      <c r="Q5" s="82"/>
    </row>
    <row r="6" spans="1:19" ht="20.100000000000001" customHeight="1">
      <c r="A6" s="82"/>
      <c r="B6" s="542">
        <v>44429</v>
      </c>
      <c r="C6" s="580">
        <v>2</v>
      </c>
      <c r="D6" s="543"/>
      <c r="E6" s="599"/>
      <c r="F6" s="543"/>
      <c r="G6" s="162"/>
      <c r="H6" s="599" t="s">
        <v>455</v>
      </c>
      <c r="I6" s="597">
        <f t="shared" ref="I6:I24" si="0">IF($B6="","",$B6-5)</f>
        <v>44424</v>
      </c>
      <c r="J6" s="191">
        <f t="shared" ref="J6:J24" si="1">IF($B6="","",$B6-3)</f>
        <v>44426</v>
      </c>
      <c r="K6" s="191">
        <f t="shared" ref="K6:K24" si="2">IF($B6="","",$B6+2)</f>
        <v>44431</v>
      </c>
      <c r="L6" s="82"/>
      <c r="M6" s="82"/>
      <c r="N6" s="82"/>
      <c r="O6" s="82"/>
      <c r="P6" s="82"/>
      <c r="Q6" s="82"/>
    </row>
    <row r="7" spans="1:19" ht="20.100000000000001" customHeight="1">
      <c r="A7" s="82"/>
      <c r="B7" s="544">
        <v>44436</v>
      </c>
      <c r="C7" s="595">
        <v>3</v>
      </c>
      <c r="D7" s="596"/>
      <c r="E7" s="543"/>
      <c r="F7" s="543"/>
      <c r="G7" s="162"/>
      <c r="H7" s="599" t="s">
        <v>456</v>
      </c>
      <c r="I7" s="597">
        <f t="shared" si="0"/>
        <v>44431</v>
      </c>
      <c r="J7" s="191">
        <f t="shared" si="1"/>
        <v>44433</v>
      </c>
      <c r="K7" s="191">
        <f t="shared" si="2"/>
        <v>44438</v>
      </c>
      <c r="L7" s="82"/>
      <c r="M7" s="82"/>
      <c r="N7" s="82"/>
      <c r="O7" s="82"/>
      <c r="P7" s="82"/>
      <c r="Q7" s="82"/>
    </row>
    <row r="8" spans="1:19" ht="20.100000000000001" customHeight="1">
      <c r="A8" s="82"/>
      <c r="B8" s="544">
        <v>44443</v>
      </c>
      <c r="C8" s="581">
        <v>4</v>
      </c>
      <c r="D8" s="596"/>
      <c r="E8" s="599"/>
      <c r="F8" s="543"/>
      <c r="G8" s="162"/>
      <c r="H8" s="601" t="s">
        <v>485</v>
      </c>
      <c r="I8" s="597">
        <f t="shared" si="0"/>
        <v>44438</v>
      </c>
      <c r="J8" s="191">
        <f t="shared" si="1"/>
        <v>44440</v>
      </c>
      <c r="K8" s="191">
        <f t="shared" si="2"/>
        <v>44445</v>
      </c>
      <c r="L8" s="82"/>
      <c r="M8" s="82"/>
      <c r="N8" s="82"/>
      <c r="O8" s="82"/>
      <c r="P8" s="82"/>
      <c r="Q8" s="82"/>
    </row>
    <row r="9" spans="1:19" ht="20.100000000000001" customHeight="1">
      <c r="A9" s="82"/>
      <c r="B9" s="544">
        <v>44450</v>
      </c>
      <c r="C9" s="581">
        <v>5</v>
      </c>
      <c r="D9" s="543"/>
      <c r="E9" s="543"/>
      <c r="F9" s="543" t="s">
        <v>136</v>
      </c>
      <c r="G9" s="162"/>
      <c r="H9" s="600"/>
      <c r="I9" s="597">
        <f t="shared" si="0"/>
        <v>44445</v>
      </c>
      <c r="J9" s="191">
        <f t="shared" si="1"/>
        <v>44447</v>
      </c>
      <c r="K9" s="191">
        <f t="shared" si="2"/>
        <v>44452</v>
      </c>
      <c r="L9" s="82"/>
      <c r="M9" s="82"/>
      <c r="N9" s="82"/>
      <c r="O9" s="82"/>
      <c r="P9" s="82"/>
      <c r="Q9" s="82"/>
    </row>
    <row r="10" spans="1:19" ht="20.100000000000001" customHeight="1">
      <c r="A10" s="82"/>
      <c r="B10" s="544">
        <v>44457</v>
      </c>
      <c r="C10" s="581">
        <v>6</v>
      </c>
      <c r="D10" s="543"/>
      <c r="E10" s="543"/>
      <c r="F10" s="543" t="s">
        <v>137</v>
      </c>
      <c r="G10" s="163"/>
      <c r="H10" s="600"/>
      <c r="I10" s="597">
        <f t="shared" si="0"/>
        <v>44452</v>
      </c>
      <c r="J10" s="191">
        <f t="shared" si="1"/>
        <v>44454</v>
      </c>
      <c r="K10" s="191">
        <f t="shared" si="2"/>
        <v>44459</v>
      </c>
      <c r="L10" s="82"/>
      <c r="M10" s="82"/>
      <c r="N10" s="82"/>
      <c r="O10" s="82"/>
      <c r="P10" s="82"/>
      <c r="Q10" s="82"/>
    </row>
    <row r="11" spans="1:19" ht="20.100000000000001" customHeight="1">
      <c r="A11" s="82"/>
      <c r="B11" s="544">
        <v>44464</v>
      </c>
      <c r="C11" s="581">
        <v>7</v>
      </c>
      <c r="D11" s="543"/>
      <c r="E11" s="543"/>
      <c r="F11" s="543"/>
      <c r="G11" s="163"/>
      <c r="H11" s="600"/>
      <c r="I11" s="597">
        <f t="shared" si="0"/>
        <v>44459</v>
      </c>
      <c r="J11" s="191">
        <f t="shared" si="1"/>
        <v>44461</v>
      </c>
      <c r="K11" s="191">
        <f t="shared" si="2"/>
        <v>44466</v>
      </c>
      <c r="L11" s="82"/>
      <c r="M11" s="82"/>
      <c r="N11" s="82"/>
      <c r="O11" s="82"/>
      <c r="P11" s="82"/>
      <c r="Q11" s="82"/>
    </row>
    <row r="12" spans="1:19" ht="20.100000000000001" customHeight="1">
      <c r="A12" s="82"/>
      <c r="B12" s="544">
        <v>44471</v>
      </c>
      <c r="C12" s="581">
        <v>8</v>
      </c>
      <c r="D12" s="543"/>
      <c r="E12" s="543"/>
      <c r="F12" s="543" t="s">
        <v>138</v>
      </c>
      <c r="G12" s="163"/>
      <c r="H12" s="599"/>
      <c r="I12" s="597">
        <f t="shared" si="0"/>
        <v>44466</v>
      </c>
      <c r="J12" s="191">
        <f t="shared" si="1"/>
        <v>44468</v>
      </c>
      <c r="K12" s="191">
        <f t="shared" si="2"/>
        <v>44473</v>
      </c>
      <c r="L12" s="82"/>
      <c r="M12" s="82"/>
      <c r="N12" s="82"/>
      <c r="O12" s="82"/>
      <c r="P12" s="82"/>
      <c r="Q12" s="82"/>
    </row>
    <row r="13" spans="1:19" ht="20.100000000000001" customHeight="1">
      <c r="A13" s="82"/>
      <c r="B13" s="544">
        <v>44478</v>
      </c>
      <c r="C13" s="595">
        <v>9</v>
      </c>
      <c r="D13" s="543"/>
      <c r="E13" s="543"/>
      <c r="F13" s="543" t="s">
        <v>139</v>
      </c>
      <c r="G13" s="162"/>
      <c r="H13" s="600"/>
      <c r="I13" s="597">
        <f t="shared" si="0"/>
        <v>44473</v>
      </c>
      <c r="J13" s="191">
        <f t="shared" si="1"/>
        <v>44475</v>
      </c>
      <c r="K13" s="191">
        <f t="shared" si="2"/>
        <v>44480</v>
      </c>
      <c r="L13" s="82"/>
      <c r="M13" s="82"/>
      <c r="N13" s="82"/>
      <c r="O13" s="82"/>
      <c r="P13" s="82"/>
      <c r="Q13" s="82"/>
    </row>
    <row r="14" spans="1:19" ht="20.100000000000001" customHeight="1">
      <c r="A14" s="82"/>
      <c r="B14" s="544">
        <v>44485</v>
      </c>
      <c r="C14" s="581">
        <v>10</v>
      </c>
      <c r="D14" s="543"/>
      <c r="E14" s="543"/>
      <c r="F14" s="543"/>
      <c r="G14" s="162"/>
      <c r="H14" s="600"/>
      <c r="I14" s="597">
        <f t="shared" si="0"/>
        <v>44480</v>
      </c>
      <c r="J14" s="191">
        <f t="shared" si="1"/>
        <v>44482</v>
      </c>
      <c r="K14" s="191">
        <f t="shared" si="2"/>
        <v>44487</v>
      </c>
      <c r="L14" s="82"/>
      <c r="M14" s="82"/>
      <c r="N14" s="82"/>
      <c r="O14" s="82"/>
      <c r="P14" s="82"/>
      <c r="Q14" s="82"/>
    </row>
    <row r="15" spans="1:19" ht="20.100000000000001" customHeight="1">
      <c r="A15" s="82"/>
      <c r="B15" s="544">
        <v>44492</v>
      </c>
      <c r="C15" s="581">
        <v>11</v>
      </c>
      <c r="D15" s="543"/>
      <c r="E15" s="543"/>
      <c r="F15" s="543" t="s">
        <v>140</v>
      </c>
      <c r="G15" s="162"/>
      <c r="H15" s="600"/>
      <c r="I15" s="597">
        <f t="shared" si="0"/>
        <v>44487</v>
      </c>
      <c r="J15" s="191">
        <f t="shared" si="1"/>
        <v>44489</v>
      </c>
      <c r="K15" s="191">
        <f t="shared" si="2"/>
        <v>44494</v>
      </c>
      <c r="L15" s="82"/>
      <c r="M15" s="82"/>
      <c r="N15" s="82"/>
      <c r="O15" s="82"/>
      <c r="P15" s="82"/>
      <c r="Q15" s="82"/>
    </row>
    <row r="16" spans="1:19" ht="20.100000000000001" customHeight="1">
      <c r="A16" s="82"/>
      <c r="B16" s="544">
        <v>44499</v>
      </c>
      <c r="C16" s="581">
        <v>12</v>
      </c>
      <c r="D16" s="543"/>
      <c r="E16" s="543"/>
      <c r="F16" s="543" t="s">
        <v>141</v>
      </c>
      <c r="G16" s="162"/>
      <c r="H16" s="82"/>
      <c r="I16" s="191">
        <f t="shared" si="0"/>
        <v>44494</v>
      </c>
      <c r="J16" s="191">
        <f t="shared" si="1"/>
        <v>44496</v>
      </c>
      <c r="K16" s="191">
        <f t="shared" si="2"/>
        <v>44501</v>
      </c>
      <c r="L16" s="82"/>
      <c r="M16" s="82"/>
      <c r="N16" s="82"/>
      <c r="O16" s="82"/>
      <c r="P16" s="82"/>
      <c r="Q16" s="82"/>
    </row>
    <row r="17" spans="1:17" ht="20.100000000000001" customHeight="1">
      <c r="A17" s="82"/>
      <c r="B17" s="544">
        <v>44506</v>
      </c>
      <c r="C17" s="595">
        <v>13</v>
      </c>
      <c r="D17" s="543"/>
      <c r="E17" s="543"/>
      <c r="F17" s="543"/>
      <c r="G17" s="162"/>
      <c r="H17" s="82"/>
      <c r="I17" s="191">
        <f t="shared" si="0"/>
        <v>44501</v>
      </c>
      <c r="J17" s="191">
        <f t="shared" si="1"/>
        <v>44503</v>
      </c>
      <c r="K17" s="191">
        <f t="shared" si="2"/>
        <v>44508</v>
      </c>
      <c r="L17" s="82"/>
      <c r="M17" s="82"/>
      <c r="N17" s="82"/>
      <c r="O17" s="82"/>
      <c r="P17" s="82"/>
      <c r="Q17" s="82"/>
    </row>
    <row r="18" spans="1:17" ht="20.100000000000001" customHeight="1">
      <c r="A18" s="82"/>
      <c r="B18" s="544">
        <v>44513</v>
      </c>
      <c r="C18" s="581">
        <v>14</v>
      </c>
      <c r="D18" s="543"/>
      <c r="E18" s="599"/>
      <c r="F18" s="543" t="s">
        <v>142</v>
      </c>
      <c r="G18" s="162"/>
      <c r="H18" s="82"/>
      <c r="I18" s="191">
        <f t="shared" si="0"/>
        <v>44508</v>
      </c>
      <c r="J18" s="191">
        <f t="shared" si="1"/>
        <v>44510</v>
      </c>
      <c r="K18" s="191">
        <f t="shared" si="2"/>
        <v>44515</v>
      </c>
      <c r="L18" s="82"/>
      <c r="M18" s="82"/>
      <c r="N18" s="82"/>
      <c r="O18" s="82"/>
      <c r="P18" s="82"/>
      <c r="Q18" s="82"/>
    </row>
    <row r="19" spans="1:17" ht="20.100000000000001" customHeight="1">
      <c r="A19" s="82"/>
      <c r="B19" s="544">
        <v>44520</v>
      </c>
      <c r="C19" s="581">
        <v>15</v>
      </c>
      <c r="D19" s="543"/>
      <c r="E19" s="543"/>
      <c r="F19" s="543" t="s">
        <v>143</v>
      </c>
      <c r="G19" s="162"/>
      <c r="H19" s="82"/>
      <c r="I19" s="191">
        <f t="shared" si="0"/>
        <v>44515</v>
      </c>
      <c r="J19" s="191">
        <f t="shared" si="1"/>
        <v>44517</v>
      </c>
      <c r="K19" s="191">
        <f t="shared" si="2"/>
        <v>44522</v>
      </c>
      <c r="L19" s="82"/>
      <c r="M19" s="82"/>
      <c r="N19" s="82"/>
      <c r="O19" s="82"/>
      <c r="P19" s="82"/>
      <c r="Q19" s="82"/>
    </row>
    <row r="20" spans="1:17" ht="20.100000000000001" customHeight="1">
      <c r="A20" s="82"/>
      <c r="B20" s="544">
        <v>44527</v>
      </c>
      <c r="C20" s="581">
        <v>16</v>
      </c>
      <c r="D20" s="543"/>
      <c r="E20" s="543"/>
      <c r="F20" s="543" t="s">
        <v>144</v>
      </c>
      <c r="G20" s="162"/>
      <c r="H20" s="82"/>
      <c r="I20" s="191">
        <f t="shared" si="0"/>
        <v>44522</v>
      </c>
      <c r="J20" s="191">
        <f t="shared" si="1"/>
        <v>44524</v>
      </c>
      <c r="K20" s="191">
        <f t="shared" si="2"/>
        <v>44529</v>
      </c>
      <c r="L20" s="82"/>
      <c r="M20" s="82"/>
      <c r="N20" s="82"/>
      <c r="O20" s="82"/>
      <c r="P20" s="82"/>
      <c r="Q20" s="82"/>
    </row>
    <row r="21" spans="1:17" ht="20.100000000000001" customHeight="1">
      <c r="A21" s="82"/>
      <c r="B21" s="544">
        <v>44534</v>
      </c>
      <c r="C21" s="581">
        <v>17</v>
      </c>
      <c r="D21" s="543"/>
      <c r="E21" s="543"/>
      <c r="F21" s="543" t="s">
        <v>145</v>
      </c>
      <c r="G21" s="162"/>
      <c r="H21" s="82"/>
      <c r="I21" s="191">
        <f t="shared" si="0"/>
        <v>44529</v>
      </c>
      <c r="J21" s="191">
        <f t="shared" si="1"/>
        <v>44531</v>
      </c>
      <c r="K21" s="191">
        <f t="shared" si="2"/>
        <v>44536</v>
      </c>
      <c r="L21" s="82"/>
      <c r="M21" s="82"/>
      <c r="N21" s="82"/>
      <c r="O21" s="82"/>
      <c r="P21" s="82"/>
      <c r="Q21" s="82"/>
    </row>
    <row r="22" spans="1:17" ht="20.100000000000001" customHeight="1">
      <c r="A22" s="82"/>
      <c r="B22" s="544">
        <v>44541</v>
      </c>
      <c r="C22" s="581">
        <v>18</v>
      </c>
      <c r="D22" s="543"/>
      <c r="E22" s="543"/>
      <c r="F22" s="543" t="s">
        <v>18</v>
      </c>
      <c r="G22" s="162"/>
      <c r="H22" s="82"/>
      <c r="I22" s="191">
        <f t="shared" si="0"/>
        <v>44536</v>
      </c>
      <c r="J22" s="191">
        <f t="shared" si="1"/>
        <v>44538</v>
      </c>
      <c r="K22" s="191">
        <f t="shared" si="2"/>
        <v>44543</v>
      </c>
      <c r="L22" s="82"/>
      <c r="M22" s="82"/>
      <c r="N22" s="82"/>
      <c r="O22" s="82"/>
      <c r="P22" s="82"/>
      <c r="Q22" s="82"/>
    </row>
    <row r="23" spans="1:17" ht="20.100000000000001" customHeight="1">
      <c r="A23" s="82"/>
      <c r="B23" s="544">
        <v>44548</v>
      </c>
      <c r="C23" s="581">
        <v>19</v>
      </c>
      <c r="D23" s="543"/>
      <c r="E23" s="543"/>
      <c r="F23" s="543" t="s">
        <v>146</v>
      </c>
      <c r="G23" s="162"/>
      <c r="H23" s="82"/>
      <c r="I23" s="191">
        <f t="shared" si="0"/>
        <v>44543</v>
      </c>
      <c r="J23" s="191">
        <f t="shared" si="1"/>
        <v>44545</v>
      </c>
      <c r="K23" s="191">
        <f t="shared" si="2"/>
        <v>44550</v>
      </c>
      <c r="L23" s="82"/>
      <c r="M23" s="82"/>
      <c r="N23" s="82"/>
      <c r="O23" s="82"/>
      <c r="P23" s="82"/>
      <c r="Q23" s="82"/>
    </row>
    <row r="24" spans="1:17" ht="20.100000000000001" customHeight="1">
      <c r="A24" s="82"/>
      <c r="B24" s="544">
        <v>44555</v>
      </c>
      <c r="C24" s="581">
        <v>20</v>
      </c>
      <c r="D24" s="543"/>
      <c r="E24" s="543"/>
      <c r="F24" s="543"/>
      <c r="G24" s="162"/>
      <c r="H24" s="82"/>
      <c r="I24" s="191">
        <f t="shared" si="0"/>
        <v>44550</v>
      </c>
      <c r="J24" s="191">
        <f t="shared" si="1"/>
        <v>44552</v>
      </c>
      <c r="K24" s="191">
        <f t="shared" si="2"/>
        <v>44557</v>
      </c>
      <c r="L24" s="82"/>
      <c r="M24" s="82"/>
      <c r="N24" s="82"/>
      <c r="O24" s="82"/>
      <c r="P24" s="82"/>
      <c r="Q24" s="82"/>
    </row>
    <row r="25" spans="1:17">
      <c r="A25" s="82"/>
      <c r="B25" s="83"/>
      <c r="C25" s="164"/>
      <c r="D25" s="164"/>
      <c r="E25" s="82"/>
      <c r="F25" s="160"/>
      <c r="G25" s="82"/>
      <c r="H25" s="82"/>
      <c r="I25" s="82"/>
      <c r="J25" s="82"/>
      <c r="K25" s="82"/>
      <c r="L25" s="82"/>
      <c r="M25" s="82"/>
      <c r="N25" s="82"/>
      <c r="O25" s="82"/>
      <c r="P25" s="82"/>
      <c r="Q25" s="82"/>
    </row>
    <row r="26" spans="1:17">
      <c r="A26" s="82"/>
      <c r="B26" s="83"/>
      <c r="C26" s="164"/>
      <c r="D26" s="164"/>
      <c r="E26" s="82"/>
      <c r="F26" s="160"/>
      <c r="G26" s="82"/>
      <c r="H26" s="82"/>
      <c r="I26" s="82"/>
      <c r="J26" s="82"/>
      <c r="K26" s="82"/>
      <c r="L26" s="82"/>
      <c r="M26" s="82"/>
      <c r="N26" s="82"/>
      <c r="O26" s="82"/>
      <c r="P26" s="82"/>
      <c r="Q26" s="82"/>
    </row>
    <row r="27" spans="1:17">
      <c r="A27" s="82"/>
      <c r="B27" s="83"/>
      <c r="C27" s="164"/>
      <c r="D27" s="164"/>
      <c r="E27" s="82"/>
      <c r="F27" s="160"/>
      <c r="G27" s="82"/>
      <c r="H27" s="82"/>
      <c r="I27" s="82"/>
      <c r="J27" s="82"/>
      <c r="K27" s="82"/>
      <c r="L27" s="82"/>
      <c r="M27" s="82"/>
      <c r="N27" s="82"/>
      <c r="O27" s="82"/>
      <c r="P27" s="82"/>
      <c r="Q27" s="82"/>
    </row>
    <row r="28" spans="1:17">
      <c r="A28" s="82"/>
      <c r="B28" s="83"/>
      <c r="C28" s="164"/>
      <c r="D28" s="164"/>
      <c r="E28" s="82"/>
      <c r="F28" s="160"/>
      <c r="G28" s="82"/>
      <c r="H28" s="82"/>
      <c r="I28" s="82"/>
      <c r="J28" s="82"/>
      <c r="K28" s="82"/>
      <c r="L28" s="82"/>
      <c r="M28" s="82"/>
      <c r="N28" s="82"/>
      <c r="O28" s="82"/>
      <c r="P28" s="82"/>
      <c r="Q28" s="82"/>
    </row>
    <row r="29" spans="1:17">
      <c r="A29" s="82"/>
      <c r="B29" s="83"/>
      <c r="C29" s="164"/>
      <c r="D29" s="164"/>
      <c r="E29" s="82"/>
      <c r="F29" s="160"/>
      <c r="G29" s="82"/>
      <c r="H29" s="82"/>
      <c r="I29" s="82"/>
      <c r="J29" s="82"/>
      <c r="K29" s="82"/>
      <c r="L29" s="82"/>
      <c r="M29" s="82"/>
      <c r="N29" s="82"/>
      <c r="O29" s="82"/>
      <c r="P29" s="82"/>
      <c r="Q29" s="82"/>
    </row>
    <row r="30" spans="1:17">
      <c r="A30" s="82"/>
      <c r="B30" s="83"/>
      <c r="C30" s="164"/>
      <c r="D30" s="164"/>
      <c r="E30" s="82"/>
      <c r="F30" s="160"/>
      <c r="G30" s="82"/>
      <c r="H30" s="82"/>
      <c r="I30" s="82"/>
      <c r="J30" s="82"/>
      <c r="K30" s="82"/>
      <c r="L30" s="82"/>
      <c r="M30" s="82"/>
      <c r="N30" s="82"/>
      <c r="O30" s="82"/>
      <c r="P30" s="82"/>
      <c r="Q30" s="82"/>
    </row>
    <row r="31" spans="1:17">
      <c r="A31" s="82"/>
      <c r="B31" s="83"/>
      <c r="C31" s="164"/>
      <c r="D31" s="164"/>
      <c r="E31" s="82"/>
      <c r="F31" s="160"/>
      <c r="G31" s="82"/>
      <c r="H31" s="82"/>
      <c r="I31" s="82"/>
      <c r="J31" s="82"/>
      <c r="K31" s="82"/>
      <c r="L31" s="82"/>
      <c r="M31" s="82"/>
      <c r="N31" s="82"/>
      <c r="O31" s="82"/>
      <c r="P31" s="82"/>
      <c r="Q31" s="82"/>
    </row>
    <row r="32" spans="1:17">
      <c r="A32" s="82"/>
      <c r="B32" s="83"/>
      <c r="C32" s="164"/>
      <c r="D32" s="164"/>
      <c r="E32" s="82"/>
      <c r="F32" s="160"/>
      <c r="G32" s="82"/>
      <c r="H32" s="82"/>
      <c r="I32" s="82"/>
      <c r="J32" s="82"/>
      <c r="K32" s="82"/>
      <c r="L32" s="82"/>
      <c r="M32" s="82"/>
      <c r="N32" s="82"/>
      <c r="O32" s="82"/>
      <c r="P32" s="82"/>
      <c r="Q32" s="82"/>
    </row>
    <row r="33" spans="1:17">
      <c r="A33" s="82"/>
      <c r="B33" s="83"/>
      <c r="C33" s="164"/>
      <c r="D33" s="164"/>
      <c r="E33" s="82"/>
      <c r="F33" s="160"/>
      <c r="G33" s="82"/>
      <c r="H33" s="82"/>
      <c r="I33" s="82"/>
      <c r="J33" s="82"/>
      <c r="K33" s="82"/>
      <c r="L33" s="82"/>
      <c r="M33" s="82"/>
      <c r="N33" s="82"/>
      <c r="O33" s="82"/>
      <c r="P33" s="82"/>
      <c r="Q33" s="82"/>
    </row>
    <row r="34" spans="1:17">
      <c r="A34" s="82"/>
      <c r="B34" s="83"/>
      <c r="C34" s="164"/>
      <c r="D34" s="164"/>
      <c r="E34" s="82"/>
      <c r="F34" s="160"/>
      <c r="G34" s="82"/>
      <c r="H34" s="82"/>
      <c r="I34" s="82"/>
      <c r="J34" s="82"/>
      <c r="K34" s="82"/>
      <c r="L34" s="82"/>
      <c r="M34" s="82"/>
      <c r="N34" s="82"/>
      <c r="O34" s="82"/>
      <c r="P34" s="82"/>
      <c r="Q34" s="82"/>
    </row>
    <row r="35" spans="1:17">
      <c r="A35" s="82"/>
      <c r="B35" s="83"/>
      <c r="C35" s="164"/>
      <c r="D35" s="164"/>
      <c r="E35" s="82"/>
      <c r="F35" s="160"/>
      <c r="G35" s="82"/>
      <c r="H35" s="82"/>
      <c r="I35" s="82"/>
      <c r="J35" s="82"/>
      <c r="K35" s="82"/>
      <c r="L35" s="82"/>
      <c r="M35" s="82"/>
      <c r="N35" s="82"/>
      <c r="O35" s="82"/>
      <c r="P35" s="82"/>
      <c r="Q35" s="82"/>
    </row>
    <row r="36" spans="1:17">
      <c r="A36" s="82"/>
      <c r="B36" s="83"/>
      <c r="C36" s="164"/>
      <c r="D36" s="164"/>
      <c r="E36" s="82"/>
      <c r="F36" s="160"/>
      <c r="G36" s="82"/>
      <c r="H36" s="82"/>
      <c r="I36" s="82"/>
      <c r="J36" s="82"/>
      <c r="K36" s="82"/>
      <c r="L36" s="82"/>
      <c r="M36" s="82"/>
      <c r="N36" s="82"/>
      <c r="O36" s="82"/>
      <c r="P36" s="82"/>
      <c r="Q36" s="82"/>
    </row>
    <row r="37" spans="1:17">
      <c r="A37" s="82"/>
      <c r="B37" s="83"/>
      <c r="C37" s="164"/>
      <c r="D37" s="164"/>
      <c r="E37" s="82"/>
      <c r="F37" s="160"/>
      <c r="G37" s="82"/>
      <c r="H37" s="82"/>
      <c r="I37" s="82"/>
      <c r="J37" s="82"/>
      <c r="K37" s="82"/>
      <c r="L37" s="82"/>
      <c r="M37" s="82"/>
      <c r="N37" s="82"/>
      <c r="O37" s="82"/>
      <c r="P37" s="82"/>
      <c r="Q37" s="82"/>
    </row>
    <row r="38" spans="1:17">
      <c r="A38" s="82"/>
      <c r="B38" s="83"/>
      <c r="C38" s="164"/>
      <c r="D38" s="164"/>
      <c r="E38" s="82"/>
      <c r="F38" s="160"/>
      <c r="G38" s="82"/>
      <c r="H38" s="82"/>
      <c r="I38" s="82"/>
      <c r="J38" s="82"/>
      <c r="K38" s="82"/>
      <c r="L38" s="82"/>
      <c r="M38" s="82"/>
      <c r="N38" s="82"/>
      <c r="O38" s="82"/>
      <c r="P38" s="82"/>
      <c r="Q38" s="82"/>
    </row>
    <row r="39" spans="1:17">
      <c r="A39" s="82"/>
      <c r="B39" s="83"/>
      <c r="C39" s="164"/>
      <c r="D39" s="164"/>
      <c r="E39" s="82"/>
      <c r="F39" s="160"/>
      <c r="G39" s="82"/>
      <c r="H39" s="82"/>
      <c r="I39" s="82"/>
      <c r="J39" s="82"/>
      <c r="K39" s="82"/>
      <c r="L39" s="82"/>
      <c r="M39" s="82"/>
      <c r="N39" s="82"/>
      <c r="O39" s="82"/>
      <c r="P39" s="82"/>
      <c r="Q39" s="82"/>
    </row>
    <row r="40" spans="1:17">
      <c r="A40" s="82"/>
      <c r="B40" s="83"/>
      <c r="C40" s="164"/>
      <c r="D40" s="164"/>
      <c r="E40" s="82"/>
      <c r="F40" s="160"/>
      <c r="G40" s="82"/>
      <c r="H40" s="82"/>
      <c r="I40" s="82"/>
      <c r="J40" s="82"/>
      <c r="K40" s="82"/>
      <c r="L40" s="82"/>
      <c r="M40" s="82"/>
      <c r="N40" s="82"/>
      <c r="O40" s="82"/>
      <c r="P40" s="82"/>
      <c r="Q40" s="82"/>
    </row>
    <row r="41" spans="1:17">
      <c r="A41" s="82"/>
      <c r="B41" s="83"/>
      <c r="C41" s="164"/>
      <c r="D41" s="164"/>
      <c r="E41" s="82"/>
      <c r="F41" s="160"/>
      <c r="G41" s="82"/>
      <c r="H41" s="82"/>
      <c r="I41" s="82"/>
      <c r="J41" s="82"/>
      <c r="K41" s="82"/>
      <c r="L41" s="82"/>
      <c r="M41" s="82"/>
      <c r="N41" s="82"/>
      <c r="O41" s="82"/>
      <c r="P41" s="82"/>
      <c r="Q41" s="82"/>
    </row>
    <row r="42" spans="1:17">
      <c r="A42" s="82"/>
      <c r="B42" s="83"/>
      <c r="C42" s="164"/>
      <c r="D42" s="164"/>
      <c r="E42" s="82"/>
      <c r="F42" s="160"/>
      <c r="G42" s="82"/>
      <c r="H42" s="82"/>
      <c r="I42" s="82"/>
      <c r="J42" s="82"/>
      <c r="K42" s="82"/>
      <c r="L42" s="82"/>
      <c r="M42" s="82"/>
      <c r="N42" s="82"/>
      <c r="O42" s="82"/>
      <c r="P42" s="82"/>
      <c r="Q42" s="82"/>
    </row>
    <row r="43" spans="1:17">
      <c r="A43" s="82"/>
      <c r="B43" s="83"/>
      <c r="C43" s="164"/>
      <c r="D43" s="164"/>
      <c r="E43" s="82"/>
      <c r="F43" s="160"/>
      <c r="G43" s="82"/>
      <c r="H43" s="82"/>
      <c r="I43" s="82"/>
      <c r="J43" s="82"/>
      <c r="K43" s="82"/>
      <c r="L43" s="82"/>
      <c r="M43" s="82"/>
      <c r="N43" s="82"/>
      <c r="O43" s="82"/>
      <c r="P43" s="82"/>
      <c r="Q43" s="82"/>
    </row>
    <row r="44" spans="1:17">
      <c r="A44" s="82"/>
      <c r="B44" s="83"/>
      <c r="C44" s="164"/>
      <c r="D44" s="164"/>
      <c r="E44" s="82"/>
      <c r="F44" s="160"/>
      <c r="G44" s="82"/>
      <c r="H44" s="82"/>
      <c r="I44" s="82"/>
      <c r="J44" s="82"/>
      <c r="K44" s="82"/>
      <c r="L44" s="82"/>
      <c r="M44" s="82"/>
      <c r="N44" s="82"/>
      <c r="O44" s="82"/>
      <c r="P44" s="82"/>
      <c r="Q44" s="82"/>
    </row>
    <row r="45" spans="1:17">
      <c r="A45" s="82"/>
      <c r="B45" s="83"/>
      <c r="C45" s="164"/>
      <c r="D45" s="164"/>
      <c r="E45" s="82"/>
      <c r="F45" s="160"/>
      <c r="G45" s="82"/>
      <c r="H45" s="82"/>
      <c r="I45" s="82"/>
      <c r="J45" s="82"/>
      <c r="K45" s="82"/>
      <c r="L45" s="82"/>
      <c r="M45" s="82"/>
      <c r="N45" s="82"/>
      <c r="O45" s="82"/>
      <c r="P45" s="82"/>
      <c r="Q45" s="82"/>
    </row>
    <row r="46" spans="1:17">
      <c r="A46" s="82"/>
      <c r="B46" s="83"/>
      <c r="C46" s="164"/>
      <c r="D46" s="164"/>
      <c r="E46" s="82"/>
      <c r="F46" s="160"/>
      <c r="G46" s="82"/>
      <c r="H46" s="82"/>
      <c r="I46" s="82"/>
      <c r="J46" s="82"/>
      <c r="K46" s="82"/>
      <c r="L46" s="82"/>
      <c r="M46" s="82"/>
      <c r="N46" s="82"/>
      <c r="O46" s="82"/>
      <c r="P46" s="82"/>
      <c r="Q46" s="82"/>
    </row>
    <row r="47" spans="1:17">
      <c r="A47" s="82"/>
      <c r="B47" s="83"/>
      <c r="C47" s="164"/>
      <c r="D47" s="164"/>
      <c r="E47" s="82"/>
      <c r="F47" s="160"/>
      <c r="G47" s="82"/>
      <c r="H47" s="82"/>
      <c r="I47" s="82"/>
      <c r="J47" s="82"/>
      <c r="K47" s="82"/>
      <c r="L47" s="82"/>
      <c r="M47" s="82"/>
      <c r="N47" s="82"/>
      <c r="O47" s="82"/>
      <c r="P47" s="82"/>
      <c r="Q47" s="82"/>
    </row>
    <row r="48" spans="1:17">
      <c r="L48" s="82"/>
      <c r="M48" s="82"/>
      <c r="N48" s="82"/>
      <c r="O48" s="82"/>
      <c r="P48" s="82"/>
      <c r="Q48" s="82"/>
    </row>
  </sheetData>
  <mergeCells count="1">
    <mergeCell ref="B3:F3"/>
  </mergeCells>
  <pageMargins left="0.70866141732283472" right="0.70866141732283472" top="0.74803149606299213" bottom="0.74803149606299213" header="0.31496062992125984" footer="0.31496062992125984"/>
  <pageSetup paperSize="9" scale="5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AM139"/>
  <sheetViews>
    <sheetView topLeftCell="I1" zoomScaleNormal="100" workbookViewId="0">
      <selection activeCell="U2" sqref="U2"/>
    </sheetView>
  </sheetViews>
  <sheetFormatPr defaultRowHeight="12.75"/>
  <cols>
    <col min="1" max="1" width="7.3984375" style="691" customWidth="1"/>
    <col min="2" max="2" width="14" style="16" customWidth="1"/>
    <col min="3" max="3" width="14" style="190" customWidth="1"/>
    <col min="4" max="4" width="11" style="10" customWidth="1"/>
    <col min="5" max="5" width="18" style="4" customWidth="1"/>
    <col min="6" max="6" width="19" customWidth="1"/>
    <col min="7" max="7" width="7.265625" style="190" customWidth="1"/>
    <col min="8" max="8" width="9.86328125" style="190" customWidth="1"/>
    <col min="9" max="9" width="6.59765625" style="190" customWidth="1"/>
    <col min="10" max="10" width="6.1328125" style="190" customWidth="1"/>
    <col min="11" max="11" width="6" style="190" customWidth="1"/>
    <col min="12" max="12" width="5.59765625" style="190" customWidth="1"/>
    <col min="13" max="13" width="5.73046875" style="190" customWidth="1"/>
    <col min="14" max="14" width="5.1328125" style="190" customWidth="1"/>
    <col min="15" max="15" width="6.73046875" style="1" customWidth="1"/>
    <col min="16" max="16" width="6.265625" style="37" customWidth="1"/>
    <col min="17" max="17" width="20" customWidth="1"/>
    <col min="18" max="18" width="14.86328125" customWidth="1"/>
    <col min="19" max="19" width="8.265625" customWidth="1"/>
    <col min="20" max="20" width="7.73046875" customWidth="1"/>
    <col min="21" max="21" width="42.1328125" customWidth="1"/>
    <col min="22" max="22" width="30" style="4" customWidth="1"/>
    <col min="23" max="23" width="22.73046875" customWidth="1"/>
    <col min="24" max="24" width="10.73046875" customWidth="1"/>
    <col min="25" max="26" width="10.73046875" style="1" customWidth="1"/>
    <col min="27" max="27" width="10.73046875" style="194" customWidth="1"/>
    <col min="28" max="28" width="10.73046875" style="195" customWidth="1"/>
    <col min="29" max="29" width="10.73046875" style="194" customWidth="1"/>
    <col min="30" max="31" width="10.73046875" style="1" customWidth="1"/>
    <col min="32" max="32" width="10.73046875" customWidth="1"/>
    <col min="33" max="35" width="10.73046875" style="1" customWidth="1"/>
    <col min="36" max="36" width="10.73046875" customWidth="1"/>
    <col min="37" max="37" width="10.73046875" style="14" customWidth="1"/>
    <col min="38" max="38" width="10.73046875" customWidth="1"/>
    <col min="39" max="39" width="8.3984375" bestFit="1" customWidth="1"/>
  </cols>
  <sheetData>
    <row r="1" spans="1:39" ht="53.65" customHeight="1">
      <c r="A1" s="690" t="s">
        <v>525</v>
      </c>
      <c r="B1" s="189" t="s">
        <v>30</v>
      </c>
      <c r="C1" s="189" t="s">
        <v>227</v>
      </c>
      <c r="D1" s="24" t="s">
        <v>175</v>
      </c>
      <c r="E1" s="25" t="s">
        <v>32</v>
      </c>
      <c r="F1" s="26" t="s">
        <v>33</v>
      </c>
      <c r="G1" s="188" t="s">
        <v>56</v>
      </c>
      <c r="H1" s="188" t="s">
        <v>57</v>
      </c>
      <c r="I1" s="189" t="s">
        <v>34</v>
      </c>
      <c r="J1" s="189" t="s">
        <v>35</v>
      </c>
      <c r="K1" s="189" t="s">
        <v>36</v>
      </c>
      <c r="L1" s="189" t="s">
        <v>37</v>
      </c>
      <c r="M1" s="189" t="s">
        <v>38</v>
      </c>
      <c r="N1" s="189" t="s">
        <v>39</v>
      </c>
      <c r="O1" s="115" t="s">
        <v>530</v>
      </c>
      <c r="P1" s="692" t="s">
        <v>529</v>
      </c>
      <c r="Q1" s="33" t="s">
        <v>46</v>
      </c>
      <c r="R1" s="33" t="s">
        <v>47</v>
      </c>
      <c r="S1" s="33" t="s">
        <v>49</v>
      </c>
      <c r="T1" s="33" t="s">
        <v>50</v>
      </c>
      <c r="U1" s="28" t="s">
        <v>40</v>
      </c>
      <c r="V1" s="31" t="s">
        <v>19</v>
      </c>
      <c r="W1" t="s">
        <v>31</v>
      </c>
      <c r="X1" t="s">
        <v>41</v>
      </c>
      <c r="Y1" s="11" t="s">
        <v>43</v>
      </c>
      <c r="Z1" s="11" t="s">
        <v>42</v>
      </c>
      <c r="AA1" s="193" t="s">
        <v>197</v>
      </c>
      <c r="AB1" s="193" t="s">
        <v>198</v>
      </c>
      <c r="AC1" s="193" t="s">
        <v>199</v>
      </c>
      <c r="AD1" s="11"/>
      <c r="AE1" s="11"/>
      <c r="AF1" s="11"/>
      <c r="AG1" s="11"/>
      <c r="AH1" s="11"/>
      <c r="AI1" s="11"/>
      <c r="AJ1" s="11"/>
      <c r="AK1" s="13"/>
      <c r="AL1" s="9"/>
      <c r="AM1" s="9"/>
    </row>
    <row r="2" spans="1:39">
      <c r="A2" s="691">
        <v>1</v>
      </c>
      <c r="B2" s="27">
        <v>44556</v>
      </c>
      <c r="C2" s="183">
        <v>10</v>
      </c>
      <c r="D2" s="27" t="s">
        <v>568</v>
      </c>
      <c r="E2" s="27" t="s">
        <v>607</v>
      </c>
      <c r="F2" s="27" t="s">
        <v>573</v>
      </c>
      <c r="G2" s="183">
        <v>2</v>
      </c>
      <c r="H2" s="183">
        <v>0</v>
      </c>
      <c r="I2" s="183">
        <v>17</v>
      </c>
      <c r="J2" s="183">
        <v>20</v>
      </c>
      <c r="K2" s="183">
        <v>5</v>
      </c>
      <c r="L2" s="183">
        <v>2</v>
      </c>
      <c r="M2" s="183">
        <v>16</v>
      </c>
      <c r="N2" s="183">
        <v>5</v>
      </c>
      <c r="O2" s="689" t="b">
        <v>0</v>
      </c>
      <c r="P2" s="693" t="str">
        <f>IF(B2="","",IF(O2=FALSE,"","OFF"))</f>
        <v/>
      </c>
      <c r="Q2" s="34" t="str">
        <f t="shared" ref="Q2:Q32" si="0">TRIM(E2)</f>
        <v>Brighton</v>
      </c>
      <c r="R2" s="34" t="str">
        <f t="shared" ref="R2:R32" si="1">TRIM(F2)</f>
        <v>Brentford</v>
      </c>
      <c r="S2" s="33" t="str">
        <f t="shared" ref="S2:S32" si="2">TRIM(G2)</f>
        <v>2</v>
      </c>
      <c r="T2" s="34" t="str">
        <f t="shared" ref="T2:T32" si="3">TRIM(H2)</f>
        <v>0</v>
      </c>
      <c r="U2" s="29" t="str">
        <f>IF(B2="","",IF(O2=TRUE,Q2&amp;"  v  "&amp;R2&amp;"  OFF",Q2&amp;"  v  "&amp;R2&amp;"   "&amp;W2))</f>
        <v>Brighton  v  Brentford   17/20  5/2  16/5</v>
      </c>
      <c r="V2" s="32" t="str">
        <f>Q2&amp;" "&amp;S2&amp;"-"&amp;T2&amp;" "&amp;R2&amp;" "&amp;P2</f>
        <v xml:space="preserve">Brighton 2-0 Brentford </v>
      </c>
      <c r="W2" t="str">
        <f>X2&amp;"  "&amp;Y2&amp;"  "&amp;Z2</f>
        <v>17/20  5/2  16/5</v>
      </c>
      <c r="X2" s="18" t="str">
        <f t="shared" ref="X2:X32" si="4">CONCATENATE(I2,"/",J2)</f>
        <v>17/20</v>
      </c>
      <c r="Y2" s="18" t="str">
        <f t="shared" ref="Y2:Y32" si="5">CONCATENATE(K2,"/",L2)</f>
        <v>5/2</v>
      </c>
      <c r="Z2" s="18" t="str">
        <f t="shared" ref="Z2:Z32" si="6">CONCATENATE(M2,"/",N2)</f>
        <v>16/5</v>
      </c>
      <c r="AA2" s="194">
        <f>IF(B2="","",1+(I2/J2))</f>
        <v>1.85</v>
      </c>
      <c r="AB2" s="194">
        <f>IF(D2="","",1+(K2/L2))</f>
        <v>3.5</v>
      </c>
      <c r="AC2" s="194">
        <f>IF(E2="","",1+(M2/N2))</f>
        <v>4.2</v>
      </c>
      <c r="AD2" s="12"/>
      <c r="AH2" s="12"/>
    </row>
    <row r="3" spans="1:39">
      <c r="A3" s="691">
        <v>2</v>
      </c>
      <c r="B3" s="27">
        <v>44556</v>
      </c>
      <c r="C3" s="183">
        <v>10</v>
      </c>
      <c r="D3" s="23" t="s">
        <v>568</v>
      </c>
      <c r="E3" s="27" t="s">
        <v>593</v>
      </c>
      <c r="F3" s="27" t="s">
        <v>570</v>
      </c>
      <c r="G3" s="183">
        <v>6</v>
      </c>
      <c r="H3" s="183">
        <v>3</v>
      </c>
      <c r="I3" s="183">
        <v>1</v>
      </c>
      <c r="J3" s="183">
        <v>5</v>
      </c>
      <c r="K3" s="183">
        <v>11</v>
      </c>
      <c r="L3" s="183">
        <v>2</v>
      </c>
      <c r="M3" s="183">
        <v>12</v>
      </c>
      <c r="N3" s="183">
        <v>1</v>
      </c>
      <c r="O3" s="116" t="b">
        <v>0</v>
      </c>
      <c r="P3" s="693" t="str">
        <f t="shared" ref="P3:P47" si="7">IF(B3="","",IF(O3=FALSE,"","OFF"))</f>
        <v/>
      </c>
      <c r="Q3" s="34" t="str">
        <f t="shared" si="0"/>
        <v>Man C</v>
      </c>
      <c r="R3" s="34" t="str">
        <f t="shared" si="1"/>
        <v>Leicester</v>
      </c>
      <c r="S3" s="33" t="str">
        <f t="shared" si="2"/>
        <v>6</v>
      </c>
      <c r="T3" s="34" t="str">
        <f t="shared" si="3"/>
        <v>3</v>
      </c>
      <c r="U3" s="29" t="str">
        <f t="shared" ref="U3:U66" si="8">IF(B3="","",IF(O3=TRUE,Q3&amp;"  v  "&amp;R3&amp;"  OFF",Q3&amp;"  v  "&amp;R3&amp;"   "&amp;W3))</f>
        <v>Man C  v  Leicester   1/5  11/2  12/1</v>
      </c>
      <c r="V3" s="32" t="str">
        <f t="shared" ref="V3:V47" si="9">Q3&amp;" "&amp;S3&amp;"-"&amp;T3&amp;" "&amp;R3&amp;" "&amp;P3</f>
        <v xml:space="preserve">Man C 6-3 Leicester </v>
      </c>
      <c r="W3" t="str">
        <f t="shared" ref="W3:W44" si="10">X3&amp;"  "&amp;Y3&amp;"  "&amp;Z3</f>
        <v>1/5  11/2  12/1</v>
      </c>
      <c r="X3" s="18" t="str">
        <f t="shared" si="4"/>
        <v>1/5</v>
      </c>
      <c r="Y3" s="18" t="str">
        <f t="shared" si="5"/>
        <v>11/2</v>
      </c>
      <c r="Z3" s="18" t="str">
        <f t="shared" si="6"/>
        <v>12/1</v>
      </c>
      <c r="AA3" s="194">
        <f t="shared" ref="AA3:AA47" si="11">IF(B3="","",1+(I3/J3))</f>
        <v>1.2</v>
      </c>
      <c r="AB3" s="194">
        <f t="shared" ref="AB3:AB47" si="12">IF(D3="","",1+(K3/L3))</f>
        <v>6.5</v>
      </c>
      <c r="AC3" s="194">
        <f t="shared" ref="AC3:AC47" si="13">IF(E3="","",1+(M3/N3))</f>
        <v>13</v>
      </c>
      <c r="AD3" s="12"/>
      <c r="AH3" s="12"/>
    </row>
    <row r="4" spans="1:39">
      <c r="A4" s="691">
        <v>3</v>
      </c>
      <c r="B4" s="27">
        <v>44556</v>
      </c>
      <c r="C4" s="183">
        <v>10</v>
      </c>
      <c r="D4" s="27" t="s">
        <v>568</v>
      </c>
      <c r="E4" s="27" t="s">
        <v>608</v>
      </c>
      <c r="F4" s="27" t="s">
        <v>594</v>
      </c>
      <c r="G4" s="183">
        <v>0</v>
      </c>
      <c r="H4" s="183">
        <v>5</v>
      </c>
      <c r="I4" s="183">
        <v>13</v>
      </c>
      <c r="J4" s="183">
        <v>2</v>
      </c>
      <c r="K4" s="183">
        <v>10</v>
      </c>
      <c r="L4" s="183">
        <v>3</v>
      </c>
      <c r="M4" s="183">
        <v>4</v>
      </c>
      <c r="N4" s="183">
        <v>9</v>
      </c>
      <c r="O4" s="116" t="b">
        <v>0</v>
      </c>
      <c r="P4" s="693" t="str">
        <f t="shared" si="7"/>
        <v/>
      </c>
      <c r="Q4" s="34" t="str">
        <f t="shared" si="0"/>
        <v>Norwich</v>
      </c>
      <c r="R4" s="34" t="str">
        <f t="shared" si="1"/>
        <v>Arsenal</v>
      </c>
      <c r="S4" s="33" t="str">
        <f t="shared" si="2"/>
        <v>0</v>
      </c>
      <c r="T4" s="34" t="str">
        <f t="shared" si="3"/>
        <v>5</v>
      </c>
      <c r="U4" s="29" t="str">
        <f t="shared" si="8"/>
        <v>Norwich  v  Arsenal   13/2  10/3  4/9</v>
      </c>
      <c r="V4" s="32" t="str">
        <f t="shared" si="9"/>
        <v xml:space="preserve">Norwich 0-5 Arsenal </v>
      </c>
      <c r="W4" t="str">
        <f t="shared" si="10"/>
        <v>13/2  10/3  4/9</v>
      </c>
      <c r="X4" s="18" t="str">
        <f t="shared" si="4"/>
        <v>13/2</v>
      </c>
      <c r="Y4" s="18" t="str">
        <f t="shared" si="5"/>
        <v>10/3</v>
      </c>
      <c r="Z4" s="18" t="str">
        <f t="shared" si="6"/>
        <v>4/9</v>
      </c>
      <c r="AA4" s="194">
        <f t="shared" si="11"/>
        <v>7.5</v>
      </c>
      <c r="AB4" s="194">
        <f t="shared" si="12"/>
        <v>4.3333333333333339</v>
      </c>
      <c r="AC4" s="194">
        <f t="shared" si="13"/>
        <v>1.4444444444444444</v>
      </c>
      <c r="AD4" s="12"/>
      <c r="AH4" s="12"/>
    </row>
    <row r="5" spans="1:39">
      <c r="A5" s="691">
        <v>4</v>
      </c>
      <c r="B5" s="27">
        <v>44556</v>
      </c>
      <c r="C5" s="183">
        <v>10</v>
      </c>
      <c r="D5" s="27" t="s">
        <v>568</v>
      </c>
      <c r="E5" s="27" t="s">
        <v>453</v>
      </c>
      <c r="F5" s="27" t="s">
        <v>609</v>
      </c>
      <c r="G5" s="183">
        <v>3</v>
      </c>
      <c r="H5" s="183">
        <v>0</v>
      </c>
      <c r="I5" s="183">
        <v>7</v>
      </c>
      <c r="J5" s="183">
        <v>10</v>
      </c>
      <c r="K5" s="183">
        <v>11</v>
      </c>
      <c r="L5" s="183">
        <v>4</v>
      </c>
      <c r="M5" s="183">
        <v>19</v>
      </c>
      <c r="N5" s="183">
        <v>5</v>
      </c>
      <c r="O5" s="116" t="b">
        <v>0</v>
      </c>
      <c r="P5" s="693" t="str">
        <f t="shared" si="7"/>
        <v/>
      </c>
      <c r="Q5" s="34" t="str">
        <f t="shared" si="0"/>
        <v>Spurs</v>
      </c>
      <c r="R5" s="34" t="str">
        <f t="shared" si="1"/>
        <v>Palace</v>
      </c>
      <c r="S5" s="33" t="str">
        <f t="shared" si="2"/>
        <v>3</v>
      </c>
      <c r="T5" s="34" t="str">
        <f t="shared" si="3"/>
        <v>0</v>
      </c>
      <c r="U5" s="29" t="str">
        <f t="shared" si="8"/>
        <v>Spurs  v  Palace   7/10  11/4  19/5</v>
      </c>
      <c r="V5" s="32" t="str">
        <f t="shared" si="9"/>
        <v xml:space="preserve">Spurs 3-0 Palace </v>
      </c>
      <c r="W5" t="str">
        <f t="shared" si="10"/>
        <v>7/10  11/4  19/5</v>
      </c>
      <c r="X5" s="18" t="str">
        <f t="shared" si="4"/>
        <v>7/10</v>
      </c>
      <c r="Y5" s="18" t="str">
        <f t="shared" si="5"/>
        <v>11/4</v>
      </c>
      <c r="Z5" s="18" t="str">
        <f t="shared" si="6"/>
        <v>19/5</v>
      </c>
      <c r="AA5" s="194">
        <f t="shared" si="11"/>
        <v>1.7</v>
      </c>
      <c r="AB5" s="194">
        <f t="shared" si="12"/>
        <v>3.75</v>
      </c>
      <c r="AC5" s="194">
        <f t="shared" si="13"/>
        <v>4.8</v>
      </c>
      <c r="AD5" s="12"/>
      <c r="AH5" s="12"/>
    </row>
    <row r="6" spans="1:39">
      <c r="A6" s="691">
        <v>5</v>
      </c>
      <c r="B6" s="27">
        <v>44556</v>
      </c>
      <c r="C6" s="183">
        <v>10</v>
      </c>
      <c r="D6" s="27" t="s">
        <v>568</v>
      </c>
      <c r="E6" s="27" t="s">
        <v>450</v>
      </c>
      <c r="F6" s="27" t="s">
        <v>571</v>
      </c>
      <c r="G6" s="183">
        <v>1</v>
      </c>
      <c r="H6" s="183">
        <v>3</v>
      </c>
      <c r="I6" s="183">
        <v>24</v>
      </c>
      <c r="J6" s="183">
        <v>5</v>
      </c>
      <c r="K6" s="183">
        <v>11</v>
      </c>
      <c r="L6" s="183">
        <v>4</v>
      </c>
      <c r="M6" s="183">
        <v>8</v>
      </c>
      <c r="N6" s="183">
        <v>13</v>
      </c>
      <c r="O6" s="116" t="b">
        <v>0</v>
      </c>
      <c r="P6" s="693" t="str">
        <f t="shared" si="7"/>
        <v/>
      </c>
      <c r="Q6" s="34" t="str">
        <f t="shared" si="0"/>
        <v>Villa</v>
      </c>
      <c r="R6" s="34" t="str">
        <f t="shared" si="1"/>
        <v>Chelsea</v>
      </c>
      <c r="S6" s="33" t="str">
        <f t="shared" si="2"/>
        <v>1</v>
      </c>
      <c r="T6" s="34" t="str">
        <f t="shared" si="3"/>
        <v>3</v>
      </c>
      <c r="U6" s="29" t="str">
        <f t="shared" si="8"/>
        <v>Villa  v  Chelsea   24/5  11/4  8/13</v>
      </c>
      <c r="V6" s="32" t="str">
        <f t="shared" si="9"/>
        <v xml:space="preserve">Villa 1-3 Chelsea </v>
      </c>
      <c r="W6" t="str">
        <f t="shared" si="10"/>
        <v>24/5  11/4  8/13</v>
      </c>
      <c r="X6" s="18" t="str">
        <f t="shared" si="4"/>
        <v>24/5</v>
      </c>
      <c r="Y6" s="18" t="str">
        <f t="shared" si="5"/>
        <v>11/4</v>
      </c>
      <c r="Z6" s="18" t="str">
        <f t="shared" si="6"/>
        <v>8/13</v>
      </c>
      <c r="AA6" s="194">
        <f t="shared" si="11"/>
        <v>5.8</v>
      </c>
      <c r="AB6" s="194">
        <f t="shared" si="12"/>
        <v>3.75</v>
      </c>
      <c r="AC6" s="194">
        <f t="shared" si="13"/>
        <v>1.6153846153846154</v>
      </c>
      <c r="AD6" s="12"/>
      <c r="AH6" s="12"/>
    </row>
    <row r="7" spans="1:39">
      <c r="A7" s="691">
        <v>6</v>
      </c>
      <c r="B7" s="27">
        <v>44556</v>
      </c>
      <c r="C7" s="183">
        <v>10</v>
      </c>
      <c r="D7" s="27" t="s">
        <v>568</v>
      </c>
      <c r="E7" s="27" t="s">
        <v>452</v>
      </c>
      <c r="F7" s="27" t="s">
        <v>574</v>
      </c>
      <c r="G7" s="183">
        <v>2</v>
      </c>
      <c r="H7" s="183">
        <v>3</v>
      </c>
      <c r="I7" s="183">
        <v>3</v>
      </c>
      <c r="J7" s="183">
        <v>4</v>
      </c>
      <c r="K7" s="183">
        <v>14</v>
      </c>
      <c r="L7" s="183">
        <v>5</v>
      </c>
      <c r="M7" s="183">
        <v>17</v>
      </c>
      <c r="N7" s="183">
        <v>5</v>
      </c>
      <c r="O7" s="116" t="b">
        <v>0</v>
      </c>
      <c r="P7" s="693" t="str">
        <f t="shared" si="7"/>
        <v/>
      </c>
      <c r="Q7" s="34" t="str">
        <f>TRIM(E7)</f>
        <v>West Ham</v>
      </c>
      <c r="R7" s="34" t="str">
        <f t="shared" si="1"/>
        <v>Southampton</v>
      </c>
      <c r="S7" s="33" t="str">
        <f t="shared" si="2"/>
        <v>2</v>
      </c>
      <c r="T7" s="34" t="str">
        <f t="shared" si="3"/>
        <v>3</v>
      </c>
      <c r="U7" s="29" t="str">
        <f t="shared" si="8"/>
        <v>West Ham  v  Southampton   3/4  14/5  17/5</v>
      </c>
      <c r="V7" s="32" t="str">
        <f t="shared" si="9"/>
        <v xml:space="preserve">West Ham 2-3 Southampton </v>
      </c>
      <c r="W7" t="str">
        <f t="shared" si="10"/>
        <v>3/4  14/5  17/5</v>
      </c>
      <c r="X7" s="18" t="str">
        <f t="shared" si="4"/>
        <v>3/4</v>
      </c>
      <c r="Y7" s="18" t="str">
        <f t="shared" si="5"/>
        <v>14/5</v>
      </c>
      <c r="Z7" s="18" t="str">
        <f t="shared" si="6"/>
        <v>17/5</v>
      </c>
      <c r="AA7" s="194">
        <f t="shared" si="11"/>
        <v>1.75</v>
      </c>
      <c r="AB7" s="194">
        <f t="shared" si="12"/>
        <v>3.8</v>
      </c>
      <c r="AC7" s="194">
        <f t="shared" si="13"/>
        <v>4.4000000000000004</v>
      </c>
      <c r="AD7" s="12"/>
      <c r="AH7" s="12"/>
    </row>
    <row r="8" spans="1:39">
      <c r="A8" s="691">
        <v>7</v>
      </c>
      <c r="B8" s="27">
        <v>44556</v>
      </c>
      <c r="C8" s="183">
        <v>11</v>
      </c>
      <c r="D8" s="27" t="s">
        <v>567</v>
      </c>
      <c r="E8" s="27" t="s">
        <v>579</v>
      </c>
      <c r="F8" s="27" t="s">
        <v>586</v>
      </c>
      <c r="G8" s="183">
        <v>3</v>
      </c>
      <c r="H8" s="183">
        <v>2</v>
      </c>
      <c r="I8" s="183">
        <v>11</v>
      </c>
      <c r="J8" s="183">
        <v>10</v>
      </c>
      <c r="K8" s="183">
        <v>23</v>
      </c>
      <c r="L8" s="183">
        <v>10</v>
      </c>
      <c r="M8" s="183">
        <v>5</v>
      </c>
      <c r="N8" s="183">
        <v>2</v>
      </c>
      <c r="O8" s="116" t="b">
        <v>0</v>
      </c>
      <c r="P8" s="693" t="str">
        <f t="shared" si="7"/>
        <v/>
      </c>
      <c r="Q8" s="34" t="str">
        <f t="shared" si="0"/>
        <v>Huddersfield</v>
      </c>
      <c r="R8" s="34" t="str">
        <f t="shared" si="1"/>
        <v>Blackpool</v>
      </c>
      <c r="S8" s="33" t="str">
        <f t="shared" si="2"/>
        <v>3</v>
      </c>
      <c r="T8" s="34" t="str">
        <f t="shared" si="3"/>
        <v>2</v>
      </c>
      <c r="U8" s="29" t="str">
        <f t="shared" si="8"/>
        <v>Huddersfield  v  Blackpool   11/10  23/10  5/2</v>
      </c>
      <c r="V8" s="32" t="str">
        <f t="shared" si="9"/>
        <v xml:space="preserve">Huddersfield 3-2 Blackpool </v>
      </c>
      <c r="W8" t="str">
        <f t="shared" si="10"/>
        <v>11/10  23/10  5/2</v>
      </c>
      <c r="X8" s="18" t="str">
        <f t="shared" si="4"/>
        <v>11/10</v>
      </c>
      <c r="Y8" s="18" t="str">
        <f t="shared" si="5"/>
        <v>23/10</v>
      </c>
      <c r="Z8" s="18" t="str">
        <f t="shared" si="6"/>
        <v>5/2</v>
      </c>
      <c r="AA8" s="194">
        <f t="shared" si="11"/>
        <v>2.1</v>
      </c>
      <c r="AB8" s="194">
        <f t="shared" si="12"/>
        <v>3.3</v>
      </c>
      <c r="AC8" s="194">
        <f t="shared" si="13"/>
        <v>3.5</v>
      </c>
      <c r="AD8" s="12"/>
      <c r="AH8" s="12"/>
    </row>
    <row r="9" spans="1:39">
      <c r="A9" s="691">
        <v>8</v>
      </c>
      <c r="B9" s="27">
        <v>44556</v>
      </c>
      <c r="C9" s="183">
        <v>11</v>
      </c>
      <c r="D9" s="27" t="s">
        <v>567</v>
      </c>
      <c r="E9" s="27" t="s">
        <v>582</v>
      </c>
      <c r="F9" s="27" t="s">
        <v>583</v>
      </c>
      <c r="G9" s="183">
        <v>2</v>
      </c>
      <c r="H9" s="183">
        <v>0</v>
      </c>
      <c r="I9" s="183">
        <v>11</v>
      </c>
      <c r="J9" s="183">
        <v>10</v>
      </c>
      <c r="K9" s="183">
        <v>11</v>
      </c>
      <c r="L9" s="183">
        <v>5</v>
      </c>
      <c r="M9" s="183">
        <v>5</v>
      </c>
      <c r="N9" s="183">
        <v>2</v>
      </c>
      <c r="O9" s="116" t="b">
        <v>0</v>
      </c>
      <c r="P9" s="693" t="str">
        <f t="shared" si="7"/>
        <v/>
      </c>
      <c r="Q9" s="34" t="str">
        <f t="shared" si="0"/>
        <v>Middlesbro</v>
      </c>
      <c r="R9" s="34" t="str">
        <f t="shared" si="1"/>
        <v>Forest</v>
      </c>
      <c r="S9" s="33" t="str">
        <f t="shared" si="2"/>
        <v>2</v>
      </c>
      <c r="T9" s="34" t="str">
        <f t="shared" si="3"/>
        <v>0</v>
      </c>
      <c r="U9" s="29" t="str">
        <f t="shared" si="8"/>
        <v>Middlesbro  v  Forest   11/10  11/5  5/2</v>
      </c>
      <c r="V9" s="32" t="str">
        <f t="shared" si="9"/>
        <v xml:space="preserve">Middlesbro 2-0 Forest </v>
      </c>
      <c r="W9" t="str">
        <f t="shared" si="10"/>
        <v>11/10  11/5  5/2</v>
      </c>
      <c r="X9" s="18" t="str">
        <f t="shared" si="4"/>
        <v>11/10</v>
      </c>
      <c r="Y9" s="18" t="str">
        <f t="shared" si="5"/>
        <v>11/5</v>
      </c>
      <c r="Z9" s="18" t="str">
        <f t="shared" si="6"/>
        <v>5/2</v>
      </c>
      <c r="AA9" s="194">
        <f t="shared" si="11"/>
        <v>2.1</v>
      </c>
      <c r="AB9" s="194">
        <f t="shared" si="12"/>
        <v>3.2</v>
      </c>
      <c r="AC9" s="194">
        <f t="shared" si="13"/>
        <v>3.5</v>
      </c>
      <c r="AD9" s="12"/>
      <c r="AH9" s="12"/>
    </row>
    <row r="10" spans="1:39">
      <c r="A10" s="691">
        <v>9</v>
      </c>
      <c r="B10" s="27">
        <v>44556</v>
      </c>
      <c r="C10" s="183">
        <v>12</v>
      </c>
      <c r="D10" s="27" t="s">
        <v>563</v>
      </c>
      <c r="E10" s="27" t="s">
        <v>619</v>
      </c>
      <c r="F10" s="27" t="s">
        <v>592</v>
      </c>
      <c r="G10" s="183">
        <v>1</v>
      </c>
      <c r="H10" s="183">
        <v>0</v>
      </c>
      <c r="I10" s="183">
        <v>3</v>
      </c>
      <c r="J10" s="183">
        <v>1</v>
      </c>
      <c r="K10" s="183">
        <v>11</v>
      </c>
      <c r="L10" s="183">
        <v>4</v>
      </c>
      <c r="M10" s="183">
        <v>4</v>
      </c>
      <c r="N10" s="183">
        <v>5</v>
      </c>
      <c r="O10" s="116" t="b">
        <v>0</v>
      </c>
      <c r="P10" s="693" t="str">
        <f t="shared" si="7"/>
        <v/>
      </c>
      <c r="Q10" s="34" t="str">
        <f t="shared" si="0"/>
        <v>Accrington</v>
      </c>
      <c r="R10" s="34" t="str">
        <f t="shared" si="1"/>
        <v>Rotherham</v>
      </c>
      <c r="S10" s="33" t="str">
        <f t="shared" si="2"/>
        <v>1</v>
      </c>
      <c r="T10" s="34" t="str">
        <f t="shared" si="3"/>
        <v>0</v>
      </c>
      <c r="U10" s="29" t="str">
        <f t="shared" si="8"/>
        <v>Accrington  v  Rotherham   3/1  11/4  4/5</v>
      </c>
      <c r="V10" s="32" t="str">
        <f t="shared" si="9"/>
        <v xml:space="preserve">Accrington 1-0 Rotherham </v>
      </c>
      <c r="W10" t="str">
        <f t="shared" si="10"/>
        <v>3/1  11/4  4/5</v>
      </c>
      <c r="X10" s="18" t="str">
        <f t="shared" si="4"/>
        <v>3/1</v>
      </c>
      <c r="Y10" s="18" t="str">
        <f t="shared" si="5"/>
        <v>11/4</v>
      </c>
      <c r="Z10" s="18" t="str">
        <f t="shared" si="6"/>
        <v>4/5</v>
      </c>
      <c r="AA10" s="194">
        <f t="shared" si="11"/>
        <v>4</v>
      </c>
      <c r="AB10" s="194">
        <f t="shared" si="12"/>
        <v>3.75</v>
      </c>
      <c r="AC10" s="194">
        <f t="shared" si="13"/>
        <v>1.8</v>
      </c>
      <c r="AD10" s="12"/>
      <c r="AH10" s="12"/>
    </row>
    <row r="11" spans="1:39">
      <c r="A11" s="691">
        <v>10</v>
      </c>
      <c r="B11" s="27">
        <v>44556</v>
      </c>
      <c r="C11" s="183">
        <v>12</v>
      </c>
      <c r="D11" s="27" t="s">
        <v>563</v>
      </c>
      <c r="E11" s="27" t="s">
        <v>587</v>
      </c>
      <c r="F11" s="27" t="s">
        <v>562</v>
      </c>
      <c r="G11" s="183">
        <v>0</v>
      </c>
      <c r="H11" s="183">
        <v>2</v>
      </c>
      <c r="I11" s="183">
        <v>2</v>
      </c>
      <c r="J11" s="183">
        <v>1</v>
      </c>
      <c r="K11" s="183">
        <v>23</v>
      </c>
      <c r="L11" s="183">
        <v>10</v>
      </c>
      <c r="M11" s="183">
        <v>13</v>
      </c>
      <c r="N11" s="183">
        <v>10</v>
      </c>
      <c r="O11" s="116" t="b">
        <v>0</v>
      </c>
      <c r="P11" s="693" t="str">
        <f t="shared" si="7"/>
        <v/>
      </c>
      <c r="Q11" s="34" t="str">
        <f t="shared" si="0"/>
        <v>Cheltenham</v>
      </c>
      <c r="R11" s="34" t="str">
        <f t="shared" si="1"/>
        <v>Plymouth</v>
      </c>
      <c r="S11" s="33" t="str">
        <f t="shared" si="2"/>
        <v>0</v>
      </c>
      <c r="T11" s="34" t="str">
        <f t="shared" si="3"/>
        <v>2</v>
      </c>
      <c r="U11" s="29" t="str">
        <f t="shared" si="8"/>
        <v>Cheltenham  v  Plymouth   2/1  23/10  13/10</v>
      </c>
      <c r="V11" s="32" t="str">
        <f t="shared" si="9"/>
        <v xml:space="preserve">Cheltenham 0-2 Plymouth </v>
      </c>
      <c r="W11" t="str">
        <f t="shared" si="10"/>
        <v>2/1  23/10  13/10</v>
      </c>
      <c r="X11" s="18" t="str">
        <f t="shared" si="4"/>
        <v>2/1</v>
      </c>
      <c r="Y11" s="18" t="str">
        <f t="shared" si="5"/>
        <v>23/10</v>
      </c>
      <c r="Z11" s="18" t="str">
        <f t="shared" si="6"/>
        <v>13/10</v>
      </c>
      <c r="AA11" s="194">
        <f t="shared" si="11"/>
        <v>3</v>
      </c>
      <c r="AB11" s="194">
        <f t="shared" si="12"/>
        <v>3.3</v>
      </c>
      <c r="AC11" s="194">
        <f t="shared" si="13"/>
        <v>2.2999999999999998</v>
      </c>
      <c r="AD11" s="12"/>
      <c r="AH11" s="12"/>
    </row>
    <row r="12" spans="1:39">
      <c r="A12" s="691">
        <v>11</v>
      </c>
      <c r="B12" s="27">
        <v>44556</v>
      </c>
      <c r="C12" s="183">
        <v>12</v>
      </c>
      <c r="D12" s="27" t="s">
        <v>563</v>
      </c>
      <c r="E12" s="27" t="s">
        <v>589</v>
      </c>
      <c r="F12" s="27" t="s">
        <v>588</v>
      </c>
      <c r="G12" s="183">
        <v>0</v>
      </c>
      <c r="H12" s="183">
        <v>3</v>
      </c>
      <c r="I12" s="183">
        <v>6</v>
      </c>
      <c r="J12" s="183">
        <v>5</v>
      </c>
      <c r="K12" s="183">
        <v>9</v>
      </c>
      <c r="L12" s="183">
        <v>4</v>
      </c>
      <c r="M12" s="183">
        <v>11</v>
      </c>
      <c r="N12" s="183">
        <v>5</v>
      </c>
      <c r="O12" s="116" t="b">
        <v>0</v>
      </c>
      <c r="P12" s="693" t="str">
        <f t="shared" si="7"/>
        <v/>
      </c>
      <c r="Q12" s="34" t="str">
        <f t="shared" si="0"/>
        <v>Fleetwood</v>
      </c>
      <c r="R12" s="34" t="str">
        <f t="shared" si="1"/>
        <v>Shrewsbury</v>
      </c>
      <c r="S12" s="33" t="str">
        <f t="shared" si="2"/>
        <v>0</v>
      </c>
      <c r="T12" s="34" t="str">
        <f t="shared" si="3"/>
        <v>3</v>
      </c>
      <c r="U12" s="29" t="str">
        <f t="shared" si="8"/>
        <v>Fleetwood  v  Shrewsbury   6/5  9/4  11/5</v>
      </c>
      <c r="V12" s="32" t="str">
        <f t="shared" si="9"/>
        <v xml:space="preserve">Fleetwood 0-3 Shrewsbury </v>
      </c>
      <c r="W12" t="str">
        <f t="shared" si="10"/>
        <v>6/5  9/4  11/5</v>
      </c>
      <c r="X12" s="18" t="str">
        <f t="shared" si="4"/>
        <v>6/5</v>
      </c>
      <c r="Y12" s="18" t="str">
        <f t="shared" si="5"/>
        <v>9/4</v>
      </c>
      <c r="Z12" s="18" t="str">
        <f t="shared" si="6"/>
        <v>11/5</v>
      </c>
      <c r="AA12" s="194">
        <f t="shared" si="11"/>
        <v>2.2000000000000002</v>
      </c>
      <c r="AB12" s="194">
        <f t="shared" si="12"/>
        <v>3.25</v>
      </c>
      <c r="AC12" s="194">
        <f t="shared" si="13"/>
        <v>3.2</v>
      </c>
      <c r="AD12" s="12"/>
      <c r="AH12" s="12"/>
    </row>
    <row r="13" spans="1:39">
      <c r="A13" s="691">
        <v>12</v>
      </c>
      <c r="B13" s="27">
        <v>44556</v>
      </c>
      <c r="C13" s="183">
        <v>12</v>
      </c>
      <c r="D13" s="27" t="s">
        <v>563</v>
      </c>
      <c r="E13" s="27" t="s">
        <v>622</v>
      </c>
      <c r="F13" s="27" t="s">
        <v>623</v>
      </c>
      <c r="G13" s="183">
        <v>2</v>
      </c>
      <c r="H13" s="183">
        <v>3</v>
      </c>
      <c r="I13" s="183">
        <v>2</v>
      </c>
      <c r="J13" s="183">
        <v>1</v>
      </c>
      <c r="K13" s="183">
        <v>12</v>
      </c>
      <c r="L13" s="183">
        <v>5</v>
      </c>
      <c r="M13" s="183">
        <v>5</v>
      </c>
      <c r="N13" s="183">
        <v>4</v>
      </c>
      <c r="O13" s="116" t="b">
        <v>0</v>
      </c>
      <c r="P13" s="693" t="str">
        <f t="shared" si="7"/>
        <v/>
      </c>
      <c r="Q13" s="34" t="str">
        <f t="shared" si="0"/>
        <v>Lincoln</v>
      </c>
      <c r="R13" s="34" t="str">
        <f t="shared" si="1"/>
        <v>MK Dons</v>
      </c>
      <c r="S13" s="33" t="str">
        <f t="shared" si="2"/>
        <v>2</v>
      </c>
      <c r="T13" s="34" t="str">
        <f t="shared" si="3"/>
        <v>3</v>
      </c>
      <c r="U13" s="29" t="str">
        <f t="shared" si="8"/>
        <v>Lincoln  v  MK Dons   2/1  12/5  5/4</v>
      </c>
      <c r="V13" s="32" t="str">
        <f t="shared" si="9"/>
        <v xml:space="preserve">Lincoln 2-3 MK Dons </v>
      </c>
      <c r="W13" t="str">
        <f t="shared" si="10"/>
        <v>2/1  12/5  5/4</v>
      </c>
      <c r="X13" s="18" t="str">
        <f t="shared" si="4"/>
        <v>2/1</v>
      </c>
      <c r="Y13" s="18" t="str">
        <f t="shared" si="5"/>
        <v>12/5</v>
      </c>
      <c r="Z13" s="18" t="str">
        <f t="shared" si="6"/>
        <v>5/4</v>
      </c>
      <c r="AA13" s="194">
        <f t="shared" si="11"/>
        <v>3</v>
      </c>
      <c r="AB13" s="194">
        <f t="shared" si="12"/>
        <v>3.4</v>
      </c>
      <c r="AC13" s="194">
        <f t="shared" si="13"/>
        <v>2.25</v>
      </c>
      <c r="AD13" s="12"/>
      <c r="AH13" s="12"/>
    </row>
    <row r="14" spans="1:39">
      <c r="A14" s="691">
        <v>13</v>
      </c>
      <c r="B14" s="27">
        <v>44556</v>
      </c>
      <c r="C14" s="183">
        <v>13</v>
      </c>
      <c r="D14" s="27" t="s">
        <v>597</v>
      </c>
      <c r="E14" s="23" t="s">
        <v>631</v>
      </c>
      <c r="F14" s="23" t="s">
        <v>632</v>
      </c>
      <c r="G14" s="183">
        <v>3</v>
      </c>
      <c r="H14" s="183">
        <v>2</v>
      </c>
      <c r="I14" s="183">
        <v>10</v>
      </c>
      <c r="J14" s="183">
        <v>11</v>
      </c>
      <c r="K14" s="183">
        <v>12</v>
      </c>
      <c r="L14" s="183">
        <v>5</v>
      </c>
      <c r="M14" s="183">
        <v>29</v>
      </c>
      <c r="N14" s="183">
        <v>10</v>
      </c>
      <c r="O14" s="115" t="b">
        <v>0</v>
      </c>
      <c r="P14" s="693" t="str">
        <f t="shared" si="7"/>
        <v/>
      </c>
      <c r="Q14" s="34" t="str">
        <f t="shared" si="0"/>
        <v>Mansfield</v>
      </c>
      <c r="R14" s="34" t="str">
        <f t="shared" si="1"/>
        <v>Hartlepool</v>
      </c>
      <c r="S14" s="33" t="str">
        <f t="shared" si="2"/>
        <v>3</v>
      </c>
      <c r="T14" s="34" t="str">
        <f t="shared" si="3"/>
        <v>2</v>
      </c>
      <c r="U14" s="29" t="str">
        <f t="shared" si="8"/>
        <v>Mansfield  v  Hartlepool   10/11  12/5  29/10</v>
      </c>
      <c r="V14" s="32" t="str">
        <f t="shared" si="9"/>
        <v xml:space="preserve">Mansfield 3-2 Hartlepool </v>
      </c>
      <c r="W14" t="str">
        <f t="shared" si="10"/>
        <v>10/11  12/5  29/10</v>
      </c>
      <c r="X14" s="18" t="str">
        <f t="shared" si="4"/>
        <v>10/11</v>
      </c>
      <c r="Y14" s="18" t="str">
        <f t="shared" si="5"/>
        <v>12/5</v>
      </c>
      <c r="Z14" s="18" t="str">
        <f t="shared" si="6"/>
        <v>29/10</v>
      </c>
      <c r="AA14" s="194">
        <f t="shared" si="11"/>
        <v>1.9090909090909092</v>
      </c>
      <c r="AB14" s="194">
        <f t="shared" si="12"/>
        <v>3.4</v>
      </c>
      <c r="AC14" s="194">
        <f t="shared" si="13"/>
        <v>3.9</v>
      </c>
      <c r="AD14" s="12"/>
      <c r="AH14" s="12"/>
    </row>
    <row r="15" spans="1:39">
      <c r="A15" s="691">
        <v>14</v>
      </c>
      <c r="B15" s="27">
        <v>44556</v>
      </c>
      <c r="C15" s="183">
        <v>13</v>
      </c>
      <c r="D15" s="27" t="s">
        <v>597</v>
      </c>
      <c r="E15" s="27" t="s">
        <v>599</v>
      </c>
      <c r="F15" s="23" t="s">
        <v>635</v>
      </c>
      <c r="G15" s="183">
        <v>1</v>
      </c>
      <c r="H15" s="183">
        <v>3</v>
      </c>
      <c r="I15" s="183">
        <v>6</v>
      </c>
      <c r="J15" s="183">
        <v>5</v>
      </c>
      <c r="K15" s="183">
        <v>12</v>
      </c>
      <c r="L15" s="183">
        <v>5</v>
      </c>
      <c r="M15" s="183">
        <v>21</v>
      </c>
      <c r="N15" s="183">
        <v>10</v>
      </c>
      <c r="O15" s="115" t="b">
        <v>0</v>
      </c>
      <c r="P15" s="693" t="str">
        <f t="shared" si="7"/>
        <v/>
      </c>
      <c r="Q15" s="34" t="str">
        <f t="shared" si="0"/>
        <v>Oldham</v>
      </c>
      <c r="R15" s="34" t="str">
        <f t="shared" si="1"/>
        <v>Scunthorpe</v>
      </c>
      <c r="S15" s="33" t="str">
        <f t="shared" si="2"/>
        <v>1</v>
      </c>
      <c r="T15" s="34" t="str">
        <f t="shared" si="3"/>
        <v>3</v>
      </c>
      <c r="U15" s="29" t="str">
        <f t="shared" si="8"/>
        <v>Oldham  v  Scunthorpe   6/5  12/5  21/10</v>
      </c>
      <c r="V15" s="32" t="str">
        <f t="shared" si="9"/>
        <v xml:space="preserve">Oldham 1-3 Scunthorpe </v>
      </c>
      <c r="W15" t="str">
        <f t="shared" si="10"/>
        <v>6/5  12/5  21/10</v>
      </c>
      <c r="X15" s="18" t="str">
        <f t="shared" si="4"/>
        <v>6/5</v>
      </c>
      <c r="Y15" s="18" t="str">
        <f t="shared" si="5"/>
        <v>12/5</v>
      </c>
      <c r="Z15" s="18" t="str">
        <f t="shared" si="6"/>
        <v>21/10</v>
      </c>
      <c r="AA15" s="194">
        <f t="shared" si="11"/>
        <v>2.2000000000000002</v>
      </c>
      <c r="AB15" s="194">
        <f t="shared" si="12"/>
        <v>3.4</v>
      </c>
      <c r="AC15" s="194">
        <f t="shared" si="13"/>
        <v>3.1</v>
      </c>
      <c r="AD15" s="12"/>
      <c r="AH15" s="12"/>
    </row>
    <row r="16" spans="1:39">
      <c r="A16" s="691">
        <v>15</v>
      </c>
      <c r="B16" s="27">
        <v>44556</v>
      </c>
      <c r="C16" s="183">
        <v>13</v>
      </c>
      <c r="D16" s="27" t="s">
        <v>597</v>
      </c>
      <c r="E16" s="27" t="s">
        <v>559</v>
      </c>
      <c r="F16" s="27" t="s">
        <v>637</v>
      </c>
      <c r="G16" s="183">
        <v>2</v>
      </c>
      <c r="H16" s="183">
        <v>0</v>
      </c>
      <c r="I16" s="183">
        <v>23</v>
      </c>
      <c r="J16" s="183">
        <v>20</v>
      </c>
      <c r="K16" s="183">
        <v>23</v>
      </c>
      <c r="L16" s="183">
        <v>10</v>
      </c>
      <c r="M16" s="183">
        <v>23</v>
      </c>
      <c r="N16" s="183">
        <v>10</v>
      </c>
      <c r="O16" s="115" t="b">
        <v>0</v>
      </c>
      <c r="P16" s="693" t="str">
        <f t="shared" si="7"/>
        <v/>
      </c>
      <c r="Q16" s="34" t="str">
        <f t="shared" si="0"/>
        <v>Tranmere</v>
      </c>
      <c r="R16" s="34" t="str">
        <f t="shared" si="1"/>
        <v>Barrow</v>
      </c>
      <c r="S16" s="33" t="str">
        <f t="shared" si="2"/>
        <v>2</v>
      </c>
      <c r="T16" s="34" t="str">
        <f t="shared" si="3"/>
        <v>0</v>
      </c>
      <c r="U16" s="29" t="str">
        <f t="shared" si="8"/>
        <v>Tranmere  v  Barrow   23/20  23/10  23/10</v>
      </c>
      <c r="V16" s="32" t="str">
        <f t="shared" si="9"/>
        <v xml:space="preserve">Tranmere 2-0 Barrow </v>
      </c>
      <c r="W16" t="str">
        <f t="shared" si="10"/>
        <v>23/20  23/10  23/10</v>
      </c>
      <c r="X16" s="18" t="str">
        <f t="shared" si="4"/>
        <v>23/20</v>
      </c>
      <c r="Y16" s="18" t="str">
        <f t="shared" si="5"/>
        <v>23/10</v>
      </c>
      <c r="Z16" s="18" t="str">
        <f t="shared" si="6"/>
        <v>23/10</v>
      </c>
      <c r="AA16" s="194">
        <f t="shared" si="11"/>
        <v>2.15</v>
      </c>
      <c r="AB16" s="194">
        <f t="shared" si="12"/>
        <v>3.3</v>
      </c>
      <c r="AC16" s="194">
        <f t="shared" si="13"/>
        <v>3.3</v>
      </c>
      <c r="AD16" s="12"/>
      <c r="AH16" s="12"/>
    </row>
    <row r="17" spans="1:34">
      <c r="A17" s="691">
        <v>16</v>
      </c>
      <c r="B17" s="27">
        <v>44556</v>
      </c>
      <c r="C17" s="183">
        <v>14</v>
      </c>
      <c r="D17" s="27" t="s">
        <v>638</v>
      </c>
      <c r="E17" s="27" t="s">
        <v>639</v>
      </c>
      <c r="F17" s="27" t="s">
        <v>640</v>
      </c>
      <c r="G17" s="183">
        <v>1</v>
      </c>
      <c r="H17" s="183">
        <v>1</v>
      </c>
      <c r="I17" s="183">
        <v>16</v>
      </c>
      <c r="J17" s="183">
        <v>11</v>
      </c>
      <c r="K17" s="183">
        <v>5</v>
      </c>
      <c r="L17" s="183">
        <v>2</v>
      </c>
      <c r="M17" s="183">
        <v>7</v>
      </c>
      <c r="N17" s="183">
        <v>4</v>
      </c>
      <c r="O17" s="115" t="b">
        <v>0</v>
      </c>
      <c r="P17" s="693" t="str">
        <f t="shared" si="7"/>
        <v/>
      </c>
      <c r="Q17" s="34" t="str">
        <f t="shared" si="0"/>
        <v>Aldershot</v>
      </c>
      <c r="R17" s="34" t="str">
        <f t="shared" si="1"/>
        <v>Woking</v>
      </c>
      <c r="S17" s="33" t="str">
        <f t="shared" si="2"/>
        <v>1</v>
      </c>
      <c r="T17" s="34" t="str">
        <f t="shared" si="3"/>
        <v>1</v>
      </c>
      <c r="U17" s="29" t="str">
        <f t="shared" si="8"/>
        <v>Aldershot  v  Woking   16/11  5/2  7/4</v>
      </c>
      <c r="V17" s="32" t="str">
        <f t="shared" si="9"/>
        <v xml:space="preserve">Aldershot 1-1 Woking </v>
      </c>
      <c r="W17" t="str">
        <f t="shared" si="10"/>
        <v>16/11  5/2  7/4</v>
      </c>
      <c r="X17" s="18" t="str">
        <f t="shared" si="4"/>
        <v>16/11</v>
      </c>
      <c r="Y17" s="18" t="str">
        <f t="shared" si="5"/>
        <v>5/2</v>
      </c>
      <c r="Z17" s="18" t="str">
        <f t="shared" si="6"/>
        <v>7/4</v>
      </c>
      <c r="AA17" s="194">
        <f t="shared" si="11"/>
        <v>2.4545454545454546</v>
      </c>
      <c r="AB17" s="194">
        <f t="shared" si="12"/>
        <v>3.5</v>
      </c>
      <c r="AC17" s="194">
        <f t="shared" si="13"/>
        <v>2.75</v>
      </c>
      <c r="AD17" s="12"/>
      <c r="AH17" s="12"/>
    </row>
    <row r="18" spans="1:34">
      <c r="A18" s="691">
        <v>17</v>
      </c>
      <c r="B18" s="27">
        <v>44556</v>
      </c>
      <c r="C18" s="183">
        <v>14</v>
      </c>
      <c r="D18" s="27" t="s">
        <v>638</v>
      </c>
      <c r="E18" s="27" t="s">
        <v>641</v>
      </c>
      <c r="F18" s="27" t="s">
        <v>601</v>
      </c>
      <c r="G18" s="183">
        <v>1</v>
      </c>
      <c r="H18" s="183">
        <v>1</v>
      </c>
      <c r="I18" s="183">
        <v>7</v>
      </c>
      <c r="J18" s="183">
        <v>10</v>
      </c>
      <c r="K18" s="183">
        <v>3</v>
      </c>
      <c r="L18" s="183">
        <v>1</v>
      </c>
      <c r="M18" s="183">
        <v>15</v>
      </c>
      <c r="N18" s="183">
        <v>4</v>
      </c>
      <c r="O18" s="115" t="b">
        <v>0</v>
      </c>
      <c r="P18" s="693" t="str">
        <f t="shared" si="7"/>
        <v/>
      </c>
      <c r="Q18" s="34" t="str">
        <f t="shared" si="0"/>
        <v>Bromley</v>
      </c>
      <c r="R18" s="34" t="str">
        <f t="shared" si="1"/>
        <v>Southend</v>
      </c>
      <c r="S18" s="33" t="str">
        <f t="shared" si="2"/>
        <v>1</v>
      </c>
      <c r="T18" s="34" t="str">
        <f t="shared" si="3"/>
        <v>1</v>
      </c>
      <c r="U18" s="29" t="str">
        <f t="shared" si="8"/>
        <v>Bromley  v  Southend   7/10  3/1  15/4</v>
      </c>
      <c r="V18" s="32" t="str">
        <f t="shared" si="9"/>
        <v xml:space="preserve">Bromley 1-1 Southend </v>
      </c>
      <c r="W18" t="str">
        <f t="shared" si="10"/>
        <v>7/10  3/1  15/4</v>
      </c>
      <c r="X18" s="18" t="str">
        <f t="shared" si="4"/>
        <v>7/10</v>
      </c>
      <c r="Y18" s="18" t="str">
        <f t="shared" si="5"/>
        <v>3/1</v>
      </c>
      <c r="Z18" s="18" t="str">
        <f t="shared" si="6"/>
        <v>15/4</v>
      </c>
      <c r="AA18" s="194">
        <f t="shared" si="11"/>
        <v>1.7</v>
      </c>
      <c r="AB18" s="194">
        <f t="shared" si="12"/>
        <v>4</v>
      </c>
      <c r="AC18" s="194">
        <f t="shared" si="13"/>
        <v>4.75</v>
      </c>
      <c r="AD18" s="12"/>
      <c r="AH18" s="12"/>
    </row>
    <row r="19" spans="1:34">
      <c r="A19" s="691">
        <v>18</v>
      </c>
      <c r="B19" s="27">
        <v>44556</v>
      </c>
      <c r="C19" s="183">
        <v>14</v>
      </c>
      <c r="D19" s="27" t="s">
        <v>638</v>
      </c>
      <c r="E19" s="27" t="s">
        <v>642</v>
      </c>
      <c r="F19" s="27" t="s">
        <v>643</v>
      </c>
      <c r="G19" s="183">
        <v>0</v>
      </c>
      <c r="H19" s="183">
        <v>2</v>
      </c>
      <c r="I19" s="183">
        <v>9</v>
      </c>
      <c r="J19" s="183">
        <v>2</v>
      </c>
      <c r="K19" s="183">
        <v>16</v>
      </c>
      <c r="L19" s="183">
        <v>5</v>
      </c>
      <c r="M19" s="183">
        <v>11</v>
      </c>
      <c r="N19" s="183">
        <v>18</v>
      </c>
      <c r="O19" s="116" t="b">
        <v>0</v>
      </c>
      <c r="P19" s="693" t="str">
        <f t="shared" si="7"/>
        <v/>
      </c>
      <c r="Q19" s="34" t="str">
        <f t="shared" si="0"/>
        <v>Dover</v>
      </c>
      <c r="R19" s="34" t="str">
        <f t="shared" si="1"/>
        <v>Dagenham</v>
      </c>
      <c r="S19" s="33" t="str">
        <f t="shared" si="2"/>
        <v>0</v>
      </c>
      <c r="T19" s="34" t="str">
        <f t="shared" si="3"/>
        <v>2</v>
      </c>
      <c r="U19" s="29" t="str">
        <f t="shared" si="8"/>
        <v>Dover  v  Dagenham   9/2  16/5  11/18</v>
      </c>
      <c r="V19" s="32" t="str">
        <f t="shared" si="9"/>
        <v xml:space="preserve">Dover 0-2 Dagenham </v>
      </c>
      <c r="W19" t="str">
        <f t="shared" si="10"/>
        <v>9/2  16/5  11/18</v>
      </c>
      <c r="X19" s="18" t="str">
        <f t="shared" si="4"/>
        <v>9/2</v>
      </c>
      <c r="Y19" s="18" t="str">
        <f t="shared" si="5"/>
        <v>16/5</v>
      </c>
      <c r="Z19" s="18" t="str">
        <f t="shared" si="6"/>
        <v>11/18</v>
      </c>
      <c r="AA19" s="194">
        <f t="shared" si="11"/>
        <v>5.5</v>
      </c>
      <c r="AB19" s="194">
        <f t="shared" si="12"/>
        <v>4.2</v>
      </c>
      <c r="AC19" s="194">
        <f t="shared" si="13"/>
        <v>1.6111111111111112</v>
      </c>
      <c r="AD19" s="12"/>
      <c r="AH19" s="12"/>
    </row>
    <row r="20" spans="1:34">
      <c r="A20" s="691">
        <v>19</v>
      </c>
      <c r="B20" s="27">
        <v>44556</v>
      </c>
      <c r="C20" s="183">
        <v>14</v>
      </c>
      <c r="D20" s="27" t="s">
        <v>638</v>
      </c>
      <c r="E20" s="27" t="s">
        <v>602</v>
      </c>
      <c r="F20" s="27" t="s">
        <v>644</v>
      </c>
      <c r="G20" s="183">
        <v>5</v>
      </c>
      <c r="H20" s="183">
        <v>1</v>
      </c>
      <c r="I20" s="183">
        <v>13</v>
      </c>
      <c r="J20" s="183">
        <v>18</v>
      </c>
      <c r="K20" s="183">
        <v>37</v>
      </c>
      <c r="L20" s="183">
        <v>13</v>
      </c>
      <c r="M20" s="183">
        <v>15</v>
      </c>
      <c r="N20" s="183">
        <v>4</v>
      </c>
      <c r="O20" s="116" t="b">
        <v>0</v>
      </c>
      <c r="P20" s="693" t="str">
        <f t="shared" si="7"/>
        <v/>
      </c>
      <c r="Q20" s="34" t="str">
        <f t="shared" si="0"/>
        <v>Stockport</v>
      </c>
      <c r="R20" s="34" t="str">
        <f t="shared" si="1"/>
        <v>Altrincham</v>
      </c>
      <c r="S20" s="33" t="str">
        <f t="shared" si="2"/>
        <v>5</v>
      </c>
      <c r="T20" s="34" t="str">
        <f t="shared" si="3"/>
        <v>1</v>
      </c>
      <c r="U20" s="29" t="str">
        <f t="shared" si="8"/>
        <v>Stockport  v  Altrincham   13/18  37/13  15/4</v>
      </c>
      <c r="V20" s="32" t="str">
        <f t="shared" si="9"/>
        <v xml:space="preserve">Stockport 5-1 Altrincham </v>
      </c>
      <c r="W20" t="str">
        <f t="shared" si="10"/>
        <v>13/18  37/13  15/4</v>
      </c>
      <c r="X20" s="18" t="str">
        <f t="shared" si="4"/>
        <v>13/18</v>
      </c>
      <c r="Y20" s="18" t="str">
        <f t="shared" si="5"/>
        <v>37/13</v>
      </c>
      <c r="Z20" s="18" t="str">
        <f t="shared" si="6"/>
        <v>15/4</v>
      </c>
      <c r="AA20" s="194">
        <f t="shared" si="11"/>
        <v>1.7222222222222223</v>
      </c>
      <c r="AB20" s="194">
        <f t="shared" si="12"/>
        <v>3.8461538461538463</v>
      </c>
      <c r="AC20" s="194">
        <f t="shared" si="13"/>
        <v>4.75</v>
      </c>
      <c r="AD20" s="12"/>
      <c r="AH20" s="12"/>
    </row>
    <row r="21" spans="1:34">
      <c r="A21" s="691">
        <v>20</v>
      </c>
      <c r="B21" s="27">
        <v>44556</v>
      </c>
      <c r="C21" s="183">
        <v>14</v>
      </c>
      <c r="D21" s="27" t="s">
        <v>638</v>
      </c>
      <c r="E21" s="27" t="s">
        <v>645</v>
      </c>
      <c r="F21" s="27" t="s">
        <v>603</v>
      </c>
      <c r="G21" s="183">
        <v>3</v>
      </c>
      <c r="H21" s="183">
        <v>0</v>
      </c>
      <c r="I21" s="183">
        <v>19</v>
      </c>
      <c r="J21" s="183">
        <v>20</v>
      </c>
      <c r="K21" s="183">
        <v>11</v>
      </c>
      <c r="L21" s="183">
        <v>4</v>
      </c>
      <c r="M21" s="183">
        <v>11</v>
      </c>
      <c r="N21" s="183">
        <v>4</v>
      </c>
      <c r="O21" s="115" t="b">
        <v>0</v>
      </c>
      <c r="P21" s="693" t="str">
        <f t="shared" si="7"/>
        <v/>
      </c>
      <c r="Q21" s="34" t="str">
        <f t="shared" si="0"/>
        <v>Torquay</v>
      </c>
      <c r="R21" s="34" t="str">
        <f t="shared" si="1"/>
        <v>Yeovil</v>
      </c>
      <c r="S21" s="33" t="str">
        <f t="shared" si="2"/>
        <v>3</v>
      </c>
      <c r="T21" s="34" t="str">
        <f t="shared" si="3"/>
        <v>0</v>
      </c>
      <c r="U21" s="29" t="str">
        <f t="shared" si="8"/>
        <v>Torquay  v  Yeovil   19/20  11/4  11/4</v>
      </c>
      <c r="V21" s="32" t="str">
        <f t="shared" si="9"/>
        <v xml:space="preserve">Torquay 3-0 Yeovil </v>
      </c>
      <c r="W21" t="str">
        <f t="shared" si="10"/>
        <v>19/20  11/4  11/4</v>
      </c>
      <c r="X21" s="18" t="str">
        <f t="shared" si="4"/>
        <v>19/20</v>
      </c>
      <c r="Y21" s="18" t="str">
        <f t="shared" si="5"/>
        <v>11/4</v>
      </c>
      <c r="Z21" s="18" t="str">
        <f t="shared" si="6"/>
        <v>11/4</v>
      </c>
      <c r="AA21" s="194">
        <f t="shared" si="11"/>
        <v>1.95</v>
      </c>
      <c r="AB21" s="194">
        <f t="shared" si="12"/>
        <v>3.75</v>
      </c>
      <c r="AC21" s="194">
        <f t="shared" si="13"/>
        <v>3.75</v>
      </c>
      <c r="AD21" s="12"/>
      <c r="AH21" s="12"/>
    </row>
    <row r="22" spans="1:34">
      <c r="A22" s="691">
        <v>21</v>
      </c>
      <c r="B22" s="27">
        <v>44556</v>
      </c>
      <c r="C22" s="183">
        <v>10</v>
      </c>
      <c r="D22" s="27" t="s">
        <v>568</v>
      </c>
      <c r="E22" s="27" t="s">
        <v>569</v>
      </c>
      <c r="F22" s="27" t="s">
        <v>600</v>
      </c>
      <c r="G22" s="183"/>
      <c r="H22" s="183"/>
      <c r="I22" s="183">
        <v>29</v>
      </c>
      <c r="J22" s="183">
        <v>20</v>
      </c>
      <c r="K22" s="183">
        <v>11</v>
      </c>
      <c r="L22" s="183">
        <v>5</v>
      </c>
      <c r="M22" s="183">
        <v>2</v>
      </c>
      <c r="N22" s="183">
        <v>1</v>
      </c>
      <c r="O22" s="116" t="b">
        <v>1</v>
      </c>
      <c r="P22" s="693" t="str">
        <f t="shared" si="7"/>
        <v>OFF</v>
      </c>
      <c r="Q22" s="34" t="str">
        <f t="shared" si="0"/>
        <v>Burnley</v>
      </c>
      <c r="R22" s="34" t="str">
        <f t="shared" si="1"/>
        <v>Everton</v>
      </c>
      <c r="S22" s="33" t="str">
        <f t="shared" si="2"/>
        <v/>
      </c>
      <c r="T22" s="34" t="str">
        <f t="shared" si="3"/>
        <v/>
      </c>
      <c r="U22" s="29" t="str">
        <f t="shared" si="8"/>
        <v>Burnley  v  Everton  OFF</v>
      </c>
      <c r="V22" s="32" t="str">
        <f t="shared" si="9"/>
        <v>Burnley - Everton OFF</v>
      </c>
      <c r="W22" t="str">
        <f t="shared" si="10"/>
        <v>29/20  11/5  2/1</v>
      </c>
      <c r="X22" s="18" t="str">
        <f t="shared" si="4"/>
        <v>29/20</v>
      </c>
      <c r="Y22" s="18" t="str">
        <f t="shared" si="5"/>
        <v>11/5</v>
      </c>
      <c r="Z22" s="18" t="str">
        <f t="shared" si="6"/>
        <v>2/1</v>
      </c>
      <c r="AA22" s="194">
        <f t="shared" si="11"/>
        <v>2.4500000000000002</v>
      </c>
      <c r="AB22" s="194">
        <f t="shared" si="12"/>
        <v>3.2</v>
      </c>
      <c r="AC22" s="194">
        <f t="shared" si="13"/>
        <v>3</v>
      </c>
      <c r="AD22" s="12"/>
      <c r="AH22" s="12"/>
    </row>
    <row r="23" spans="1:34">
      <c r="A23" s="691">
        <v>22</v>
      </c>
      <c r="B23" s="27">
        <v>44556</v>
      </c>
      <c r="C23" s="183">
        <v>10</v>
      </c>
      <c r="D23" s="27" t="s">
        <v>568</v>
      </c>
      <c r="E23" s="27" t="s">
        <v>572</v>
      </c>
      <c r="F23" s="27" t="s">
        <v>375</v>
      </c>
      <c r="G23" s="183"/>
      <c r="H23" s="183"/>
      <c r="I23" s="183">
        <v>1</v>
      </c>
      <c r="J23" s="183">
        <v>7</v>
      </c>
      <c r="K23" s="183">
        <v>7</v>
      </c>
      <c r="L23" s="183">
        <v>1</v>
      </c>
      <c r="M23" s="183">
        <v>16</v>
      </c>
      <c r="N23" s="183">
        <v>1</v>
      </c>
      <c r="O23" s="115" t="b">
        <v>1</v>
      </c>
      <c r="P23" s="693" t="str">
        <f t="shared" si="7"/>
        <v>OFF</v>
      </c>
      <c r="Q23" s="34" t="str">
        <f t="shared" si="0"/>
        <v>Liverpool</v>
      </c>
      <c r="R23" s="34" t="str">
        <f t="shared" si="1"/>
        <v>Leeds</v>
      </c>
      <c r="S23" s="33" t="str">
        <f t="shared" si="2"/>
        <v/>
      </c>
      <c r="T23" s="34" t="str">
        <f t="shared" si="3"/>
        <v/>
      </c>
      <c r="U23" s="29" t="str">
        <f t="shared" si="8"/>
        <v>Liverpool  v  Leeds  OFF</v>
      </c>
      <c r="V23" s="32" t="str">
        <f t="shared" si="9"/>
        <v>Liverpool - Leeds OFF</v>
      </c>
      <c r="W23" t="str">
        <f t="shared" si="10"/>
        <v>1/7  7/1  16/1</v>
      </c>
      <c r="X23" s="18" t="str">
        <f t="shared" si="4"/>
        <v>1/7</v>
      </c>
      <c r="Y23" s="18" t="str">
        <f t="shared" si="5"/>
        <v>7/1</v>
      </c>
      <c r="Z23" s="18" t="str">
        <f t="shared" si="6"/>
        <v>16/1</v>
      </c>
      <c r="AA23" s="194">
        <f t="shared" si="11"/>
        <v>1.1428571428571428</v>
      </c>
      <c r="AB23" s="194">
        <f t="shared" si="12"/>
        <v>8</v>
      </c>
      <c r="AC23" s="194">
        <f t="shared" si="13"/>
        <v>17</v>
      </c>
      <c r="AD23" s="12"/>
      <c r="AH23" s="12"/>
    </row>
    <row r="24" spans="1:34">
      <c r="A24" s="691">
        <v>23</v>
      </c>
      <c r="B24" s="27">
        <v>44556</v>
      </c>
      <c r="C24" s="183">
        <v>10</v>
      </c>
      <c r="D24" s="27" t="s">
        <v>568</v>
      </c>
      <c r="E24" s="27" t="s">
        <v>575</v>
      </c>
      <c r="F24" s="27" t="s">
        <v>610</v>
      </c>
      <c r="G24" s="183"/>
      <c r="H24" s="183"/>
      <c r="I24" s="183">
        <v>5</v>
      </c>
      <c r="J24" s="183">
        <v>6</v>
      </c>
      <c r="K24" s="183">
        <v>5</v>
      </c>
      <c r="L24" s="183">
        <v>2</v>
      </c>
      <c r="M24" s="183">
        <v>10</v>
      </c>
      <c r="N24" s="183">
        <v>3</v>
      </c>
      <c r="O24" s="115" t="b">
        <v>1</v>
      </c>
      <c r="P24" s="693" t="str">
        <f t="shared" si="7"/>
        <v>OFF</v>
      </c>
      <c r="Q24" s="34" t="str">
        <f t="shared" si="0"/>
        <v>Wolves</v>
      </c>
      <c r="R24" s="34" t="str">
        <f t="shared" si="1"/>
        <v>Watford</v>
      </c>
      <c r="S24" s="33" t="str">
        <f t="shared" si="2"/>
        <v/>
      </c>
      <c r="T24" s="34" t="str">
        <f t="shared" si="3"/>
        <v/>
      </c>
      <c r="U24" s="29" t="str">
        <f t="shared" si="8"/>
        <v>Wolves  v  Watford  OFF</v>
      </c>
      <c r="V24" s="32" t="str">
        <f t="shared" si="9"/>
        <v>Wolves - Watford OFF</v>
      </c>
      <c r="W24" t="str">
        <f t="shared" si="10"/>
        <v>5/6  5/2  10/3</v>
      </c>
      <c r="X24" s="18" t="str">
        <f t="shared" si="4"/>
        <v>5/6</v>
      </c>
      <c r="Y24" s="18" t="str">
        <f t="shared" si="5"/>
        <v>5/2</v>
      </c>
      <c r="Z24" s="18" t="str">
        <f t="shared" si="6"/>
        <v>10/3</v>
      </c>
      <c r="AA24" s="194">
        <f t="shared" si="11"/>
        <v>1.8333333333333335</v>
      </c>
      <c r="AB24" s="194">
        <f t="shared" si="12"/>
        <v>3.5</v>
      </c>
      <c r="AC24" s="194">
        <f t="shared" si="13"/>
        <v>4.3333333333333339</v>
      </c>
      <c r="AD24" s="12"/>
      <c r="AH24" s="12"/>
    </row>
    <row r="25" spans="1:34">
      <c r="A25" s="691">
        <v>24</v>
      </c>
      <c r="B25" s="27">
        <v>44556</v>
      </c>
      <c r="C25" s="183">
        <v>11</v>
      </c>
      <c r="D25" s="27" t="s">
        <v>567</v>
      </c>
      <c r="E25" s="27" t="s">
        <v>578</v>
      </c>
      <c r="F25" s="27" t="s">
        <v>611</v>
      </c>
      <c r="G25" s="183"/>
      <c r="H25" s="183"/>
      <c r="I25" s="183">
        <v>23</v>
      </c>
      <c r="J25" s="183">
        <v>10</v>
      </c>
      <c r="K25" s="183">
        <v>11</v>
      </c>
      <c r="L25" s="183">
        <v>5</v>
      </c>
      <c r="M25" s="183">
        <v>6</v>
      </c>
      <c r="N25" s="183">
        <v>5</v>
      </c>
      <c r="O25" s="115" t="b">
        <v>1</v>
      </c>
      <c r="P25" s="693" t="str">
        <f t="shared" si="7"/>
        <v>OFF</v>
      </c>
      <c r="Q25" s="34" t="str">
        <f t="shared" si="0"/>
        <v>Barnsley</v>
      </c>
      <c r="R25" s="34" t="str">
        <f t="shared" si="1"/>
        <v>Stoke</v>
      </c>
      <c r="S25" s="33" t="str">
        <f t="shared" si="2"/>
        <v/>
      </c>
      <c r="T25" s="34" t="str">
        <f t="shared" si="3"/>
        <v/>
      </c>
      <c r="U25" s="29" t="str">
        <f t="shared" si="8"/>
        <v>Barnsley  v  Stoke  OFF</v>
      </c>
      <c r="V25" s="32" t="str">
        <f t="shared" si="9"/>
        <v>Barnsley - Stoke OFF</v>
      </c>
      <c r="W25" t="str">
        <f t="shared" si="10"/>
        <v>23/10  11/5  6/5</v>
      </c>
      <c r="X25" s="18" t="str">
        <f t="shared" si="4"/>
        <v>23/10</v>
      </c>
      <c r="Y25" s="18" t="str">
        <f t="shared" si="5"/>
        <v>11/5</v>
      </c>
      <c r="Z25" s="18" t="str">
        <f t="shared" si="6"/>
        <v>6/5</v>
      </c>
      <c r="AA25" s="194">
        <f t="shared" si="11"/>
        <v>3.3</v>
      </c>
      <c r="AB25" s="194">
        <f t="shared" si="12"/>
        <v>3.2</v>
      </c>
      <c r="AC25" s="194">
        <f t="shared" si="13"/>
        <v>2.2000000000000002</v>
      </c>
      <c r="AD25" s="12"/>
      <c r="AH25" s="12"/>
    </row>
    <row r="26" spans="1:34">
      <c r="A26" s="691">
        <v>25</v>
      </c>
      <c r="B26" s="27">
        <v>44556</v>
      </c>
      <c r="C26" s="183">
        <v>11</v>
      </c>
      <c r="D26" s="27" t="s">
        <v>567</v>
      </c>
      <c r="E26" s="27" t="s">
        <v>612</v>
      </c>
      <c r="F26" s="27" t="s">
        <v>613</v>
      </c>
      <c r="G26" s="183"/>
      <c r="H26" s="183"/>
      <c r="I26" s="183">
        <v>7</v>
      </c>
      <c r="J26" s="183">
        <v>5</v>
      </c>
      <c r="K26" s="183">
        <v>9</v>
      </c>
      <c r="L26" s="183">
        <v>4</v>
      </c>
      <c r="M26" s="183">
        <v>15</v>
      </c>
      <c r="N26" s="183">
        <v>8</v>
      </c>
      <c r="O26" s="116" t="b">
        <v>1</v>
      </c>
      <c r="P26" s="693" t="str">
        <f t="shared" si="7"/>
        <v>OFF</v>
      </c>
      <c r="Q26" s="34" t="str">
        <f t="shared" si="0"/>
        <v>Cardiff</v>
      </c>
      <c r="R26" s="34" t="str">
        <f t="shared" si="1"/>
        <v>Coventry</v>
      </c>
      <c r="S26" s="33" t="str">
        <f t="shared" si="2"/>
        <v/>
      </c>
      <c r="T26" s="34" t="str">
        <f t="shared" si="3"/>
        <v/>
      </c>
      <c r="U26" s="29" t="str">
        <f t="shared" si="8"/>
        <v>Cardiff  v  Coventry  OFF</v>
      </c>
      <c r="V26" s="32" t="str">
        <f t="shared" si="9"/>
        <v>Cardiff - Coventry OFF</v>
      </c>
      <c r="W26" t="str">
        <f t="shared" si="10"/>
        <v>7/5  9/4  15/8</v>
      </c>
      <c r="X26" s="18" t="str">
        <f t="shared" si="4"/>
        <v>7/5</v>
      </c>
      <c r="Y26" s="18" t="str">
        <f t="shared" si="5"/>
        <v>9/4</v>
      </c>
      <c r="Z26" s="18" t="str">
        <f t="shared" si="6"/>
        <v>15/8</v>
      </c>
      <c r="AA26" s="194">
        <f t="shared" si="11"/>
        <v>2.4</v>
      </c>
      <c r="AB26" s="194">
        <f t="shared" si="12"/>
        <v>3.25</v>
      </c>
      <c r="AC26" s="194">
        <f t="shared" si="13"/>
        <v>2.875</v>
      </c>
      <c r="AD26" s="12"/>
      <c r="AH26" s="12"/>
    </row>
    <row r="27" spans="1:34">
      <c r="A27" s="691">
        <v>26</v>
      </c>
      <c r="B27" s="27">
        <v>44556</v>
      </c>
      <c r="C27" s="183">
        <v>11</v>
      </c>
      <c r="D27" s="27" t="s">
        <v>567</v>
      </c>
      <c r="E27" s="27" t="s">
        <v>614</v>
      </c>
      <c r="F27" s="27" t="s">
        <v>581</v>
      </c>
      <c r="G27" s="183"/>
      <c r="H27" s="183"/>
      <c r="I27" s="183">
        <v>2</v>
      </c>
      <c r="J27" s="183">
        <v>5</v>
      </c>
      <c r="K27" s="183">
        <v>17</v>
      </c>
      <c r="L27" s="183">
        <v>5</v>
      </c>
      <c r="M27" s="183">
        <v>13</v>
      </c>
      <c r="N27" s="183">
        <v>2</v>
      </c>
      <c r="O27" s="115" t="b">
        <v>1</v>
      </c>
      <c r="P27" s="693" t="str">
        <f t="shared" si="7"/>
        <v>OFF</v>
      </c>
      <c r="Q27" s="34" t="str">
        <f t="shared" si="0"/>
        <v>Fulham</v>
      </c>
      <c r="R27" s="34" t="str">
        <f t="shared" si="1"/>
        <v>Birmingham</v>
      </c>
      <c r="S27" s="33" t="str">
        <f t="shared" si="2"/>
        <v/>
      </c>
      <c r="T27" s="34" t="str">
        <f t="shared" si="3"/>
        <v/>
      </c>
      <c r="U27" s="29" t="str">
        <f t="shared" si="8"/>
        <v>Fulham  v  Birmingham  OFF</v>
      </c>
      <c r="V27" s="32" t="str">
        <f t="shared" si="9"/>
        <v>Fulham - Birmingham OFF</v>
      </c>
      <c r="W27" t="str">
        <f t="shared" si="10"/>
        <v>2/5  17/5  13/2</v>
      </c>
      <c r="X27" s="18" t="str">
        <f t="shared" si="4"/>
        <v>2/5</v>
      </c>
      <c r="Y27" s="18" t="str">
        <f t="shared" si="5"/>
        <v>17/5</v>
      </c>
      <c r="Z27" s="18" t="str">
        <f t="shared" si="6"/>
        <v>13/2</v>
      </c>
      <c r="AA27" s="194">
        <f t="shared" si="11"/>
        <v>1.4</v>
      </c>
      <c r="AB27" s="194">
        <f t="shared" si="12"/>
        <v>4.4000000000000004</v>
      </c>
      <c r="AC27" s="194">
        <f t="shared" si="13"/>
        <v>7.5</v>
      </c>
      <c r="AD27" s="12"/>
      <c r="AH27" s="12"/>
    </row>
    <row r="28" spans="1:34">
      <c r="A28" s="691">
        <v>27</v>
      </c>
      <c r="B28" s="27">
        <v>44556</v>
      </c>
      <c r="C28" s="183">
        <v>11</v>
      </c>
      <c r="D28" s="27" t="s">
        <v>567</v>
      </c>
      <c r="E28" s="27" t="s">
        <v>580</v>
      </c>
      <c r="F28" s="27" t="s">
        <v>577</v>
      </c>
      <c r="G28" s="183"/>
      <c r="H28" s="183"/>
      <c r="I28" s="183">
        <v>15</v>
      </c>
      <c r="J28" s="183">
        <v>8</v>
      </c>
      <c r="K28" s="183">
        <v>9</v>
      </c>
      <c r="L28" s="183">
        <v>4</v>
      </c>
      <c r="M28" s="183">
        <v>7</v>
      </c>
      <c r="N28" s="183">
        <v>5</v>
      </c>
      <c r="O28" s="116" t="b">
        <v>1</v>
      </c>
      <c r="P28" s="693" t="str">
        <f t="shared" si="7"/>
        <v>OFF</v>
      </c>
      <c r="Q28" s="34" t="str">
        <f t="shared" si="0"/>
        <v>Hull</v>
      </c>
      <c r="R28" s="34" t="str">
        <f t="shared" si="1"/>
        <v>Blackburn</v>
      </c>
      <c r="S28" s="33" t="str">
        <f t="shared" si="2"/>
        <v/>
      </c>
      <c r="T28" s="34" t="str">
        <f t="shared" si="3"/>
        <v/>
      </c>
      <c r="U28" s="29" t="str">
        <f t="shared" si="8"/>
        <v>Hull  v  Blackburn  OFF</v>
      </c>
      <c r="V28" s="32" t="str">
        <f t="shared" si="9"/>
        <v>Hull - Blackburn OFF</v>
      </c>
      <c r="W28" t="str">
        <f t="shared" si="10"/>
        <v>15/8  9/4  7/5</v>
      </c>
      <c r="X28" s="18" t="str">
        <f t="shared" si="4"/>
        <v>15/8</v>
      </c>
      <c r="Y28" s="18" t="str">
        <f t="shared" si="5"/>
        <v>9/4</v>
      </c>
      <c r="Z28" s="18" t="str">
        <f t="shared" si="6"/>
        <v>7/5</v>
      </c>
      <c r="AA28" s="194">
        <f t="shared" si="11"/>
        <v>2.875</v>
      </c>
      <c r="AB28" s="194">
        <f t="shared" si="12"/>
        <v>3.25</v>
      </c>
      <c r="AC28" s="194">
        <f t="shared" si="13"/>
        <v>2.4</v>
      </c>
      <c r="AD28" s="12"/>
      <c r="AH28" s="12"/>
    </row>
    <row r="29" spans="1:34">
      <c r="A29" s="691">
        <v>28</v>
      </c>
      <c r="B29" s="27">
        <v>44556</v>
      </c>
      <c r="C29" s="183">
        <v>11</v>
      </c>
      <c r="D29" s="27" t="s">
        <v>567</v>
      </c>
      <c r="E29" s="27" t="s">
        <v>615</v>
      </c>
      <c r="F29" s="27" t="s">
        <v>576</v>
      </c>
      <c r="G29" s="183"/>
      <c r="H29" s="183"/>
      <c r="I29" s="183">
        <v>4</v>
      </c>
      <c r="J29" s="183">
        <v>6</v>
      </c>
      <c r="K29" s="183">
        <v>11</v>
      </c>
      <c r="L29" s="183">
        <v>4</v>
      </c>
      <c r="M29" s="183">
        <v>4</v>
      </c>
      <c r="N29" s="183">
        <v>1</v>
      </c>
      <c r="O29" s="116" t="b">
        <v>1</v>
      </c>
      <c r="P29" s="693" t="str">
        <f t="shared" si="7"/>
        <v>OFF</v>
      </c>
      <c r="Q29" s="34" t="str">
        <f t="shared" si="0"/>
        <v>Luton</v>
      </c>
      <c r="R29" s="34" t="str">
        <f t="shared" si="1"/>
        <v>Bristol C</v>
      </c>
      <c r="S29" s="33" t="str">
        <f t="shared" si="2"/>
        <v/>
      </c>
      <c r="T29" s="34" t="str">
        <f t="shared" si="3"/>
        <v/>
      </c>
      <c r="U29" s="29" t="str">
        <f t="shared" si="8"/>
        <v>Luton  v  Bristol C  OFF</v>
      </c>
      <c r="V29" s="32" t="str">
        <f t="shared" si="9"/>
        <v>Luton - Bristol C OFF</v>
      </c>
      <c r="W29" t="str">
        <f t="shared" si="10"/>
        <v>4/6  11/4  4/1</v>
      </c>
      <c r="X29" s="18" t="str">
        <f t="shared" si="4"/>
        <v>4/6</v>
      </c>
      <c r="Y29" s="18" t="str">
        <f t="shared" si="5"/>
        <v>11/4</v>
      </c>
      <c r="Z29" s="18" t="str">
        <f t="shared" si="6"/>
        <v>4/1</v>
      </c>
      <c r="AA29" s="194">
        <f t="shared" si="11"/>
        <v>1.6666666666666665</v>
      </c>
      <c r="AB29" s="194">
        <f t="shared" si="12"/>
        <v>3.75</v>
      </c>
      <c r="AC29" s="194">
        <f t="shared" si="13"/>
        <v>5</v>
      </c>
      <c r="AD29" s="12"/>
      <c r="AH29" s="12"/>
    </row>
    <row r="30" spans="1:34">
      <c r="A30" s="691">
        <v>29</v>
      </c>
      <c r="B30" s="27">
        <v>44556</v>
      </c>
      <c r="C30" s="183">
        <v>11</v>
      </c>
      <c r="D30" s="27" t="s">
        <v>567</v>
      </c>
      <c r="E30" s="27" t="s">
        <v>616</v>
      </c>
      <c r="F30" s="27" t="s">
        <v>585</v>
      </c>
      <c r="G30" s="183"/>
      <c r="H30" s="183"/>
      <c r="I30" s="183">
        <v>11</v>
      </c>
      <c r="J30" s="183">
        <v>8</v>
      </c>
      <c r="K30" s="183">
        <v>21</v>
      </c>
      <c r="L30" s="183">
        <v>10</v>
      </c>
      <c r="M30" s="183">
        <v>21</v>
      </c>
      <c r="N30" s="183">
        <v>10</v>
      </c>
      <c r="O30" s="115" t="b">
        <v>1</v>
      </c>
      <c r="P30" s="693" t="str">
        <f t="shared" si="7"/>
        <v>OFF</v>
      </c>
      <c r="Q30" s="34" t="str">
        <f t="shared" si="0"/>
        <v>Millwall</v>
      </c>
      <c r="R30" s="34" t="str">
        <f t="shared" si="1"/>
        <v>Swansea</v>
      </c>
      <c r="S30" s="33" t="str">
        <f t="shared" si="2"/>
        <v/>
      </c>
      <c r="T30" s="34" t="str">
        <f t="shared" si="3"/>
        <v/>
      </c>
      <c r="U30" s="29" t="str">
        <f t="shared" si="8"/>
        <v>Millwall  v  Swansea  OFF</v>
      </c>
      <c r="V30" s="32" t="str">
        <f t="shared" si="9"/>
        <v>Millwall - Swansea OFF</v>
      </c>
      <c r="W30" t="str">
        <f t="shared" si="10"/>
        <v>11/8  21/10  21/10</v>
      </c>
      <c r="X30" s="18" t="str">
        <f t="shared" si="4"/>
        <v>11/8</v>
      </c>
      <c r="Y30" s="18" t="str">
        <f t="shared" si="5"/>
        <v>21/10</v>
      </c>
      <c r="Z30" s="18" t="str">
        <f t="shared" si="6"/>
        <v>21/10</v>
      </c>
      <c r="AA30" s="194">
        <f t="shared" si="11"/>
        <v>2.375</v>
      </c>
      <c r="AB30" s="194">
        <f t="shared" si="12"/>
        <v>3.1</v>
      </c>
      <c r="AC30" s="194">
        <f t="shared" si="13"/>
        <v>3.1</v>
      </c>
      <c r="AD30" s="12"/>
      <c r="AH30" s="12"/>
    </row>
    <row r="31" spans="1:34">
      <c r="A31" s="691">
        <v>30</v>
      </c>
      <c r="B31" s="27">
        <v>44556</v>
      </c>
      <c r="C31" s="183">
        <v>11</v>
      </c>
      <c r="D31" s="27" t="s">
        <v>567</v>
      </c>
      <c r="E31" s="27" t="s">
        <v>584</v>
      </c>
      <c r="F31" s="27" t="s">
        <v>617</v>
      </c>
      <c r="G31" s="183"/>
      <c r="H31" s="183"/>
      <c r="I31" s="183">
        <v>29</v>
      </c>
      <c r="J31" s="183">
        <v>20</v>
      </c>
      <c r="K31" s="183">
        <v>9</v>
      </c>
      <c r="L31" s="183">
        <v>4</v>
      </c>
      <c r="M31" s="183">
        <v>9</v>
      </c>
      <c r="N31" s="183">
        <v>5</v>
      </c>
      <c r="O31" s="115" t="b">
        <v>1</v>
      </c>
      <c r="P31" s="693" t="str">
        <f t="shared" si="7"/>
        <v>OFF</v>
      </c>
      <c r="Q31" s="34" t="str">
        <f t="shared" si="0"/>
        <v>Peterborough</v>
      </c>
      <c r="R31" s="34" t="str">
        <f t="shared" si="1"/>
        <v>Reading</v>
      </c>
      <c r="S31" s="33" t="str">
        <f t="shared" si="2"/>
        <v/>
      </c>
      <c r="T31" s="34" t="str">
        <f t="shared" si="3"/>
        <v/>
      </c>
      <c r="U31" s="29" t="str">
        <f t="shared" si="8"/>
        <v>Peterborough  v  Reading  OFF</v>
      </c>
      <c r="V31" s="32" t="str">
        <f t="shared" si="9"/>
        <v>Peterborough - Reading OFF</v>
      </c>
      <c r="W31" t="str">
        <f t="shared" si="10"/>
        <v>29/20  9/4  9/5</v>
      </c>
      <c r="X31" s="18" t="str">
        <f t="shared" si="4"/>
        <v>29/20</v>
      </c>
      <c r="Y31" s="18" t="str">
        <f t="shared" si="5"/>
        <v>9/4</v>
      </c>
      <c r="Z31" s="18" t="str">
        <f t="shared" si="6"/>
        <v>9/5</v>
      </c>
      <c r="AA31" s="194">
        <f t="shared" si="11"/>
        <v>2.4500000000000002</v>
      </c>
      <c r="AB31" s="194">
        <f t="shared" si="12"/>
        <v>3.25</v>
      </c>
      <c r="AC31" s="194">
        <f t="shared" si="13"/>
        <v>2.8</v>
      </c>
      <c r="AD31" s="12"/>
      <c r="AH31" s="12"/>
    </row>
    <row r="32" spans="1:34">
      <c r="A32" s="691">
        <v>31</v>
      </c>
      <c r="B32" s="27">
        <v>44556</v>
      </c>
      <c r="C32" s="183">
        <v>11</v>
      </c>
      <c r="D32" s="27" t="s">
        <v>567</v>
      </c>
      <c r="E32" s="27" t="s">
        <v>618</v>
      </c>
      <c r="F32" s="27" t="s">
        <v>449</v>
      </c>
      <c r="G32" s="183"/>
      <c r="H32" s="183"/>
      <c r="I32" s="183">
        <v>2</v>
      </c>
      <c r="J32" s="183">
        <v>1</v>
      </c>
      <c r="K32" s="183">
        <v>11</v>
      </c>
      <c r="L32" s="183">
        <v>5</v>
      </c>
      <c r="M32" s="183">
        <v>11</v>
      </c>
      <c r="N32" s="183">
        <v>8</v>
      </c>
      <c r="O32" s="115" t="b">
        <v>1</v>
      </c>
      <c r="P32" s="693" t="str">
        <f t="shared" si="7"/>
        <v>OFF</v>
      </c>
      <c r="Q32" s="34" t="str">
        <f t="shared" si="0"/>
        <v>Preston</v>
      </c>
      <c r="R32" s="34" t="str">
        <f t="shared" si="1"/>
        <v>Sheff U</v>
      </c>
      <c r="S32" s="33" t="str">
        <f t="shared" si="2"/>
        <v/>
      </c>
      <c r="T32" s="34" t="str">
        <f t="shared" si="3"/>
        <v/>
      </c>
      <c r="U32" s="29" t="str">
        <f t="shared" si="8"/>
        <v>Preston  v  Sheff U  OFF</v>
      </c>
      <c r="V32" s="32" t="str">
        <f t="shared" si="9"/>
        <v>Preston - Sheff U OFF</v>
      </c>
      <c r="W32" t="str">
        <f t="shared" si="10"/>
        <v>2/1  11/5  11/8</v>
      </c>
      <c r="X32" s="18" t="str">
        <f t="shared" si="4"/>
        <v>2/1</v>
      </c>
      <c r="Y32" s="18" t="str">
        <f t="shared" si="5"/>
        <v>11/5</v>
      </c>
      <c r="Z32" s="18" t="str">
        <f t="shared" si="6"/>
        <v>11/8</v>
      </c>
      <c r="AA32" s="194">
        <f t="shared" si="11"/>
        <v>3</v>
      </c>
      <c r="AB32" s="194">
        <f t="shared" si="12"/>
        <v>3.2</v>
      </c>
      <c r="AC32" s="194">
        <f t="shared" si="13"/>
        <v>2.375</v>
      </c>
      <c r="AD32" s="12"/>
      <c r="AH32" s="12"/>
    </row>
    <row r="33" spans="1:34">
      <c r="A33" s="691">
        <v>32</v>
      </c>
      <c r="B33" s="27">
        <v>44556</v>
      </c>
      <c r="C33" s="183">
        <v>12</v>
      </c>
      <c r="D33" s="27" t="s">
        <v>563</v>
      </c>
      <c r="E33" s="27" t="s">
        <v>595</v>
      </c>
      <c r="F33" s="23" t="s">
        <v>590</v>
      </c>
      <c r="G33" s="183"/>
      <c r="H33" s="183"/>
      <c r="I33" s="183">
        <v>4</v>
      </c>
      <c r="J33" s="183">
        <v>7</v>
      </c>
      <c r="K33" s="183">
        <v>29</v>
      </c>
      <c r="L33" s="183">
        <v>10</v>
      </c>
      <c r="M33" s="183">
        <v>9</v>
      </c>
      <c r="N33" s="183">
        <v>2</v>
      </c>
      <c r="O33" s="116" t="b">
        <v>1</v>
      </c>
      <c r="P33" s="693" t="str">
        <f t="shared" si="7"/>
        <v>OFF</v>
      </c>
      <c r="Q33" s="34" t="str">
        <f t="shared" ref="Q33:Q47" si="14">TRIM(E33)</f>
        <v>Bolton</v>
      </c>
      <c r="R33" s="34" t="str">
        <f t="shared" ref="R33:R47" si="15">TRIM(F33)</f>
        <v>Morecambe</v>
      </c>
      <c r="S33" s="33" t="str">
        <f t="shared" ref="S33:S47" si="16">TRIM(G33)</f>
        <v/>
      </c>
      <c r="T33" s="34" t="str">
        <f t="shared" ref="T33:T47" si="17">TRIM(H33)</f>
        <v/>
      </c>
      <c r="U33" s="29" t="str">
        <f t="shared" si="8"/>
        <v>Bolton  v  Morecambe  OFF</v>
      </c>
      <c r="V33" s="32" t="str">
        <f t="shared" si="9"/>
        <v>Bolton - Morecambe OFF</v>
      </c>
      <c r="W33" t="str">
        <f t="shared" si="10"/>
        <v>4/7  29/10  9/2</v>
      </c>
      <c r="X33" s="18" t="str">
        <f t="shared" ref="X33:X47" si="18">CONCATENATE(I33,"/",J33)</f>
        <v>4/7</v>
      </c>
      <c r="Y33" s="18" t="str">
        <f t="shared" ref="Y33:Y47" si="19">CONCATENATE(K33,"/",L33)</f>
        <v>29/10</v>
      </c>
      <c r="Z33" s="18" t="str">
        <f t="shared" ref="Z33:Z47" si="20">CONCATENATE(M33,"/",N33)</f>
        <v>9/2</v>
      </c>
      <c r="AA33" s="194">
        <f t="shared" si="11"/>
        <v>1.5714285714285714</v>
      </c>
      <c r="AB33" s="194">
        <f t="shared" si="12"/>
        <v>3.9</v>
      </c>
      <c r="AC33" s="194">
        <f t="shared" si="13"/>
        <v>5.5</v>
      </c>
      <c r="AD33" s="12"/>
      <c r="AH33" s="12"/>
    </row>
    <row r="34" spans="1:34">
      <c r="A34" s="691">
        <v>33</v>
      </c>
      <c r="B34" s="27">
        <v>44556</v>
      </c>
      <c r="C34" s="183">
        <v>12</v>
      </c>
      <c r="D34" s="27" t="s">
        <v>563</v>
      </c>
      <c r="E34" s="27" t="s">
        <v>620</v>
      </c>
      <c r="F34" s="27" t="s">
        <v>369</v>
      </c>
      <c r="G34" s="183"/>
      <c r="H34" s="183"/>
      <c r="I34" s="183">
        <v>4</v>
      </c>
      <c r="J34" s="183">
        <v>1</v>
      </c>
      <c r="K34" s="183">
        <v>29</v>
      </c>
      <c r="L34" s="183">
        <v>10</v>
      </c>
      <c r="M34" s="183">
        <v>8</v>
      </c>
      <c r="N34" s="183">
        <v>13</v>
      </c>
      <c r="O34" s="116" t="b">
        <v>1</v>
      </c>
      <c r="P34" s="693" t="str">
        <f t="shared" si="7"/>
        <v>OFF</v>
      </c>
      <c r="Q34" s="34" t="str">
        <f t="shared" si="14"/>
        <v>Crewe</v>
      </c>
      <c r="R34" s="34" t="str">
        <f t="shared" si="15"/>
        <v>Wigan</v>
      </c>
      <c r="S34" s="33" t="str">
        <f t="shared" si="16"/>
        <v/>
      </c>
      <c r="T34" s="34" t="str">
        <f t="shared" si="17"/>
        <v/>
      </c>
      <c r="U34" s="29" t="str">
        <f t="shared" si="8"/>
        <v>Crewe  v  Wigan  OFF</v>
      </c>
      <c r="V34" s="32" t="str">
        <f t="shared" si="9"/>
        <v>Crewe - Wigan OFF</v>
      </c>
      <c r="W34" t="str">
        <f t="shared" si="10"/>
        <v>4/1  29/10  8/13</v>
      </c>
      <c r="X34" s="18" t="str">
        <f t="shared" si="18"/>
        <v>4/1</v>
      </c>
      <c r="Y34" s="18" t="str">
        <f t="shared" si="19"/>
        <v>29/10</v>
      </c>
      <c r="Z34" s="18" t="str">
        <f t="shared" si="20"/>
        <v>8/13</v>
      </c>
      <c r="AA34" s="194">
        <f t="shared" si="11"/>
        <v>5</v>
      </c>
      <c r="AB34" s="194">
        <f t="shared" si="12"/>
        <v>3.9</v>
      </c>
      <c r="AC34" s="194">
        <f t="shared" si="13"/>
        <v>1.6153846153846154</v>
      </c>
      <c r="AD34" s="12"/>
      <c r="AH34" s="12"/>
    </row>
    <row r="35" spans="1:34">
      <c r="A35" s="691">
        <v>34</v>
      </c>
      <c r="B35" s="27">
        <v>44556</v>
      </c>
      <c r="C35" s="183">
        <v>12</v>
      </c>
      <c r="D35" s="27" t="s">
        <v>563</v>
      </c>
      <c r="E35" s="27" t="s">
        <v>621</v>
      </c>
      <c r="F35" s="27" t="s">
        <v>560</v>
      </c>
      <c r="G35" s="183"/>
      <c r="H35" s="183"/>
      <c r="I35" s="183">
        <v>11</v>
      </c>
      <c r="J35" s="183">
        <v>4</v>
      </c>
      <c r="K35" s="183">
        <v>13</v>
      </c>
      <c r="L35" s="183">
        <v>5</v>
      </c>
      <c r="M35" s="183">
        <v>10</v>
      </c>
      <c r="N35" s="183">
        <v>11</v>
      </c>
      <c r="O35" s="116" t="b">
        <v>1</v>
      </c>
      <c r="P35" s="693" t="str">
        <f t="shared" si="7"/>
        <v>OFF</v>
      </c>
      <c r="Q35" s="34" t="str">
        <f t="shared" si="14"/>
        <v>Gillingham</v>
      </c>
      <c r="R35" s="34" t="str">
        <f t="shared" si="15"/>
        <v>Ipswich</v>
      </c>
      <c r="S35" s="33" t="str">
        <f t="shared" si="16"/>
        <v/>
      </c>
      <c r="T35" s="34" t="str">
        <f t="shared" si="17"/>
        <v/>
      </c>
      <c r="U35" s="29" t="str">
        <f t="shared" si="8"/>
        <v>Gillingham  v  Ipswich  OFF</v>
      </c>
      <c r="V35" s="32" t="str">
        <f t="shared" si="9"/>
        <v>Gillingham - Ipswich OFF</v>
      </c>
      <c r="W35" t="str">
        <f t="shared" si="10"/>
        <v>11/4  13/5  10/11</v>
      </c>
      <c r="X35" s="18" t="str">
        <f t="shared" si="18"/>
        <v>11/4</v>
      </c>
      <c r="Y35" s="18" t="str">
        <f t="shared" si="19"/>
        <v>13/5</v>
      </c>
      <c r="Z35" s="18" t="str">
        <f t="shared" si="20"/>
        <v>10/11</v>
      </c>
      <c r="AA35" s="194">
        <f t="shared" si="11"/>
        <v>3.75</v>
      </c>
      <c r="AB35" s="194">
        <f t="shared" si="12"/>
        <v>3.6</v>
      </c>
      <c r="AC35" s="194">
        <f t="shared" si="13"/>
        <v>1.9090909090909092</v>
      </c>
      <c r="AD35" s="12"/>
      <c r="AH35" s="12"/>
    </row>
    <row r="36" spans="1:34">
      <c r="A36" s="691">
        <v>35</v>
      </c>
      <c r="B36" s="27">
        <v>44556</v>
      </c>
      <c r="C36" s="183">
        <v>12</v>
      </c>
      <c r="D36" s="27" t="s">
        <v>563</v>
      </c>
      <c r="E36" s="27" t="s">
        <v>438</v>
      </c>
      <c r="F36" s="27" t="s">
        <v>561</v>
      </c>
      <c r="G36" s="183"/>
      <c r="H36" s="183"/>
      <c r="I36" s="183">
        <v>6</v>
      </c>
      <c r="J36" s="183">
        <v>4</v>
      </c>
      <c r="K36" s="183">
        <v>23</v>
      </c>
      <c r="L36" s="183">
        <v>10</v>
      </c>
      <c r="M36" s="183">
        <v>17</v>
      </c>
      <c r="N36" s="183">
        <v>10</v>
      </c>
      <c r="O36" s="116" t="b">
        <v>1</v>
      </c>
      <c r="P36" s="693" t="str">
        <f t="shared" si="7"/>
        <v>OFF</v>
      </c>
      <c r="Q36" s="34" t="str">
        <f t="shared" si="14"/>
        <v>Portsmouth</v>
      </c>
      <c r="R36" s="34" t="str">
        <f t="shared" si="15"/>
        <v>Oxford</v>
      </c>
      <c r="S36" s="33" t="str">
        <f t="shared" si="16"/>
        <v/>
      </c>
      <c r="T36" s="34" t="str">
        <f t="shared" si="17"/>
        <v/>
      </c>
      <c r="U36" s="29" t="str">
        <f t="shared" si="8"/>
        <v>Portsmouth  v  Oxford  OFF</v>
      </c>
      <c r="V36" s="32" t="str">
        <f t="shared" si="9"/>
        <v>Portsmouth - Oxford OFF</v>
      </c>
      <c r="W36" t="str">
        <f t="shared" si="10"/>
        <v>6/4  23/10  17/10</v>
      </c>
      <c r="X36" s="18" t="str">
        <f t="shared" si="18"/>
        <v>6/4</v>
      </c>
      <c r="Y36" s="18" t="str">
        <f t="shared" si="19"/>
        <v>23/10</v>
      </c>
      <c r="Z36" s="18" t="str">
        <f t="shared" si="20"/>
        <v>17/10</v>
      </c>
      <c r="AA36" s="194">
        <f t="shared" si="11"/>
        <v>2.5</v>
      </c>
      <c r="AB36" s="194">
        <f t="shared" si="12"/>
        <v>3.3</v>
      </c>
      <c r="AC36" s="194">
        <f t="shared" si="13"/>
        <v>2.7</v>
      </c>
      <c r="AD36" s="12"/>
      <c r="AH36" s="12"/>
    </row>
    <row r="37" spans="1:34">
      <c r="A37" s="691">
        <v>36</v>
      </c>
      <c r="B37" s="27">
        <v>44556</v>
      </c>
      <c r="C37" s="183">
        <v>12</v>
      </c>
      <c r="D37" s="23" t="s">
        <v>563</v>
      </c>
      <c r="E37" s="27" t="s">
        <v>624</v>
      </c>
      <c r="F37" s="27" t="s">
        <v>625</v>
      </c>
      <c r="G37" s="183"/>
      <c r="H37" s="183"/>
      <c r="I37" s="183">
        <v>8</v>
      </c>
      <c r="J37" s="183">
        <v>11</v>
      </c>
      <c r="K37" s="183">
        <v>13</v>
      </c>
      <c r="L37" s="183">
        <v>5</v>
      </c>
      <c r="M37" s="183">
        <v>18</v>
      </c>
      <c r="N37" s="183">
        <v>5</v>
      </c>
      <c r="O37" s="116" t="b">
        <v>1</v>
      </c>
      <c r="P37" s="693" t="str">
        <f t="shared" si="7"/>
        <v>OFF</v>
      </c>
      <c r="Q37" s="34" t="str">
        <f t="shared" si="14"/>
        <v>Sheff W</v>
      </c>
      <c r="R37" s="34" t="str">
        <f t="shared" si="15"/>
        <v>Burton</v>
      </c>
      <c r="S37" s="33" t="str">
        <f t="shared" si="16"/>
        <v/>
      </c>
      <c r="T37" s="34" t="str">
        <f t="shared" si="17"/>
        <v/>
      </c>
      <c r="U37" s="29" t="str">
        <f t="shared" si="8"/>
        <v>Sheff W  v  Burton  OFF</v>
      </c>
      <c r="V37" s="32" t="str">
        <f t="shared" si="9"/>
        <v>Sheff W - Burton OFF</v>
      </c>
      <c r="W37" t="str">
        <f t="shared" si="10"/>
        <v>8/11  13/5  18/5</v>
      </c>
      <c r="X37" s="18" t="str">
        <f t="shared" si="18"/>
        <v>8/11</v>
      </c>
      <c r="Y37" s="18" t="str">
        <f t="shared" si="19"/>
        <v>13/5</v>
      </c>
      <c r="Z37" s="18" t="str">
        <f t="shared" si="20"/>
        <v>18/5</v>
      </c>
      <c r="AA37" s="194">
        <f t="shared" si="11"/>
        <v>1.7272727272727273</v>
      </c>
      <c r="AB37" s="194">
        <f t="shared" si="12"/>
        <v>3.6</v>
      </c>
      <c r="AC37" s="194">
        <f t="shared" si="13"/>
        <v>4.5999999999999996</v>
      </c>
      <c r="AD37" s="12"/>
      <c r="AH37" s="12"/>
    </row>
    <row r="38" spans="1:34">
      <c r="A38" s="691">
        <v>37</v>
      </c>
      <c r="B38" s="27">
        <v>44556</v>
      </c>
      <c r="C38" s="183">
        <v>12</v>
      </c>
      <c r="D38" s="27" t="s">
        <v>563</v>
      </c>
      <c r="E38" s="27" t="s">
        <v>591</v>
      </c>
      <c r="F38" s="27" t="s">
        <v>564</v>
      </c>
      <c r="G38" s="183"/>
      <c r="H38" s="183"/>
      <c r="I38" s="183">
        <v>17</v>
      </c>
      <c r="J38" s="183">
        <v>10</v>
      </c>
      <c r="K38" s="183">
        <v>23</v>
      </c>
      <c r="L38" s="183">
        <v>10</v>
      </c>
      <c r="M38" s="183">
        <v>6</v>
      </c>
      <c r="N38" s="183">
        <v>4</v>
      </c>
      <c r="O38" s="115" t="b">
        <v>1</v>
      </c>
      <c r="P38" s="693" t="str">
        <f t="shared" ref="P38:P45" si="21">IF(B38="","",IF(O38=FALSE,"","OFF"))</f>
        <v>OFF</v>
      </c>
      <c r="Q38" s="34" t="str">
        <f t="shared" si="14"/>
        <v>Wimbledon</v>
      </c>
      <c r="R38" s="34" t="str">
        <f t="shared" si="15"/>
        <v>Charlton</v>
      </c>
      <c r="S38" s="33" t="str">
        <f t="shared" si="16"/>
        <v/>
      </c>
      <c r="T38" s="34" t="str">
        <f t="shared" si="17"/>
        <v/>
      </c>
      <c r="U38" s="29" t="str">
        <f t="shared" si="8"/>
        <v>Wimbledon  v  Charlton  OFF</v>
      </c>
      <c r="V38" s="32" t="str">
        <f t="shared" si="9"/>
        <v>Wimbledon - Charlton OFF</v>
      </c>
      <c r="W38" t="str">
        <f t="shared" si="10"/>
        <v>17/10  23/10  6/4</v>
      </c>
      <c r="X38" s="18" t="str">
        <f t="shared" si="18"/>
        <v>17/10</v>
      </c>
      <c r="Y38" s="18" t="str">
        <f t="shared" si="19"/>
        <v>23/10</v>
      </c>
      <c r="Z38" s="18" t="str">
        <f t="shared" si="20"/>
        <v>6/4</v>
      </c>
      <c r="AA38" s="194">
        <f t="shared" si="11"/>
        <v>2.7</v>
      </c>
      <c r="AB38" s="194">
        <f t="shared" si="12"/>
        <v>3.3</v>
      </c>
      <c r="AC38" s="194">
        <f t="shared" si="13"/>
        <v>2.5</v>
      </c>
      <c r="AD38" s="12"/>
      <c r="AH38" s="12"/>
    </row>
    <row r="39" spans="1:34">
      <c r="A39" s="691">
        <v>38</v>
      </c>
      <c r="B39" s="27">
        <v>44556</v>
      </c>
      <c r="C39" s="183">
        <v>12</v>
      </c>
      <c r="D39" s="27" t="s">
        <v>563</v>
      </c>
      <c r="E39" s="27" t="s">
        <v>451</v>
      </c>
      <c r="F39" s="27" t="s">
        <v>596</v>
      </c>
      <c r="G39" s="183"/>
      <c r="H39" s="183"/>
      <c r="I39" s="183">
        <v>13</v>
      </c>
      <c r="J39" s="183">
        <v>20</v>
      </c>
      <c r="K39" s="183">
        <v>29</v>
      </c>
      <c r="L39" s="183">
        <v>10</v>
      </c>
      <c r="M39" s="183">
        <v>19</v>
      </c>
      <c r="N39" s="183">
        <v>5</v>
      </c>
      <c r="O39" s="115" t="b">
        <v>1</v>
      </c>
      <c r="P39" s="693" t="str">
        <f t="shared" si="21"/>
        <v>OFF</v>
      </c>
      <c r="Q39" s="34" t="str">
        <f t="shared" si="14"/>
        <v>Wycombe</v>
      </c>
      <c r="R39" s="34" t="str">
        <f t="shared" si="15"/>
        <v>Cambridge</v>
      </c>
      <c r="S39" s="33" t="str">
        <f t="shared" si="16"/>
        <v/>
      </c>
      <c r="T39" s="34" t="str">
        <f t="shared" si="17"/>
        <v/>
      </c>
      <c r="U39" s="29" t="str">
        <f t="shared" si="8"/>
        <v>Wycombe  v  Cambridge  OFF</v>
      </c>
      <c r="V39" s="32" t="str">
        <f t="shared" si="9"/>
        <v>Wycombe - Cambridge OFF</v>
      </c>
      <c r="W39" t="str">
        <f t="shared" si="10"/>
        <v>13/20  29/10  19/5</v>
      </c>
      <c r="X39" s="18" t="str">
        <f t="shared" si="18"/>
        <v>13/20</v>
      </c>
      <c r="Y39" s="18" t="str">
        <f t="shared" si="19"/>
        <v>29/10</v>
      </c>
      <c r="Z39" s="18" t="str">
        <f t="shared" si="20"/>
        <v>19/5</v>
      </c>
      <c r="AA39" s="194">
        <f t="shared" si="11"/>
        <v>1.65</v>
      </c>
      <c r="AB39" s="194">
        <f t="shared" si="12"/>
        <v>3.9</v>
      </c>
      <c r="AC39" s="194">
        <f t="shared" si="13"/>
        <v>4.8</v>
      </c>
      <c r="AD39" s="12"/>
      <c r="AH39" s="12"/>
    </row>
    <row r="40" spans="1:34">
      <c r="A40" s="691">
        <v>39</v>
      </c>
      <c r="B40" s="27">
        <v>44556</v>
      </c>
      <c r="C40" s="183">
        <v>13</v>
      </c>
      <c r="D40" s="27" t="s">
        <v>597</v>
      </c>
      <c r="E40" s="27" t="s">
        <v>626</v>
      </c>
      <c r="F40" s="27" t="s">
        <v>531</v>
      </c>
      <c r="G40" s="183"/>
      <c r="H40" s="183"/>
      <c r="I40" s="183">
        <v>13</v>
      </c>
      <c r="J40" s="183">
        <v>10</v>
      </c>
      <c r="K40" s="183">
        <v>9</v>
      </c>
      <c r="L40" s="183">
        <v>4</v>
      </c>
      <c r="M40" s="183">
        <v>2</v>
      </c>
      <c r="N40" s="183">
        <v>1</v>
      </c>
      <c r="O40" s="116" t="b">
        <v>1</v>
      </c>
      <c r="P40" s="693" t="str">
        <f t="shared" si="21"/>
        <v>OFF</v>
      </c>
      <c r="Q40" s="34" t="str">
        <f t="shared" si="14"/>
        <v>Bradford</v>
      </c>
      <c r="R40" s="34" t="str">
        <f t="shared" si="15"/>
        <v>Harrogate</v>
      </c>
      <c r="S40" s="33" t="str">
        <f t="shared" si="16"/>
        <v/>
      </c>
      <c r="T40" s="34" t="str">
        <f t="shared" si="17"/>
        <v/>
      </c>
      <c r="U40" s="29" t="str">
        <f t="shared" si="8"/>
        <v>Bradford  v  Harrogate  OFF</v>
      </c>
      <c r="V40" s="32" t="str">
        <f t="shared" si="9"/>
        <v>Bradford - Harrogate OFF</v>
      </c>
      <c r="W40" t="str">
        <f t="shared" si="10"/>
        <v>13/10  9/4  2/1</v>
      </c>
      <c r="X40" s="18" t="str">
        <f t="shared" si="18"/>
        <v>13/10</v>
      </c>
      <c r="Y40" s="18" t="str">
        <f t="shared" si="19"/>
        <v>9/4</v>
      </c>
      <c r="Z40" s="18" t="str">
        <f t="shared" si="20"/>
        <v>2/1</v>
      </c>
      <c r="AA40" s="194">
        <f t="shared" si="11"/>
        <v>2.2999999999999998</v>
      </c>
      <c r="AB40" s="194">
        <f t="shared" si="12"/>
        <v>3.25</v>
      </c>
      <c r="AC40" s="194">
        <f t="shared" si="13"/>
        <v>3</v>
      </c>
      <c r="AD40" s="12"/>
      <c r="AH40" s="12"/>
    </row>
    <row r="41" spans="1:34">
      <c r="A41" s="691">
        <v>40</v>
      </c>
      <c r="B41" s="27">
        <v>44556</v>
      </c>
      <c r="C41" s="183">
        <v>13</v>
      </c>
      <c r="D41" s="27" t="s">
        <v>597</v>
      </c>
      <c r="E41" s="27" t="s">
        <v>627</v>
      </c>
      <c r="F41" s="27" t="s">
        <v>566</v>
      </c>
      <c r="G41" s="183"/>
      <c r="H41" s="183"/>
      <c r="I41" s="183">
        <v>8</v>
      </c>
      <c r="J41" s="183">
        <v>5</v>
      </c>
      <c r="K41" s="183">
        <v>11</v>
      </c>
      <c r="L41" s="183">
        <v>5</v>
      </c>
      <c r="M41" s="183">
        <v>17</v>
      </c>
      <c r="N41" s="183">
        <v>10</v>
      </c>
      <c r="O41" s="116" t="b">
        <v>1</v>
      </c>
      <c r="P41" s="693" t="str">
        <f t="shared" si="21"/>
        <v>OFF</v>
      </c>
      <c r="Q41" s="34" t="str">
        <f t="shared" si="14"/>
        <v>Bristol R</v>
      </c>
      <c r="R41" s="34" t="str">
        <f t="shared" si="15"/>
        <v>Sutton</v>
      </c>
      <c r="S41" s="33" t="str">
        <f t="shared" si="16"/>
        <v/>
      </c>
      <c r="T41" s="34" t="str">
        <f t="shared" si="17"/>
        <v/>
      </c>
      <c r="U41" s="29" t="str">
        <f t="shared" si="8"/>
        <v>Bristol R  v  Sutton  OFF</v>
      </c>
      <c r="V41" s="32" t="str">
        <f t="shared" si="9"/>
        <v>Bristol R - Sutton OFF</v>
      </c>
      <c r="W41" t="str">
        <f t="shared" si="10"/>
        <v>8/5  11/5  17/10</v>
      </c>
      <c r="X41" s="18" t="str">
        <f t="shared" si="18"/>
        <v>8/5</v>
      </c>
      <c r="Y41" s="18" t="str">
        <f t="shared" si="19"/>
        <v>11/5</v>
      </c>
      <c r="Z41" s="18" t="str">
        <f t="shared" si="20"/>
        <v>17/10</v>
      </c>
      <c r="AA41" s="194">
        <f t="shared" si="11"/>
        <v>2.6</v>
      </c>
      <c r="AB41" s="194">
        <f t="shared" si="12"/>
        <v>3.2</v>
      </c>
      <c r="AC41" s="194">
        <f t="shared" si="13"/>
        <v>2.7</v>
      </c>
      <c r="AD41" s="12"/>
      <c r="AH41" s="12"/>
    </row>
    <row r="42" spans="1:34">
      <c r="A42" s="691">
        <v>41</v>
      </c>
      <c r="B42" s="27">
        <v>44556</v>
      </c>
      <c r="C42" s="183">
        <v>13</v>
      </c>
      <c r="D42" s="27" t="s">
        <v>597</v>
      </c>
      <c r="E42" s="27" t="s">
        <v>628</v>
      </c>
      <c r="F42" s="27" t="s">
        <v>557</v>
      </c>
      <c r="G42" s="183"/>
      <c r="H42" s="183"/>
      <c r="I42" s="183">
        <v>7</v>
      </c>
      <c r="J42" s="183">
        <v>4</v>
      </c>
      <c r="K42" s="183">
        <v>9</v>
      </c>
      <c r="L42" s="183">
        <v>4</v>
      </c>
      <c r="M42" s="183">
        <v>6</v>
      </c>
      <c r="N42" s="183">
        <v>4</v>
      </c>
      <c r="O42" s="116" t="b">
        <v>1</v>
      </c>
      <c r="P42" s="693" t="str">
        <f t="shared" si="21"/>
        <v>OFF</v>
      </c>
      <c r="Q42" s="34" t="str">
        <f t="shared" si="14"/>
        <v>Carlisle</v>
      </c>
      <c r="R42" s="34" t="str">
        <f t="shared" si="15"/>
        <v>Rochdale</v>
      </c>
      <c r="S42" s="33" t="str">
        <f t="shared" si="16"/>
        <v/>
      </c>
      <c r="T42" s="34" t="str">
        <f t="shared" si="17"/>
        <v/>
      </c>
      <c r="U42" s="29" t="str">
        <f t="shared" si="8"/>
        <v>Carlisle  v  Rochdale  OFF</v>
      </c>
      <c r="V42" s="32" t="str">
        <f t="shared" si="9"/>
        <v>Carlisle - Rochdale OFF</v>
      </c>
      <c r="W42" t="str">
        <f t="shared" si="10"/>
        <v>7/4  9/4  6/4</v>
      </c>
      <c r="X42" s="18" t="str">
        <f t="shared" si="18"/>
        <v>7/4</v>
      </c>
      <c r="Y42" s="18" t="str">
        <f t="shared" si="19"/>
        <v>9/4</v>
      </c>
      <c r="Z42" s="18" t="str">
        <f t="shared" si="20"/>
        <v>6/4</v>
      </c>
      <c r="AA42" s="194">
        <f t="shared" si="11"/>
        <v>2.75</v>
      </c>
      <c r="AB42" s="194">
        <f t="shared" si="12"/>
        <v>3.25</v>
      </c>
      <c r="AC42" s="194">
        <f t="shared" si="13"/>
        <v>2.5</v>
      </c>
      <c r="AD42" s="12"/>
      <c r="AH42" s="12"/>
    </row>
    <row r="43" spans="1:34">
      <c r="A43" s="691">
        <v>42</v>
      </c>
      <c r="B43" s="27">
        <v>44556</v>
      </c>
      <c r="C43" s="183">
        <v>13</v>
      </c>
      <c r="D43" s="27" t="s">
        <v>597</v>
      </c>
      <c r="E43" s="27" t="s">
        <v>629</v>
      </c>
      <c r="F43" s="23" t="s">
        <v>556</v>
      </c>
      <c r="G43" s="183"/>
      <c r="H43" s="183"/>
      <c r="I43" s="183">
        <v>5</v>
      </c>
      <c r="J43" s="183">
        <v>2</v>
      </c>
      <c r="K43" s="183">
        <v>12</v>
      </c>
      <c r="L43" s="183">
        <v>5</v>
      </c>
      <c r="M43" s="183">
        <v>21</v>
      </c>
      <c r="N43" s="183">
        <v>20</v>
      </c>
      <c r="O43" s="116" t="b">
        <v>1</v>
      </c>
      <c r="P43" s="693" t="str">
        <f t="shared" si="21"/>
        <v>OFF</v>
      </c>
      <c r="Q43" s="34" t="str">
        <f t="shared" si="14"/>
        <v>Colchester</v>
      </c>
      <c r="R43" s="34" t="str">
        <f t="shared" si="15"/>
        <v>Orient</v>
      </c>
      <c r="S43" s="33" t="str">
        <f t="shared" si="16"/>
        <v/>
      </c>
      <c r="T43" s="34" t="str">
        <f t="shared" si="17"/>
        <v/>
      </c>
      <c r="U43" s="29" t="str">
        <f t="shared" si="8"/>
        <v>Colchester  v  Orient  OFF</v>
      </c>
      <c r="V43" s="32" t="str">
        <f t="shared" si="9"/>
        <v>Colchester - Orient OFF</v>
      </c>
      <c r="W43" t="str">
        <f t="shared" si="10"/>
        <v>5/2  12/5  21/20</v>
      </c>
      <c r="X43" s="18" t="str">
        <f t="shared" si="18"/>
        <v>5/2</v>
      </c>
      <c r="Y43" s="18" t="str">
        <f t="shared" si="19"/>
        <v>12/5</v>
      </c>
      <c r="Z43" s="18" t="str">
        <f t="shared" si="20"/>
        <v>21/20</v>
      </c>
      <c r="AA43" s="194">
        <f t="shared" si="11"/>
        <v>3.5</v>
      </c>
      <c r="AB43" s="194">
        <f t="shared" si="12"/>
        <v>3.4</v>
      </c>
      <c r="AC43" s="194">
        <f t="shared" si="13"/>
        <v>2.0499999999999998</v>
      </c>
      <c r="AD43" s="12"/>
      <c r="AH43" s="12"/>
    </row>
    <row r="44" spans="1:34">
      <c r="A44" s="691">
        <v>43</v>
      </c>
      <c r="B44" s="27">
        <v>44556</v>
      </c>
      <c r="C44" s="183">
        <v>13</v>
      </c>
      <c r="D44" s="27" t="s">
        <v>597</v>
      </c>
      <c r="E44" s="23" t="s">
        <v>630</v>
      </c>
      <c r="F44" s="23" t="s">
        <v>558</v>
      </c>
      <c r="G44" s="183"/>
      <c r="H44" s="183"/>
      <c r="I44" s="183">
        <v>23</v>
      </c>
      <c r="J44" s="183">
        <v>20</v>
      </c>
      <c r="K44" s="183">
        <v>12</v>
      </c>
      <c r="L44" s="183">
        <v>5</v>
      </c>
      <c r="M44" s="183">
        <v>9</v>
      </c>
      <c r="N44" s="183">
        <v>4</v>
      </c>
      <c r="O44" s="116" t="b">
        <v>1</v>
      </c>
      <c r="P44" s="693" t="str">
        <f t="shared" si="21"/>
        <v>OFF</v>
      </c>
      <c r="Q44" s="34" t="str">
        <f t="shared" si="14"/>
        <v>Exeter</v>
      </c>
      <c r="R44" s="34" t="str">
        <f t="shared" si="15"/>
        <v>Swindon</v>
      </c>
      <c r="S44" s="33" t="str">
        <f t="shared" si="16"/>
        <v/>
      </c>
      <c r="T44" s="34" t="str">
        <f t="shared" si="17"/>
        <v/>
      </c>
      <c r="U44" s="29" t="str">
        <f t="shared" si="8"/>
        <v>Exeter  v  Swindon  OFF</v>
      </c>
      <c r="V44" s="32" t="str">
        <f t="shared" si="9"/>
        <v>Exeter - Swindon OFF</v>
      </c>
      <c r="W44" t="str">
        <f t="shared" si="10"/>
        <v>23/20  12/5  9/4</v>
      </c>
      <c r="X44" s="18" t="str">
        <f t="shared" si="18"/>
        <v>23/20</v>
      </c>
      <c r="Y44" s="18" t="str">
        <f t="shared" si="19"/>
        <v>12/5</v>
      </c>
      <c r="Z44" s="18" t="str">
        <f t="shared" si="20"/>
        <v>9/4</v>
      </c>
      <c r="AA44" s="194">
        <f t="shared" si="11"/>
        <v>2.15</v>
      </c>
      <c r="AB44" s="194">
        <f t="shared" si="12"/>
        <v>3.4</v>
      </c>
      <c r="AC44" s="194">
        <f t="shared" si="13"/>
        <v>3.25</v>
      </c>
      <c r="AD44" s="12"/>
      <c r="AH44" s="12"/>
    </row>
    <row r="45" spans="1:34">
      <c r="A45" s="691">
        <v>44</v>
      </c>
      <c r="B45" s="27">
        <v>44556</v>
      </c>
      <c r="C45" s="183">
        <v>13</v>
      </c>
      <c r="D45" s="27" t="s">
        <v>597</v>
      </c>
      <c r="E45" s="23" t="s">
        <v>598</v>
      </c>
      <c r="F45" s="23" t="s">
        <v>633</v>
      </c>
      <c r="G45" s="183"/>
      <c r="H45" s="183"/>
      <c r="I45" s="183">
        <v>13</v>
      </c>
      <c r="J45" s="183">
        <v>8</v>
      </c>
      <c r="K45" s="183">
        <v>9</v>
      </c>
      <c r="L45" s="183">
        <v>4</v>
      </c>
      <c r="M45" s="183">
        <v>8</v>
      </c>
      <c r="N45" s="183">
        <v>5</v>
      </c>
      <c r="O45" s="116" t="b">
        <v>1</v>
      </c>
      <c r="P45" s="693" t="str">
        <f t="shared" si="21"/>
        <v>OFF</v>
      </c>
      <c r="Q45" s="34" t="str">
        <f t="shared" si="14"/>
        <v>Newport</v>
      </c>
      <c r="R45" s="34" t="str">
        <f t="shared" si="15"/>
        <v>Forest Green</v>
      </c>
      <c r="S45" s="33" t="str">
        <f t="shared" si="16"/>
        <v/>
      </c>
      <c r="T45" s="34" t="str">
        <f t="shared" si="17"/>
        <v/>
      </c>
      <c r="U45" s="29" t="str">
        <f t="shared" si="8"/>
        <v>Newport  v  Forest Green  OFF</v>
      </c>
      <c r="V45" s="32" t="str">
        <f t="shared" si="9"/>
        <v>Newport - Forest Green OFF</v>
      </c>
      <c r="W45" t="str">
        <f>X45&amp;"  "&amp;Y45&amp;"  "&amp;Z45</f>
        <v>13/8  9/4  8/5</v>
      </c>
      <c r="X45" s="18" t="str">
        <f t="shared" si="18"/>
        <v>13/8</v>
      </c>
      <c r="Y45" s="18" t="str">
        <f t="shared" si="19"/>
        <v>9/4</v>
      </c>
      <c r="Z45" s="18" t="str">
        <f t="shared" si="20"/>
        <v>8/5</v>
      </c>
      <c r="AA45" s="194">
        <f t="shared" si="11"/>
        <v>2.625</v>
      </c>
      <c r="AB45" s="194">
        <f t="shared" si="12"/>
        <v>3.25</v>
      </c>
      <c r="AC45" s="194">
        <f t="shared" si="13"/>
        <v>2.6</v>
      </c>
      <c r="AD45" s="12"/>
      <c r="AH45" s="12"/>
    </row>
    <row r="46" spans="1:34">
      <c r="A46" s="691">
        <v>45</v>
      </c>
      <c r="B46" s="27">
        <v>44556</v>
      </c>
      <c r="C46" s="183">
        <v>13</v>
      </c>
      <c r="D46" s="27" t="s">
        <v>597</v>
      </c>
      <c r="E46" s="27" t="s">
        <v>634</v>
      </c>
      <c r="F46" s="27" t="s">
        <v>555</v>
      </c>
      <c r="G46" s="183"/>
      <c r="H46" s="183"/>
      <c r="I46" s="183">
        <v>21</v>
      </c>
      <c r="J46" s="183">
        <v>20</v>
      </c>
      <c r="K46" s="183">
        <v>23</v>
      </c>
      <c r="L46" s="183">
        <v>10</v>
      </c>
      <c r="M46" s="183">
        <v>13</v>
      </c>
      <c r="N46" s="183">
        <v>5</v>
      </c>
      <c r="O46" s="116" t="b">
        <v>1</v>
      </c>
      <c r="P46" s="693" t="str">
        <f t="shared" si="7"/>
        <v>OFF</v>
      </c>
      <c r="Q46" s="34" t="str">
        <f t="shared" si="14"/>
        <v>Northampton</v>
      </c>
      <c r="R46" s="34" t="str">
        <f t="shared" si="15"/>
        <v>Walsall</v>
      </c>
      <c r="S46" s="33" t="str">
        <f t="shared" si="16"/>
        <v/>
      </c>
      <c r="T46" s="34" t="str">
        <f t="shared" si="17"/>
        <v/>
      </c>
      <c r="U46" s="29" t="str">
        <f t="shared" si="8"/>
        <v>Northampton  v  Walsall  OFF</v>
      </c>
      <c r="V46" s="32" t="str">
        <f t="shared" si="9"/>
        <v>Northampton - Walsall OFF</v>
      </c>
      <c r="W46" t="str">
        <f>X46&amp;"  "&amp;Y46&amp;"  "&amp;Z46</f>
        <v>21/20  23/10  13/5</v>
      </c>
      <c r="X46" s="18" t="str">
        <f t="shared" si="18"/>
        <v>21/20</v>
      </c>
      <c r="Y46" s="18" t="str">
        <f t="shared" si="19"/>
        <v>23/10</v>
      </c>
      <c r="Z46" s="18" t="str">
        <f t="shared" si="20"/>
        <v>13/5</v>
      </c>
      <c r="AA46" s="194">
        <f t="shared" si="11"/>
        <v>2.0499999999999998</v>
      </c>
      <c r="AB46" s="194">
        <f t="shared" si="12"/>
        <v>3.3</v>
      </c>
      <c r="AC46" s="194">
        <f t="shared" si="13"/>
        <v>3.6</v>
      </c>
    </row>
    <row r="47" spans="1:34">
      <c r="A47" s="691">
        <v>46</v>
      </c>
      <c r="B47" s="27">
        <v>44556</v>
      </c>
      <c r="C47" s="183">
        <v>13</v>
      </c>
      <c r="D47" s="27" t="s">
        <v>597</v>
      </c>
      <c r="E47" s="27" t="s">
        <v>636</v>
      </c>
      <c r="F47" s="27" t="s">
        <v>565</v>
      </c>
      <c r="G47" s="183"/>
      <c r="H47" s="183"/>
      <c r="I47" s="183">
        <v>11</v>
      </c>
      <c r="J47" s="183">
        <v>10</v>
      </c>
      <c r="K47" s="183">
        <v>23</v>
      </c>
      <c r="L47" s="183">
        <v>10</v>
      </c>
      <c r="M47" s="183">
        <v>12</v>
      </c>
      <c r="N47" s="183">
        <v>5</v>
      </c>
      <c r="O47" s="116" t="b">
        <v>1</v>
      </c>
      <c r="P47" s="693" t="str">
        <f t="shared" si="7"/>
        <v>OFF</v>
      </c>
      <c r="Q47" s="34" t="str">
        <f t="shared" si="14"/>
        <v>Port Vale</v>
      </c>
      <c r="R47" s="34" t="str">
        <f t="shared" si="15"/>
        <v>Salford</v>
      </c>
      <c r="S47" s="33" t="str">
        <f t="shared" si="16"/>
        <v/>
      </c>
      <c r="T47" s="34" t="str">
        <f t="shared" si="17"/>
        <v/>
      </c>
      <c r="U47" s="29" t="str">
        <f t="shared" si="8"/>
        <v>Port Vale  v  Salford  OFF</v>
      </c>
      <c r="V47" s="32" t="str">
        <f t="shared" si="9"/>
        <v>Port Vale - Salford OFF</v>
      </c>
      <c r="W47" t="str">
        <f>X47&amp;"  "&amp;Y47&amp;"  "&amp;Z47</f>
        <v>11/10  23/10  12/5</v>
      </c>
      <c r="X47" s="18" t="str">
        <f t="shared" si="18"/>
        <v>11/10</v>
      </c>
      <c r="Y47" s="18" t="str">
        <f t="shared" si="19"/>
        <v>23/10</v>
      </c>
      <c r="Z47" s="18" t="str">
        <f t="shared" si="20"/>
        <v>12/5</v>
      </c>
      <c r="AA47" s="194">
        <f t="shared" si="11"/>
        <v>2.1</v>
      </c>
      <c r="AB47" s="194">
        <f t="shared" si="12"/>
        <v>3.3</v>
      </c>
      <c r="AC47" s="194">
        <f t="shared" si="13"/>
        <v>3.4</v>
      </c>
    </row>
    <row r="48" spans="1:34">
      <c r="A48" s="691">
        <v>1</v>
      </c>
      <c r="Q48" s="36" t="str">
        <f t="shared" ref="Q48:Q60" si="22">TRIM(E48)</f>
        <v/>
      </c>
      <c r="R48" s="36" t="str">
        <f t="shared" ref="R48:R60" si="23">TRIM(F48)</f>
        <v/>
      </c>
      <c r="S48" s="35" t="str">
        <f t="shared" ref="S48:S60" si="24">TRIM(G48)</f>
        <v/>
      </c>
      <c r="T48" s="36" t="str">
        <f t="shared" ref="T48:T60" si="25">TRIM(H48)</f>
        <v/>
      </c>
      <c r="U48" s="29" t="str">
        <f t="shared" ref="U48:U60" si="26">IF(B48="","",IF(O48=TRUE,Q48&amp;"  v  "&amp;R48&amp;"  OFF",Q48&amp;"  v  "&amp;R48&amp;"   "&amp;W48))</f>
        <v/>
      </c>
      <c r="V48" s="32" t="str">
        <f t="shared" ref="V48:V60" si="27">Q48&amp;" "&amp;S48&amp;"-"&amp;T48&amp;" "&amp;R48&amp;" "&amp;P48</f>
        <v xml:space="preserve"> -  </v>
      </c>
      <c r="W48" t="str">
        <f t="shared" ref="W48:W60" si="28">X48&amp;"  "&amp;Y48&amp;"  "&amp;Z48</f>
        <v>/  /  /</v>
      </c>
      <c r="X48" s="18" t="str">
        <f t="shared" ref="X48:X60" si="29">CONCATENATE(I48,"/",J48)</f>
        <v>/</v>
      </c>
      <c r="Y48" s="18" t="str">
        <f t="shared" ref="Y48:Y60" si="30">CONCATENATE(K48,"/",L48)</f>
        <v>/</v>
      </c>
      <c r="Z48" s="18" t="str">
        <f t="shared" ref="Z48:Z60" si="31">CONCATENATE(M48,"/",N48)</f>
        <v>/</v>
      </c>
      <c r="AA48" s="194" t="str">
        <f t="shared" ref="AA48:AA60" si="32">IF(B48="","",1+(I48/J48))</f>
        <v/>
      </c>
      <c r="AB48" s="194" t="str">
        <f t="shared" ref="AB48:AB60" si="33">IF(D48="","",1+(K48/L48))</f>
        <v/>
      </c>
      <c r="AC48" s="194" t="str">
        <f t="shared" ref="AC48:AC60" si="34">IF(E48="","",1+(M48/N48))</f>
        <v/>
      </c>
    </row>
    <row r="49" spans="1:29">
      <c r="A49" s="691">
        <v>2</v>
      </c>
      <c r="Q49" s="36" t="str">
        <f t="shared" si="22"/>
        <v/>
      </c>
      <c r="R49" s="36" t="str">
        <f t="shared" si="23"/>
        <v/>
      </c>
      <c r="S49" s="35" t="str">
        <f t="shared" si="24"/>
        <v/>
      </c>
      <c r="T49" s="36" t="str">
        <f t="shared" si="25"/>
        <v/>
      </c>
      <c r="U49" s="29" t="str">
        <f t="shared" si="26"/>
        <v/>
      </c>
      <c r="V49" s="32" t="str">
        <f t="shared" si="27"/>
        <v xml:space="preserve"> -  </v>
      </c>
      <c r="W49" t="str">
        <f t="shared" si="28"/>
        <v>/  /  /</v>
      </c>
      <c r="X49" s="18" t="str">
        <f t="shared" si="29"/>
        <v>/</v>
      </c>
      <c r="Y49" s="18" t="str">
        <f t="shared" si="30"/>
        <v>/</v>
      </c>
      <c r="Z49" s="18" t="str">
        <f t="shared" si="31"/>
        <v>/</v>
      </c>
      <c r="AA49" s="194" t="str">
        <f t="shared" si="32"/>
        <v/>
      </c>
      <c r="AB49" s="194" t="str">
        <f t="shared" si="33"/>
        <v/>
      </c>
      <c r="AC49" s="194" t="str">
        <f t="shared" si="34"/>
        <v/>
      </c>
    </row>
    <row r="50" spans="1:29">
      <c r="A50" s="691">
        <v>3</v>
      </c>
      <c r="Q50" s="36" t="str">
        <f t="shared" si="22"/>
        <v/>
      </c>
      <c r="R50" s="36" t="str">
        <f t="shared" si="23"/>
        <v/>
      </c>
      <c r="S50" s="35" t="str">
        <f t="shared" si="24"/>
        <v/>
      </c>
      <c r="T50" s="36" t="str">
        <f t="shared" si="25"/>
        <v/>
      </c>
      <c r="U50" s="29" t="str">
        <f t="shared" si="26"/>
        <v/>
      </c>
      <c r="V50" s="32" t="str">
        <f t="shared" si="27"/>
        <v xml:space="preserve"> -  </v>
      </c>
      <c r="W50" t="str">
        <f t="shared" si="28"/>
        <v>/  /  /</v>
      </c>
      <c r="X50" s="18" t="str">
        <f t="shared" si="29"/>
        <v>/</v>
      </c>
      <c r="Y50" s="18" t="str">
        <f t="shared" si="30"/>
        <v>/</v>
      </c>
      <c r="Z50" s="18" t="str">
        <f t="shared" si="31"/>
        <v>/</v>
      </c>
      <c r="AA50" s="194" t="str">
        <f t="shared" si="32"/>
        <v/>
      </c>
      <c r="AB50" s="194" t="str">
        <f t="shared" si="33"/>
        <v/>
      </c>
      <c r="AC50" s="194" t="str">
        <f t="shared" si="34"/>
        <v/>
      </c>
    </row>
    <row r="51" spans="1:29">
      <c r="A51" s="691">
        <v>4</v>
      </c>
      <c r="Q51" s="36" t="str">
        <f t="shared" si="22"/>
        <v/>
      </c>
      <c r="R51" s="36" t="str">
        <f t="shared" si="23"/>
        <v/>
      </c>
      <c r="S51" s="35" t="str">
        <f t="shared" si="24"/>
        <v/>
      </c>
      <c r="T51" s="36" t="str">
        <f t="shared" si="25"/>
        <v/>
      </c>
      <c r="U51" s="29" t="str">
        <f t="shared" si="26"/>
        <v/>
      </c>
      <c r="V51" s="32" t="str">
        <f t="shared" si="27"/>
        <v xml:space="preserve"> -  </v>
      </c>
      <c r="W51" t="str">
        <f t="shared" si="28"/>
        <v>/  /  /</v>
      </c>
      <c r="X51" s="18" t="str">
        <f t="shared" si="29"/>
        <v>/</v>
      </c>
      <c r="Y51" s="18" t="str">
        <f t="shared" si="30"/>
        <v>/</v>
      </c>
      <c r="Z51" s="18" t="str">
        <f t="shared" si="31"/>
        <v>/</v>
      </c>
      <c r="AA51" s="194" t="str">
        <f t="shared" si="32"/>
        <v/>
      </c>
      <c r="AB51" s="194" t="str">
        <f t="shared" si="33"/>
        <v/>
      </c>
      <c r="AC51" s="194" t="str">
        <f t="shared" si="34"/>
        <v/>
      </c>
    </row>
    <row r="52" spans="1:29">
      <c r="A52" s="691">
        <v>5</v>
      </c>
      <c r="Q52" s="36" t="str">
        <f t="shared" si="22"/>
        <v/>
      </c>
      <c r="R52" s="36" t="str">
        <f t="shared" si="23"/>
        <v/>
      </c>
      <c r="S52" s="35" t="str">
        <f t="shared" si="24"/>
        <v/>
      </c>
      <c r="T52" s="36" t="str">
        <f t="shared" si="25"/>
        <v/>
      </c>
      <c r="U52" s="29" t="str">
        <f t="shared" si="26"/>
        <v/>
      </c>
      <c r="V52" s="32" t="str">
        <f t="shared" si="27"/>
        <v xml:space="preserve"> -  </v>
      </c>
      <c r="W52" t="str">
        <f t="shared" si="28"/>
        <v>/  /  /</v>
      </c>
      <c r="X52" s="18" t="str">
        <f t="shared" si="29"/>
        <v>/</v>
      </c>
      <c r="Y52" s="18" t="str">
        <f t="shared" si="30"/>
        <v>/</v>
      </c>
      <c r="Z52" s="18" t="str">
        <f t="shared" si="31"/>
        <v>/</v>
      </c>
      <c r="AA52" s="194" t="str">
        <f t="shared" si="32"/>
        <v/>
      </c>
      <c r="AB52" s="194" t="str">
        <f t="shared" si="33"/>
        <v/>
      </c>
      <c r="AC52" s="194" t="str">
        <f t="shared" si="34"/>
        <v/>
      </c>
    </row>
    <row r="53" spans="1:29">
      <c r="A53" s="691">
        <v>6</v>
      </c>
      <c r="Q53" s="36" t="str">
        <f t="shared" si="22"/>
        <v/>
      </c>
      <c r="R53" s="36" t="str">
        <f t="shared" si="23"/>
        <v/>
      </c>
      <c r="S53" s="35" t="str">
        <f t="shared" si="24"/>
        <v/>
      </c>
      <c r="T53" s="36" t="str">
        <f t="shared" si="25"/>
        <v/>
      </c>
      <c r="U53" s="29" t="str">
        <f t="shared" si="26"/>
        <v/>
      </c>
      <c r="V53" s="32" t="str">
        <f t="shared" si="27"/>
        <v xml:space="preserve"> -  </v>
      </c>
      <c r="W53" t="str">
        <f t="shared" si="28"/>
        <v>/  /  /</v>
      </c>
      <c r="X53" s="18" t="str">
        <f t="shared" si="29"/>
        <v>/</v>
      </c>
      <c r="Y53" s="18" t="str">
        <f t="shared" si="30"/>
        <v>/</v>
      </c>
      <c r="Z53" s="18" t="str">
        <f t="shared" si="31"/>
        <v>/</v>
      </c>
      <c r="AA53" s="194" t="str">
        <f t="shared" si="32"/>
        <v/>
      </c>
      <c r="AB53" s="194" t="str">
        <f t="shared" si="33"/>
        <v/>
      </c>
      <c r="AC53" s="194" t="str">
        <f t="shared" si="34"/>
        <v/>
      </c>
    </row>
    <row r="54" spans="1:29">
      <c r="A54" s="691">
        <v>7</v>
      </c>
      <c r="Q54" s="36" t="str">
        <f t="shared" si="22"/>
        <v/>
      </c>
      <c r="R54" s="36" t="str">
        <f t="shared" si="23"/>
        <v/>
      </c>
      <c r="S54" s="35" t="str">
        <f t="shared" si="24"/>
        <v/>
      </c>
      <c r="T54" s="36" t="str">
        <f t="shared" si="25"/>
        <v/>
      </c>
      <c r="U54" s="29" t="str">
        <f t="shared" si="26"/>
        <v/>
      </c>
      <c r="V54" s="32" t="str">
        <f t="shared" si="27"/>
        <v xml:space="preserve"> -  </v>
      </c>
      <c r="W54" t="str">
        <f t="shared" si="28"/>
        <v>/  /  /</v>
      </c>
      <c r="X54" s="18" t="str">
        <f t="shared" si="29"/>
        <v>/</v>
      </c>
      <c r="Y54" s="18" t="str">
        <f t="shared" si="30"/>
        <v>/</v>
      </c>
      <c r="Z54" s="18" t="str">
        <f t="shared" si="31"/>
        <v>/</v>
      </c>
      <c r="AA54" s="194" t="str">
        <f t="shared" si="32"/>
        <v/>
      </c>
      <c r="AB54" s="194" t="str">
        <f t="shared" si="33"/>
        <v/>
      </c>
      <c r="AC54" s="194" t="str">
        <f t="shared" si="34"/>
        <v/>
      </c>
    </row>
    <row r="55" spans="1:29">
      <c r="A55" s="691">
        <v>8</v>
      </c>
      <c r="Q55" s="36" t="str">
        <f t="shared" si="22"/>
        <v/>
      </c>
      <c r="R55" s="36" t="str">
        <f t="shared" si="23"/>
        <v/>
      </c>
      <c r="S55" s="35" t="str">
        <f t="shared" si="24"/>
        <v/>
      </c>
      <c r="T55" s="36" t="str">
        <f t="shared" si="25"/>
        <v/>
      </c>
      <c r="U55" s="29" t="str">
        <f t="shared" si="26"/>
        <v/>
      </c>
      <c r="V55" s="32" t="str">
        <f t="shared" si="27"/>
        <v xml:space="preserve"> -  </v>
      </c>
      <c r="W55" t="str">
        <f t="shared" si="28"/>
        <v>/  /  /</v>
      </c>
      <c r="X55" s="18" t="str">
        <f t="shared" si="29"/>
        <v>/</v>
      </c>
      <c r="Y55" s="18" t="str">
        <f t="shared" si="30"/>
        <v>/</v>
      </c>
      <c r="Z55" s="18" t="str">
        <f t="shared" si="31"/>
        <v>/</v>
      </c>
      <c r="AA55" s="194" t="str">
        <f t="shared" si="32"/>
        <v/>
      </c>
      <c r="AB55" s="194" t="str">
        <f t="shared" si="33"/>
        <v/>
      </c>
      <c r="AC55" s="194" t="str">
        <f t="shared" si="34"/>
        <v/>
      </c>
    </row>
    <row r="56" spans="1:29">
      <c r="A56" s="691">
        <v>9</v>
      </c>
      <c r="Q56" s="36" t="str">
        <f t="shared" si="22"/>
        <v/>
      </c>
      <c r="R56" s="36" t="str">
        <f t="shared" si="23"/>
        <v/>
      </c>
      <c r="S56" s="35" t="str">
        <f t="shared" si="24"/>
        <v/>
      </c>
      <c r="T56" s="36" t="str">
        <f t="shared" si="25"/>
        <v/>
      </c>
      <c r="U56" s="29" t="str">
        <f t="shared" si="26"/>
        <v/>
      </c>
      <c r="V56" s="32" t="str">
        <f t="shared" si="27"/>
        <v xml:space="preserve"> -  </v>
      </c>
      <c r="W56" t="str">
        <f t="shared" si="28"/>
        <v>/  /  /</v>
      </c>
      <c r="X56" s="18" t="str">
        <f t="shared" si="29"/>
        <v>/</v>
      </c>
      <c r="Y56" s="18" t="str">
        <f t="shared" si="30"/>
        <v>/</v>
      </c>
      <c r="Z56" s="18" t="str">
        <f t="shared" si="31"/>
        <v>/</v>
      </c>
      <c r="AA56" s="194" t="str">
        <f t="shared" si="32"/>
        <v/>
      </c>
      <c r="AB56" s="194" t="str">
        <f t="shared" si="33"/>
        <v/>
      </c>
      <c r="AC56" s="194" t="str">
        <f t="shared" si="34"/>
        <v/>
      </c>
    </row>
    <row r="57" spans="1:29">
      <c r="A57" s="691">
        <v>10</v>
      </c>
      <c r="Q57" s="36" t="str">
        <f t="shared" si="22"/>
        <v/>
      </c>
      <c r="R57" s="36" t="str">
        <f t="shared" si="23"/>
        <v/>
      </c>
      <c r="S57" s="35" t="str">
        <f t="shared" si="24"/>
        <v/>
      </c>
      <c r="T57" s="36" t="str">
        <f t="shared" si="25"/>
        <v/>
      </c>
      <c r="U57" s="29" t="str">
        <f t="shared" si="26"/>
        <v/>
      </c>
      <c r="V57" s="32" t="str">
        <f t="shared" si="27"/>
        <v xml:space="preserve"> -  </v>
      </c>
      <c r="W57" t="str">
        <f t="shared" si="28"/>
        <v>/  /  /</v>
      </c>
      <c r="X57" s="18" t="str">
        <f t="shared" si="29"/>
        <v>/</v>
      </c>
      <c r="Y57" s="18" t="str">
        <f t="shared" si="30"/>
        <v>/</v>
      </c>
      <c r="Z57" s="18" t="str">
        <f t="shared" si="31"/>
        <v>/</v>
      </c>
      <c r="AA57" s="194" t="str">
        <f t="shared" si="32"/>
        <v/>
      </c>
      <c r="AB57" s="194" t="str">
        <f t="shared" si="33"/>
        <v/>
      </c>
      <c r="AC57" s="194" t="str">
        <f t="shared" si="34"/>
        <v/>
      </c>
    </row>
    <row r="58" spans="1:29">
      <c r="A58" s="691">
        <v>11</v>
      </c>
      <c r="Q58" s="36" t="str">
        <f t="shared" si="22"/>
        <v/>
      </c>
      <c r="R58" s="36" t="str">
        <f t="shared" si="23"/>
        <v/>
      </c>
      <c r="S58" s="35" t="str">
        <f t="shared" si="24"/>
        <v/>
      </c>
      <c r="T58" s="36" t="str">
        <f t="shared" si="25"/>
        <v/>
      </c>
      <c r="U58" s="29" t="str">
        <f t="shared" si="26"/>
        <v/>
      </c>
      <c r="V58" s="32" t="str">
        <f t="shared" si="27"/>
        <v xml:space="preserve"> -  </v>
      </c>
      <c r="W58" t="str">
        <f t="shared" si="28"/>
        <v>/  /  /</v>
      </c>
      <c r="X58" s="18" t="str">
        <f t="shared" si="29"/>
        <v>/</v>
      </c>
      <c r="Y58" s="18" t="str">
        <f t="shared" si="30"/>
        <v>/</v>
      </c>
      <c r="Z58" s="18" t="str">
        <f t="shared" si="31"/>
        <v>/</v>
      </c>
      <c r="AA58" s="194" t="str">
        <f t="shared" si="32"/>
        <v/>
      </c>
      <c r="AB58" s="194" t="str">
        <f t="shared" si="33"/>
        <v/>
      </c>
      <c r="AC58" s="194" t="str">
        <f t="shared" si="34"/>
        <v/>
      </c>
    </row>
    <row r="59" spans="1:29">
      <c r="A59" s="691">
        <v>12</v>
      </c>
      <c r="Q59" s="36" t="str">
        <f t="shared" si="22"/>
        <v/>
      </c>
      <c r="R59" s="36" t="str">
        <f t="shared" si="23"/>
        <v/>
      </c>
      <c r="S59" s="35" t="str">
        <f t="shared" si="24"/>
        <v/>
      </c>
      <c r="T59" s="36" t="str">
        <f t="shared" si="25"/>
        <v/>
      </c>
      <c r="U59" s="29" t="str">
        <f t="shared" si="26"/>
        <v/>
      </c>
      <c r="V59" s="32" t="str">
        <f t="shared" si="27"/>
        <v xml:space="preserve"> -  </v>
      </c>
      <c r="W59" t="str">
        <f t="shared" si="28"/>
        <v>/  /  /</v>
      </c>
      <c r="X59" s="18" t="str">
        <f t="shared" si="29"/>
        <v>/</v>
      </c>
      <c r="Y59" s="18" t="str">
        <f t="shared" si="30"/>
        <v>/</v>
      </c>
      <c r="Z59" s="18" t="str">
        <f t="shared" si="31"/>
        <v>/</v>
      </c>
      <c r="AA59" s="194" t="str">
        <f t="shared" si="32"/>
        <v/>
      </c>
      <c r="AB59" s="194" t="str">
        <f t="shared" si="33"/>
        <v/>
      </c>
      <c r="AC59" s="194" t="str">
        <f t="shared" si="34"/>
        <v/>
      </c>
    </row>
    <row r="60" spans="1:29">
      <c r="A60" s="691">
        <v>13</v>
      </c>
      <c r="Q60" s="36" t="str">
        <f t="shared" si="22"/>
        <v/>
      </c>
      <c r="R60" s="36" t="str">
        <f t="shared" si="23"/>
        <v/>
      </c>
      <c r="S60" s="35" t="str">
        <f t="shared" si="24"/>
        <v/>
      </c>
      <c r="T60" s="36" t="str">
        <f t="shared" si="25"/>
        <v/>
      </c>
      <c r="U60" s="29" t="str">
        <f t="shared" si="26"/>
        <v/>
      </c>
      <c r="V60" s="32" t="str">
        <f t="shared" si="27"/>
        <v xml:space="preserve"> -  </v>
      </c>
      <c r="W60" t="str">
        <f t="shared" si="28"/>
        <v>/  /  /</v>
      </c>
      <c r="X60" s="18" t="str">
        <f t="shared" si="29"/>
        <v>/</v>
      </c>
      <c r="Y60" s="18" t="str">
        <f t="shared" si="30"/>
        <v>/</v>
      </c>
      <c r="Z60" s="18" t="str">
        <f t="shared" si="31"/>
        <v>/</v>
      </c>
      <c r="AA60" s="194" t="str">
        <f t="shared" si="32"/>
        <v/>
      </c>
      <c r="AB60" s="194" t="str">
        <f t="shared" si="33"/>
        <v/>
      </c>
      <c r="AC60" s="194" t="str">
        <f t="shared" si="34"/>
        <v/>
      </c>
    </row>
    <row r="61" spans="1:29">
      <c r="A61" s="691">
        <v>14</v>
      </c>
      <c r="U61" s="29" t="str">
        <f t="shared" si="8"/>
        <v/>
      </c>
    </row>
    <row r="62" spans="1:29">
      <c r="A62" s="691">
        <v>15</v>
      </c>
      <c r="U62" s="29" t="str">
        <f t="shared" si="8"/>
        <v/>
      </c>
    </row>
    <row r="63" spans="1:29">
      <c r="A63" s="691">
        <v>16</v>
      </c>
      <c r="U63" s="29" t="str">
        <f t="shared" si="8"/>
        <v/>
      </c>
    </row>
    <row r="64" spans="1:29">
      <c r="A64" s="691">
        <v>17</v>
      </c>
      <c r="U64" s="29" t="str">
        <f t="shared" si="8"/>
        <v/>
      </c>
    </row>
    <row r="65" spans="1:21">
      <c r="A65" s="691">
        <v>18</v>
      </c>
      <c r="U65" s="29" t="str">
        <f t="shared" si="8"/>
        <v/>
      </c>
    </row>
    <row r="66" spans="1:21">
      <c r="A66" s="691">
        <v>19</v>
      </c>
      <c r="U66" s="29" t="str">
        <f t="shared" si="8"/>
        <v/>
      </c>
    </row>
    <row r="67" spans="1:21">
      <c r="A67" s="691">
        <v>20</v>
      </c>
      <c r="U67" s="29" t="str">
        <f t="shared" ref="U67:U80" si="35">IF(B67="","",IF(O67=TRUE,Q67&amp;"  v  "&amp;R67&amp;"  OFF",Q67&amp;"  v  "&amp;R67&amp;"   "&amp;W67))</f>
        <v/>
      </c>
    </row>
    <row r="68" spans="1:21">
      <c r="A68" s="691">
        <v>21</v>
      </c>
      <c r="U68" s="29" t="str">
        <f t="shared" si="35"/>
        <v/>
      </c>
    </row>
    <row r="69" spans="1:21">
      <c r="A69" s="691">
        <v>22</v>
      </c>
      <c r="U69" s="29" t="str">
        <f t="shared" si="35"/>
        <v/>
      </c>
    </row>
    <row r="70" spans="1:21">
      <c r="A70" s="691">
        <v>23</v>
      </c>
      <c r="U70" s="29" t="str">
        <f t="shared" si="35"/>
        <v/>
      </c>
    </row>
    <row r="71" spans="1:21">
      <c r="A71" s="691">
        <v>24</v>
      </c>
      <c r="U71" s="29" t="str">
        <f t="shared" si="35"/>
        <v/>
      </c>
    </row>
    <row r="72" spans="1:21">
      <c r="A72" s="691">
        <v>25</v>
      </c>
      <c r="U72" s="29" t="str">
        <f t="shared" si="35"/>
        <v/>
      </c>
    </row>
    <row r="73" spans="1:21">
      <c r="A73" s="691">
        <v>26</v>
      </c>
      <c r="U73" s="29" t="str">
        <f t="shared" si="35"/>
        <v/>
      </c>
    </row>
    <row r="74" spans="1:21">
      <c r="A74" s="691">
        <v>27</v>
      </c>
      <c r="U74" s="29" t="str">
        <f t="shared" si="35"/>
        <v/>
      </c>
    </row>
    <row r="75" spans="1:21">
      <c r="A75" s="691">
        <v>28</v>
      </c>
      <c r="U75" s="29" t="str">
        <f t="shared" si="35"/>
        <v/>
      </c>
    </row>
    <row r="76" spans="1:21">
      <c r="A76" s="691">
        <v>29</v>
      </c>
      <c r="U76" s="29" t="str">
        <f t="shared" si="35"/>
        <v/>
      </c>
    </row>
    <row r="77" spans="1:21">
      <c r="A77" s="691">
        <v>30</v>
      </c>
      <c r="U77" s="29" t="str">
        <f t="shared" si="35"/>
        <v/>
      </c>
    </row>
    <row r="78" spans="1:21">
      <c r="A78" s="691">
        <v>31</v>
      </c>
      <c r="U78" s="29" t="str">
        <f t="shared" si="35"/>
        <v/>
      </c>
    </row>
    <row r="79" spans="1:21">
      <c r="A79" s="691">
        <v>32</v>
      </c>
      <c r="U79" s="29" t="str">
        <f t="shared" si="35"/>
        <v/>
      </c>
    </row>
    <row r="80" spans="1:21">
      <c r="A80" s="691">
        <v>33</v>
      </c>
      <c r="U80" s="29" t="str">
        <f t="shared" si="35"/>
        <v/>
      </c>
    </row>
    <row r="81" spans="1:1">
      <c r="A81" s="691">
        <v>34</v>
      </c>
    </row>
    <row r="82" spans="1:1">
      <c r="A82" s="691">
        <v>35</v>
      </c>
    </row>
    <row r="83" spans="1:1">
      <c r="A83" s="691">
        <v>36</v>
      </c>
    </row>
    <row r="84" spans="1:1">
      <c r="A84" s="691">
        <v>37</v>
      </c>
    </row>
    <row r="85" spans="1:1">
      <c r="A85" s="691">
        <v>38</v>
      </c>
    </row>
    <row r="86" spans="1:1">
      <c r="A86" s="691">
        <v>39</v>
      </c>
    </row>
    <row r="87" spans="1:1">
      <c r="A87" s="691">
        <v>40</v>
      </c>
    </row>
    <row r="88" spans="1:1">
      <c r="A88" s="691">
        <v>41</v>
      </c>
    </row>
    <row r="89" spans="1:1">
      <c r="A89" s="691">
        <v>42</v>
      </c>
    </row>
    <row r="90" spans="1:1">
      <c r="A90" s="691">
        <v>43</v>
      </c>
    </row>
    <row r="91" spans="1:1">
      <c r="A91" s="691">
        <v>44</v>
      </c>
    </row>
    <row r="92" spans="1:1">
      <c r="A92" s="691">
        <v>45</v>
      </c>
    </row>
    <row r="93" spans="1:1">
      <c r="A93" s="691">
        <v>46</v>
      </c>
    </row>
    <row r="94" spans="1:1">
      <c r="A94" s="691">
        <v>1</v>
      </c>
    </row>
    <row r="95" spans="1:1">
      <c r="A95" s="691">
        <v>2</v>
      </c>
    </row>
    <row r="96" spans="1:1">
      <c r="A96" s="691">
        <v>3</v>
      </c>
    </row>
    <row r="97" spans="1:1">
      <c r="A97" s="691">
        <v>4</v>
      </c>
    </row>
    <row r="98" spans="1:1">
      <c r="A98" s="691">
        <v>5</v>
      </c>
    </row>
    <row r="99" spans="1:1">
      <c r="A99" s="691">
        <v>6</v>
      </c>
    </row>
    <row r="100" spans="1:1">
      <c r="A100" s="691">
        <v>7</v>
      </c>
    </row>
    <row r="101" spans="1:1">
      <c r="A101" s="691">
        <v>8</v>
      </c>
    </row>
    <row r="102" spans="1:1">
      <c r="A102" s="691">
        <v>9</v>
      </c>
    </row>
    <row r="103" spans="1:1">
      <c r="A103" s="691">
        <v>10</v>
      </c>
    </row>
    <row r="104" spans="1:1">
      <c r="A104" s="691">
        <v>11</v>
      </c>
    </row>
    <row r="105" spans="1:1">
      <c r="A105" s="691">
        <v>12</v>
      </c>
    </row>
    <row r="106" spans="1:1">
      <c r="A106" s="691">
        <v>13</v>
      </c>
    </row>
    <row r="107" spans="1:1">
      <c r="A107" s="691">
        <v>14</v>
      </c>
    </row>
    <row r="108" spans="1:1">
      <c r="A108" s="691">
        <v>15</v>
      </c>
    </row>
    <row r="109" spans="1:1">
      <c r="A109" s="691">
        <v>16</v>
      </c>
    </row>
    <row r="110" spans="1:1">
      <c r="A110" s="691">
        <v>17</v>
      </c>
    </row>
    <row r="111" spans="1:1">
      <c r="A111" s="691">
        <v>18</v>
      </c>
    </row>
    <row r="112" spans="1:1">
      <c r="A112" s="691">
        <v>19</v>
      </c>
    </row>
    <row r="113" spans="1:1">
      <c r="A113" s="691">
        <v>20</v>
      </c>
    </row>
    <row r="114" spans="1:1">
      <c r="A114" s="691">
        <v>21</v>
      </c>
    </row>
    <row r="115" spans="1:1">
      <c r="A115" s="691">
        <v>22</v>
      </c>
    </row>
    <row r="116" spans="1:1">
      <c r="A116" s="691">
        <v>23</v>
      </c>
    </row>
    <row r="117" spans="1:1">
      <c r="A117" s="691">
        <v>24</v>
      </c>
    </row>
    <row r="118" spans="1:1">
      <c r="A118" s="691">
        <v>25</v>
      </c>
    </row>
    <row r="119" spans="1:1">
      <c r="A119" s="691">
        <v>26</v>
      </c>
    </row>
    <row r="120" spans="1:1">
      <c r="A120" s="691">
        <v>27</v>
      </c>
    </row>
    <row r="121" spans="1:1">
      <c r="A121" s="691">
        <v>28</v>
      </c>
    </row>
    <row r="122" spans="1:1">
      <c r="A122" s="691">
        <v>29</v>
      </c>
    </row>
    <row r="123" spans="1:1">
      <c r="A123" s="691">
        <v>30</v>
      </c>
    </row>
    <row r="124" spans="1:1">
      <c r="A124" s="691">
        <v>31</v>
      </c>
    </row>
    <row r="125" spans="1:1">
      <c r="A125" s="691">
        <v>32</v>
      </c>
    </row>
    <row r="126" spans="1:1">
      <c r="A126" s="691">
        <v>33</v>
      </c>
    </row>
    <row r="127" spans="1:1">
      <c r="A127" s="691">
        <v>34</v>
      </c>
    </row>
    <row r="128" spans="1:1">
      <c r="A128" s="691">
        <v>35</v>
      </c>
    </row>
    <row r="129" spans="1:1">
      <c r="A129" s="691">
        <v>36</v>
      </c>
    </row>
    <row r="130" spans="1:1">
      <c r="A130" s="691">
        <v>37</v>
      </c>
    </row>
    <row r="131" spans="1:1">
      <c r="A131" s="691">
        <v>38</v>
      </c>
    </row>
    <row r="132" spans="1:1">
      <c r="A132" s="691">
        <v>39</v>
      </c>
    </row>
    <row r="133" spans="1:1">
      <c r="A133" s="691">
        <v>40</v>
      </c>
    </row>
    <row r="134" spans="1:1">
      <c r="A134" s="691">
        <v>41</v>
      </c>
    </row>
    <row r="135" spans="1:1">
      <c r="A135" s="691">
        <v>42</v>
      </c>
    </row>
    <row r="136" spans="1:1">
      <c r="A136" s="691">
        <v>43</v>
      </c>
    </row>
    <row r="137" spans="1:1">
      <c r="A137" s="691">
        <v>44</v>
      </c>
    </row>
    <row r="138" spans="1:1">
      <c r="A138" s="691">
        <v>45</v>
      </c>
    </row>
    <row r="139" spans="1:1">
      <c r="A139" s="691">
        <v>46</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31</vt:i4>
      </vt:variant>
    </vt:vector>
  </HeadingPairs>
  <TitlesOfParts>
    <vt:vector size="53" baseType="lpstr">
      <vt:lpstr>Home</vt:lpstr>
      <vt:lpstr>Players</vt:lpstr>
      <vt:lpstr>Fixture</vt:lpstr>
      <vt:lpstr>Table</vt:lpstr>
      <vt:lpstr>Weekly</vt:lpstr>
      <vt:lpstr>Cup</vt:lpstr>
      <vt:lpstr>Predictions</vt:lpstr>
      <vt:lpstr>Diary</vt:lpstr>
      <vt:lpstr>Match</vt:lpstr>
      <vt:lpstr>Odds</vt:lpstr>
      <vt:lpstr>Picks</vt:lpstr>
      <vt:lpstr>Results</vt:lpstr>
      <vt:lpstr>What-If</vt:lpstr>
      <vt:lpstr>3of3</vt:lpstr>
      <vt:lpstr>TopPicks</vt:lpstr>
      <vt:lpstr>Images</vt:lpstr>
      <vt:lpstr>PizzaRace</vt:lpstr>
      <vt:lpstr>CupDraw</vt:lpstr>
      <vt:lpstr>Prizelist</vt:lpstr>
      <vt:lpstr>Prizes</vt:lpstr>
      <vt:lpstr>Perms</vt:lpstr>
      <vt:lpstr>FAQ</vt:lpstr>
      <vt:lpstr>choices</vt:lpstr>
      <vt:lpstr>CurrentSeason</vt:lpstr>
      <vt:lpstr>CurrentWeek</vt:lpstr>
      <vt:lpstr>entrants</vt:lpstr>
      <vt:lpstr>game1</vt:lpstr>
      <vt:lpstr>game2</vt:lpstr>
      <vt:lpstr>game3</vt:lpstr>
      <vt:lpstr>pot</vt:lpstr>
      <vt:lpstr>PotA</vt:lpstr>
      <vt:lpstr>PotB</vt:lpstr>
      <vt:lpstr>PotC</vt:lpstr>
      <vt:lpstr>PotD</vt:lpstr>
      <vt:lpstr>Cup!Print_Area</vt:lpstr>
      <vt:lpstr>CupDraw!Print_Area</vt:lpstr>
      <vt:lpstr>Diary!Print_Area</vt:lpstr>
      <vt:lpstr>FAQ!Print_Area</vt:lpstr>
      <vt:lpstr>Fixture!Print_Area</vt:lpstr>
      <vt:lpstr>Images!Print_Area</vt:lpstr>
      <vt:lpstr>Odds!Print_Area</vt:lpstr>
      <vt:lpstr>Perms!Print_Area</vt:lpstr>
      <vt:lpstr>Picks!Print_Area</vt:lpstr>
      <vt:lpstr>Predictions!Print_Area</vt:lpstr>
      <vt:lpstr>Prizelist!Print_Area</vt:lpstr>
      <vt:lpstr>Results!Print_Area</vt:lpstr>
      <vt:lpstr>Table!Print_Area</vt:lpstr>
      <vt:lpstr>Weekly!Print_Area</vt:lpstr>
      <vt:lpstr>'What-If'!Print_Area</vt:lpstr>
      <vt:lpstr>thisweekscore</vt:lpstr>
      <vt:lpstr>TopMaxScores</vt:lpstr>
      <vt:lpstr>TopScores</vt:lpstr>
      <vt:lpstr>totalscores</vt:lpstr>
    </vt:vector>
  </TitlesOfParts>
  <Company>J D Williams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Chris Griffin</cp:lastModifiedBy>
  <cp:lastPrinted>2022-01-01T17:22:06Z</cp:lastPrinted>
  <dcterms:created xsi:type="dcterms:W3CDTF">2002-08-12T11:42:50Z</dcterms:created>
  <dcterms:modified xsi:type="dcterms:W3CDTF">2022-01-04T16:06:18Z</dcterms:modified>
</cp:coreProperties>
</file>