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C265863E-5D90-4C38-985D-6C0EF59919EF}"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Picks" sheetId="5" r:id="rId6"/>
    <sheet name="Match" sheetId="7"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6" hidden="1">Match!$B$1:$Z$47</definedName>
    <definedName name="_xlnm._FilterDatabase" localSheetId="5"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Fixture!$A$1:$C$46</definedName>
    <definedName name="_xlnm.Print_Area" localSheetId="4">Images!$B$2:$AL$34</definedName>
    <definedName name="_xlnm.Print_Area" localSheetId="15">Odds!$B$1:$E$46</definedName>
    <definedName name="_xlnm.Print_Area" localSheetId="20">Perms!$B$2:$O$50</definedName>
    <definedName name="_xlnm.Print_Area" localSheetId="5">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0" r:id="rId23"/>
    <pivotCache cacheId="5" r:id="rId24"/>
    <pivotCache cacheId="1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5" l="1"/>
  <c r="B39" i="5"/>
  <c r="B40" i="5"/>
  <c r="O39" i="25"/>
  <c r="P39" i="25"/>
  <c r="O40" i="25"/>
  <c r="P40" i="25"/>
  <c r="A89" i="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A182" i="24"/>
  <c r="G181" i="24"/>
  <c r="F181" i="24"/>
  <c r="G180" i="24"/>
  <c r="F180" i="24"/>
  <c r="A179" i="24"/>
  <c r="G178" i="24"/>
  <c r="F178" i="24"/>
  <c r="G177" i="24"/>
  <c r="F177" i="24"/>
  <c r="A176" i="24"/>
  <c r="AK37" i="5"/>
  <c r="AK24" i="5"/>
  <c r="AF20" i="5"/>
  <c r="AF14" i="5"/>
  <c r="B184" i="5"/>
  <c r="B184" i="24" s="1"/>
  <c r="B183" i="5"/>
  <c r="B183" i="24" s="1"/>
  <c r="A183" i="5"/>
  <c r="B182" i="5"/>
  <c r="C182" i="1" s="1"/>
  <c r="A182" i="5"/>
  <c r="A184" i="5" s="1"/>
  <c r="B181" i="5"/>
  <c r="C181" i="1" s="1"/>
  <c r="A181" i="5"/>
  <c r="C180" i="1"/>
  <c r="B179" i="5"/>
  <c r="C179" i="1" s="1"/>
  <c r="A179" i="5"/>
  <c r="A180" i="5" s="1"/>
  <c r="B182" i="1"/>
  <c r="B179" i="1"/>
  <c r="I62" i="1"/>
  <c r="I61" i="1"/>
  <c r="BX62" i="2"/>
  <c r="BW62" i="2"/>
  <c r="BV62" i="2"/>
  <c r="J62" i="2"/>
  <c r="G62" i="2"/>
  <c r="F62" i="2"/>
  <c r="B62" i="2"/>
  <c r="BX61" i="2"/>
  <c r="BW61" i="2"/>
  <c r="BV61" i="2"/>
  <c r="J61" i="2"/>
  <c r="G61" i="2"/>
  <c r="F61" i="2"/>
  <c r="B61" i="2"/>
  <c r="O62" i="22"/>
  <c r="M62" i="22"/>
  <c r="L54" i="22"/>
  <c r="K54" i="22"/>
  <c r="O61" i="22"/>
  <c r="M61" i="22"/>
  <c r="L59" i="22"/>
  <c r="K59" i="22"/>
  <c r="C184" i="1" l="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1" i="22"/>
  <c r="K51"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P65" i="2" l="1"/>
  <c r="S65" i="2"/>
  <c r="V65" i="2"/>
  <c r="Y65" i="2"/>
  <c r="AB65" i="2"/>
  <c r="BU65" i="2"/>
  <c r="BR65" i="2"/>
  <c r="BO65" i="2"/>
  <c r="BL65" i="2"/>
  <c r="BI65" i="2"/>
  <c r="BF65" i="2"/>
  <c r="BC65" i="2"/>
  <c r="AZ65" i="2"/>
  <c r="AW65" i="2"/>
  <c r="AT65" i="2"/>
  <c r="AQ65" i="2"/>
  <c r="AN65" i="2"/>
  <c r="AK65" i="2"/>
  <c r="AH65" i="2"/>
  <c r="AE65" i="2"/>
  <c r="I70" i="25" l="1"/>
  <c r="I71" i="25"/>
  <c r="H70" i="25"/>
  <c r="I72" i="25"/>
  <c r="S65" i="13"/>
  <c r="S63" i="13"/>
  <c r="L58" i="22"/>
  <c r="K58" i="22"/>
  <c r="L56" i="22"/>
  <c r="K56" i="22"/>
  <c r="L52" i="22"/>
  <c r="K5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55" i="5"/>
  <c r="AK29" i="5"/>
  <c r="AK15" i="5"/>
  <c r="AK39" i="5"/>
  <c r="AF23" i="5"/>
  <c r="AF52" i="5"/>
  <c r="AF62" i="5"/>
  <c r="AF56" i="5"/>
  <c r="B178" i="5"/>
  <c r="B177" i="5"/>
  <c r="B176" i="5"/>
  <c r="A176" i="5"/>
  <c r="I67" i="1"/>
  <c r="I66" i="1"/>
  <c r="J60" i="2"/>
  <c r="G60" i="2"/>
  <c r="F60" i="2"/>
  <c r="B60" i="2"/>
  <c r="B3" i="6"/>
  <c r="C177" i="1" l="1"/>
  <c r="B177" i="24"/>
  <c r="C178" i="1"/>
  <c r="B178" i="24"/>
  <c r="C176" i="1"/>
  <c r="B176" i="24"/>
  <c r="A178" i="5"/>
  <c r="A177" i="5"/>
  <c r="BX65" i="2"/>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O22" i="34"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4" i="5"/>
  <c r="AF47" i="5"/>
  <c r="B65" i="5"/>
  <c r="C65" i="1" s="1"/>
  <c r="AK26" i="5"/>
  <c r="B64" i="5"/>
  <c r="C64" i="1" s="1"/>
  <c r="AK27" i="5"/>
  <c r="AF27" i="5"/>
  <c r="B63" i="5"/>
  <c r="C63" i="1" s="1"/>
  <c r="AK57" i="5"/>
  <c r="AF32" i="5"/>
  <c r="B62" i="5"/>
  <c r="C62" i="1" s="1"/>
  <c r="AK8" i="5"/>
  <c r="AF60" i="5"/>
  <c r="B61" i="5"/>
  <c r="C61" i="1" s="1"/>
  <c r="AF13" i="5"/>
  <c r="B60" i="5"/>
  <c r="C60" i="1" s="1"/>
  <c r="AK6" i="5"/>
  <c r="AF53" i="5"/>
  <c r="B59" i="5"/>
  <c r="C59" i="1" s="1"/>
  <c r="AK28" i="5"/>
  <c r="B58" i="5"/>
  <c r="C58" i="1" s="1"/>
  <c r="AK32" i="5"/>
  <c r="B57" i="5"/>
  <c r="C57" i="1" s="1"/>
  <c r="AK50" i="5"/>
  <c r="B56" i="5"/>
  <c r="C56" i="1" s="1"/>
  <c r="AK11" i="5"/>
  <c r="AF5" i="5"/>
  <c r="B55" i="5"/>
  <c r="C55" i="1" s="1"/>
  <c r="AK49" i="5"/>
  <c r="B54" i="5"/>
  <c r="C54" i="1" s="1"/>
  <c r="AK62" i="5"/>
  <c r="B53" i="5"/>
  <c r="C53" i="1" s="1"/>
  <c r="AK18" i="5"/>
  <c r="AF11" i="5"/>
  <c r="B52" i="5"/>
  <c r="C52" i="1" s="1"/>
  <c r="AF2" i="5"/>
  <c r="B51" i="5"/>
  <c r="C51" i="1" s="1"/>
  <c r="AK19" i="5"/>
  <c r="AF24" i="5"/>
  <c r="B50" i="5"/>
  <c r="C50" i="1" s="1"/>
  <c r="AF58" i="5"/>
  <c r="B49" i="5"/>
  <c r="C49" i="1" s="1"/>
  <c r="AK43" i="5"/>
  <c r="AF9" i="5"/>
  <c r="B48" i="5"/>
  <c r="C48" i="1" s="1"/>
  <c r="AF42" i="5"/>
  <c r="B47" i="5"/>
  <c r="C47" i="1" s="1"/>
  <c r="AK40" i="5"/>
  <c r="AF40" i="5"/>
  <c r="B46" i="5"/>
  <c r="C46" i="1" s="1"/>
  <c r="AK4" i="5"/>
  <c r="AF4" i="5"/>
  <c r="B45" i="5"/>
  <c r="C45" i="1" s="1"/>
  <c r="AK13" i="5"/>
  <c r="AF33" i="5"/>
  <c r="B44" i="5"/>
  <c r="C44" i="1" s="1"/>
  <c r="AK16" i="5"/>
  <c r="AF44" i="5"/>
  <c r="B43" i="5"/>
  <c r="C43" i="1" s="1"/>
  <c r="AK25" i="5"/>
  <c r="AF3" i="5"/>
  <c r="B42" i="5"/>
  <c r="C42" i="1" s="1"/>
  <c r="AF57" i="5"/>
  <c r="B41" i="5"/>
  <c r="C41" i="1" s="1"/>
  <c r="AK17" i="5"/>
  <c r="C40" i="1"/>
  <c r="AK10" i="5"/>
  <c r="AF35" i="5"/>
  <c r="C39" i="1"/>
  <c r="AK35" i="5"/>
  <c r="AF34" i="5"/>
  <c r="C38" i="1"/>
  <c r="AK46" i="5"/>
  <c r="AF38" i="5"/>
  <c r="C37" i="1"/>
  <c r="AK61" i="5"/>
  <c r="AF37" i="5"/>
  <c r="B36" i="5"/>
  <c r="C36" i="1" s="1"/>
  <c r="AK38" i="5"/>
  <c r="AF18" i="5"/>
  <c r="AK48" i="5"/>
  <c r="AF12" i="5"/>
  <c r="B34" i="5"/>
  <c r="C34" i="1" s="1"/>
  <c r="AK60" i="5"/>
  <c r="AF59" i="5"/>
  <c r="B33" i="5"/>
  <c r="C33" i="1" s="1"/>
  <c r="AK3" i="5"/>
  <c r="AF39" i="5"/>
  <c r="B32" i="5"/>
  <c r="C32" i="1" s="1"/>
  <c r="AK58" i="5"/>
  <c r="AF25" i="5"/>
  <c r="B31" i="5"/>
  <c r="C31" i="1" s="1"/>
  <c r="AK23" i="5"/>
  <c r="B30" i="5"/>
  <c r="C30" i="1" s="1"/>
  <c r="AK20" i="5"/>
  <c r="AF19" i="5"/>
  <c r="B29" i="5"/>
  <c r="C29" i="1" s="1"/>
  <c r="AK52" i="5"/>
  <c r="AF55" i="5"/>
  <c r="B28" i="5"/>
  <c r="C28" i="1" s="1"/>
  <c r="AK30" i="5"/>
  <c r="AF45" i="5"/>
  <c r="B27" i="5"/>
  <c r="C27" i="1" s="1"/>
  <c r="AK21" i="5"/>
  <c r="AF31" i="5"/>
  <c r="B26" i="5"/>
  <c r="C26" i="1" s="1"/>
  <c r="AK34" i="5"/>
  <c r="AF26" i="5"/>
  <c r="B25" i="5"/>
  <c r="C25" i="1" s="1"/>
  <c r="AF28" i="5"/>
  <c r="B24" i="5"/>
  <c r="C24" i="1" s="1"/>
  <c r="AK5" i="5"/>
  <c r="AF46" i="5"/>
  <c r="B23" i="5"/>
  <c r="C23" i="1" s="1"/>
  <c r="AK53" i="5"/>
  <c r="AF48" i="5"/>
  <c r="B22" i="5"/>
  <c r="C22" i="1" s="1"/>
  <c r="AK56" i="5"/>
  <c r="AF6" i="5"/>
  <c r="B21" i="5"/>
  <c r="C21" i="1" s="1"/>
  <c r="AK2" i="5"/>
  <c r="AF21" i="5"/>
  <c r="B20" i="5"/>
  <c r="C20" i="1" s="1"/>
  <c r="AK45" i="5"/>
  <c r="AF10" i="5"/>
  <c r="B19" i="5"/>
  <c r="C19" i="1" s="1"/>
  <c r="AK44" i="5"/>
  <c r="AF8" i="5"/>
  <c r="B18" i="5"/>
  <c r="C18" i="1" s="1"/>
  <c r="AK9" i="5"/>
  <c r="AF43" i="5"/>
  <c r="B17" i="5"/>
  <c r="C17" i="1" s="1"/>
  <c r="AF15" i="5"/>
  <c r="B16" i="5"/>
  <c r="C16" i="1" s="1"/>
  <c r="AF51" i="5"/>
  <c r="B15" i="5"/>
  <c r="C15" i="1" s="1"/>
  <c r="AF50" i="5"/>
  <c r="B14" i="5"/>
  <c r="C14" i="1" s="1"/>
  <c r="AK31" i="5"/>
  <c r="AF49" i="5"/>
  <c r="B13" i="5"/>
  <c r="C13" i="1" s="1"/>
  <c r="AK33" i="5"/>
  <c r="AF22" i="5"/>
  <c r="B12" i="5"/>
  <c r="C12" i="1" s="1"/>
  <c r="AK41" i="5"/>
  <c r="AF36" i="5"/>
  <c r="B11" i="5"/>
  <c r="C11" i="1" s="1"/>
  <c r="AK36" i="5"/>
  <c r="AF29" i="5"/>
  <c r="B10" i="5"/>
  <c r="C10" i="1" s="1"/>
  <c r="AK51" i="5"/>
  <c r="AF17" i="5"/>
  <c r="B9" i="5"/>
  <c r="C9" i="1" s="1"/>
  <c r="AK47" i="5"/>
  <c r="AF61" i="5"/>
  <c r="B8" i="5"/>
  <c r="C8" i="1" s="1"/>
  <c r="AK42" i="5"/>
  <c r="AF30" i="5"/>
  <c r="C7" i="1"/>
  <c r="AK7" i="5"/>
  <c r="C6" i="1"/>
  <c r="AK59" i="5"/>
  <c r="AF7" i="5"/>
  <c r="C5" i="1"/>
  <c r="AK22" i="5"/>
  <c r="AF41" i="5"/>
  <c r="C4" i="1"/>
  <c r="AK12" i="5"/>
  <c r="AF16" i="5"/>
  <c r="C3" i="1"/>
  <c r="AK14" i="5"/>
  <c r="AF5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K34" i="25"/>
  <c r="J34" i="25"/>
  <c r="I34" i="25"/>
  <c r="E34" i="25"/>
  <c r="D34" i="25"/>
  <c r="C34" i="25"/>
  <c r="Q33" i="25"/>
  <c r="N33" i="25"/>
  <c r="K33" i="25"/>
  <c r="J33" i="25"/>
  <c r="I33" i="25"/>
  <c r="H33" i="25"/>
  <c r="E33" i="25"/>
  <c r="D33" i="25"/>
  <c r="C33" i="25"/>
  <c r="B33" i="25"/>
  <c r="Q32" i="25"/>
  <c r="K32" i="25"/>
  <c r="J32" i="25"/>
  <c r="I32" i="25"/>
  <c r="E32" i="25"/>
  <c r="D32" i="25"/>
  <c r="C32" i="25"/>
  <c r="N31" i="25"/>
  <c r="J31" i="25"/>
  <c r="I31" i="25"/>
  <c r="H31" i="25"/>
  <c r="E31" i="25"/>
  <c r="D31" i="25"/>
  <c r="C31" i="25"/>
  <c r="B31" i="25"/>
  <c r="V30" i="25"/>
  <c r="U30" i="25"/>
  <c r="Q30" i="25"/>
  <c r="K30" i="25"/>
  <c r="J30" i="25"/>
  <c r="I30" i="25"/>
  <c r="E30" i="25"/>
  <c r="D30" i="25"/>
  <c r="C30" i="25"/>
  <c r="W29" i="25"/>
  <c r="V29" i="25"/>
  <c r="U29" i="25"/>
  <c r="N29" i="25"/>
  <c r="J29" i="25"/>
  <c r="I29" i="25"/>
  <c r="H29" i="25"/>
  <c r="E29" i="25"/>
  <c r="D29" i="25"/>
  <c r="C29" i="25"/>
  <c r="B29" i="25"/>
  <c r="V28" i="25"/>
  <c r="U28" i="25"/>
  <c r="Q28" i="25"/>
  <c r="K28" i="25"/>
  <c r="J28" i="25"/>
  <c r="I28" i="25"/>
  <c r="E28" i="25"/>
  <c r="D28" i="25"/>
  <c r="C28" i="25"/>
  <c r="W27" i="25"/>
  <c r="V27" i="25"/>
  <c r="U27" i="25"/>
  <c r="Q27" i="25"/>
  <c r="N27" i="25"/>
  <c r="J27" i="25"/>
  <c r="I27" i="25"/>
  <c r="H27" i="25"/>
  <c r="E27" i="25"/>
  <c r="D27" i="25"/>
  <c r="C27" i="25"/>
  <c r="B27" i="25"/>
  <c r="V26" i="25"/>
  <c r="U26" i="25"/>
  <c r="Q26" i="25"/>
  <c r="K26" i="25"/>
  <c r="J26" i="25"/>
  <c r="I26" i="25"/>
  <c r="E26" i="25"/>
  <c r="D26" i="25"/>
  <c r="C26" i="25"/>
  <c r="V25" i="25"/>
  <c r="U25" i="25"/>
  <c r="N25" i="25"/>
  <c r="J25" i="25"/>
  <c r="I25" i="25"/>
  <c r="H25" i="25"/>
  <c r="E25" i="25"/>
  <c r="D25" i="25"/>
  <c r="C25" i="25"/>
  <c r="B25" i="25"/>
  <c r="Q24" i="25"/>
  <c r="K24" i="25"/>
  <c r="J24" i="25"/>
  <c r="I24" i="25"/>
  <c r="E24" i="25"/>
  <c r="D24" i="25"/>
  <c r="C24" i="25"/>
  <c r="N23" i="25"/>
  <c r="K23" i="25"/>
  <c r="J23" i="25"/>
  <c r="I23" i="25"/>
  <c r="H23" i="25"/>
  <c r="E23" i="25"/>
  <c r="D23" i="25"/>
  <c r="C23" i="25"/>
  <c r="B23" i="25"/>
  <c r="T22" i="25"/>
  <c r="Q22" i="25"/>
  <c r="O22" i="25"/>
  <c r="K22" i="25"/>
  <c r="J22" i="25"/>
  <c r="I22" i="25"/>
  <c r="E22" i="25"/>
  <c r="D22" i="25"/>
  <c r="C22" i="25"/>
  <c r="N21" i="25"/>
  <c r="J21" i="25"/>
  <c r="I21" i="25"/>
  <c r="H21" i="25"/>
  <c r="E21" i="25"/>
  <c r="D21" i="25"/>
  <c r="C21" i="25"/>
  <c r="B21" i="25"/>
  <c r="Q20" i="25"/>
  <c r="K20" i="25"/>
  <c r="J20" i="25"/>
  <c r="I20" i="25"/>
  <c r="E20" i="25"/>
  <c r="D20" i="25"/>
  <c r="C20" i="25"/>
  <c r="N19" i="25"/>
  <c r="J19" i="25"/>
  <c r="I19" i="25"/>
  <c r="H19" i="25"/>
  <c r="E19" i="25"/>
  <c r="D19" i="25"/>
  <c r="C19" i="25"/>
  <c r="B19" i="25"/>
  <c r="V18" i="25"/>
  <c r="Q18" i="25"/>
  <c r="O18" i="25"/>
  <c r="K18" i="25"/>
  <c r="J18" i="25"/>
  <c r="I18" i="25"/>
  <c r="E18" i="25"/>
  <c r="D18" i="25"/>
  <c r="C18" i="25"/>
  <c r="V17" i="25"/>
  <c r="T17" i="25"/>
  <c r="Q17" i="25"/>
  <c r="N17" i="25"/>
  <c r="J17" i="25"/>
  <c r="I17" i="25"/>
  <c r="H17" i="25"/>
  <c r="E17" i="25"/>
  <c r="D17" i="25"/>
  <c r="C17" i="25"/>
  <c r="B17" i="25"/>
  <c r="V16" i="25"/>
  <c r="Q16" i="25"/>
  <c r="K16" i="25"/>
  <c r="J16" i="25"/>
  <c r="I16" i="25"/>
  <c r="E16" i="25"/>
  <c r="D16" i="25"/>
  <c r="C16" i="25"/>
  <c r="V15" i="25"/>
  <c r="T15" i="25"/>
  <c r="N15" i="25"/>
  <c r="J15" i="25"/>
  <c r="I15" i="25"/>
  <c r="H15" i="25"/>
  <c r="E15" i="25"/>
  <c r="D15" i="25"/>
  <c r="C15" i="25"/>
  <c r="B15" i="25"/>
  <c r="V14" i="25"/>
  <c r="Q14" i="25"/>
  <c r="K14" i="25"/>
  <c r="J14" i="25"/>
  <c r="I14" i="25"/>
  <c r="E14" i="25"/>
  <c r="D14" i="25"/>
  <c r="C14" i="25"/>
  <c r="V13" i="25"/>
  <c r="T13" i="25"/>
  <c r="Q13" i="25"/>
  <c r="O13" i="25"/>
  <c r="N13" i="25"/>
  <c r="J13" i="25"/>
  <c r="I13" i="25"/>
  <c r="H13" i="25"/>
  <c r="E13" i="25"/>
  <c r="D13" i="25"/>
  <c r="C13" i="25"/>
  <c r="B13" i="25"/>
  <c r="V12" i="25"/>
  <c r="Q12" i="25"/>
  <c r="K12" i="25"/>
  <c r="J12" i="25"/>
  <c r="I12" i="25"/>
  <c r="E12" i="25"/>
  <c r="D12" i="25"/>
  <c r="C12" i="25"/>
  <c r="W11" i="25"/>
  <c r="V11" i="25"/>
  <c r="T11" i="25"/>
  <c r="N11" i="25"/>
  <c r="J11" i="25"/>
  <c r="I11" i="25"/>
  <c r="H11" i="25"/>
  <c r="E11" i="25"/>
  <c r="D11" i="25"/>
  <c r="C11" i="25"/>
  <c r="B11" i="25"/>
  <c r="V10" i="25"/>
  <c r="Q10" i="25"/>
  <c r="K10" i="25"/>
  <c r="J10" i="25"/>
  <c r="I10" i="25"/>
  <c r="E10" i="25"/>
  <c r="D10" i="25"/>
  <c r="C10" i="25"/>
  <c r="W9" i="25"/>
  <c r="V9" i="25"/>
  <c r="T9" i="25"/>
  <c r="N9" i="25"/>
  <c r="J9" i="25"/>
  <c r="I9" i="25"/>
  <c r="H9" i="25"/>
  <c r="E9" i="25"/>
  <c r="D9" i="25"/>
  <c r="C9" i="25"/>
  <c r="B9" i="25"/>
  <c r="V8" i="25"/>
  <c r="Q8" i="25"/>
  <c r="K8" i="25"/>
  <c r="J8" i="25"/>
  <c r="I8" i="25"/>
  <c r="E8" i="25"/>
  <c r="D8" i="25"/>
  <c r="C8" i="25"/>
  <c r="V7" i="25"/>
  <c r="T7" i="25"/>
  <c r="N7" i="25"/>
  <c r="J7" i="25"/>
  <c r="I7" i="25"/>
  <c r="H7" i="25"/>
  <c r="E7" i="25"/>
  <c r="D7" i="25"/>
  <c r="C7" i="25"/>
  <c r="B7" i="25"/>
  <c r="V6" i="25"/>
  <c r="Q6" i="25"/>
  <c r="K6" i="25"/>
  <c r="J6" i="25"/>
  <c r="I6" i="25"/>
  <c r="E6" i="25"/>
  <c r="D6" i="25"/>
  <c r="C6" i="25"/>
  <c r="V5" i="25"/>
  <c r="T5" i="25"/>
  <c r="N5" i="25"/>
  <c r="J5" i="25"/>
  <c r="I5" i="25"/>
  <c r="H5" i="25"/>
  <c r="E5" i="25"/>
  <c r="D5" i="25"/>
  <c r="C5" i="25"/>
  <c r="B5" i="25"/>
  <c r="V4" i="25"/>
  <c r="Q4" i="25"/>
  <c r="K4" i="25"/>
  <c r="J4" i="25"/>
  <c r="I4" i="25"/>
  <c r="H4" i="25"/>
  <c r="E4" i="25"/>
  <c r="D4" i="25"/>
  <c r="C4" i="25"/>
  <c r="V3" i="25"/>
  <c r="T3" i="25"/>
  <c r="Q3" i="25"/>
  <c r="N3" i="25"/>
  <c r="J3" i="25"/>
  <c r="I3" i="25"/>
  <c r="H3" i="25"/>
  <c r="E3" i="25"/>
  <c r="D3" i="25"/>
  <c r="C3" i="25"/>
  <c r="B3" i="25"/>
  <c r="T2" i="25"/>
  <c r="N2" i="25"/>
  <c r="H2" i="25"/>
  <c r="C2" i="25"/>
  <c r="K65" i="2"/>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59" i="22" s="1"/>
  <c r="F51" i="2"/>
  <c r="I59"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4" i="22" s="1"/>
  <c r="F5" i="2"/>
  <c r="I54" i="22" s="1"/>
  <c r="B5" i="2"/>
  <c r="J4" i="2"/>
  <c r="G4" i="2"/>
  <c r="F4" i="2"/>
  <c r="B4" i="2"/>
  <c r="J3" i="2"/>
  <c r="G3" i="2"/>
  <c r="F3" i="2"/>
  <c r="B3" i="2"/>
  <c r="J2" i="2"/>
  <c r="G2" i="2"/>
  <c r="F2" i="2"/>
  <c r="B2" i="2"/>
  <c r="O45" i="22"/>
  <c r="L45" i="22"/>
  <c r="K45" i="22"/>
  <c r="B59" i="22"/>
  <c r="O54" i="22"/>
  <c r="L61" i="22"/>
  <c r="K61" i="22"/>
  <c r="B58" i="22"/>
  <c r="O40" i="22"/>
  <c r="L39" i="22"/>
  <c r="K39" i="22"/>
  <c r="B57" i="22"/>
  <c r="O58" i="22"/>
  <c r="O35" i="22"/>
  <c r="L40" i="22"/>
  <c r="K40" i="22"/>
  <c r="B56" i="22"/>
  <c r="O39" i="22"/>
  <c r="L43" i="22"/>
  <c r="K43" i="22"/>
  <c r="B55" i="22"/>
  <c r="O49" i="22"/>
  <c r="L44" i="22"/>
  <c r="K44" i="22"/>
  <c r="B54" i="22"/>
  <c r="O52" i="22"/>
  <c r="L53" i="22"/>
  <c r="K53" i="22"/>
  <c r="O34" i="22"/>
  <c r="L37" i="22"/>
  <c r="K37" i="22"/>
  <c r="B53" i="22"/>
  <c r="O37" i="22"/>
  <c r="L42" i="22"/>
  <c r="K42" i="22"/>
  <c r="B52" i="22"/>
  <c r="O44" i="22"/>
  <c r="L35" i="22"/>
  <c r="K35" i="22"/>
  <c r="B51" i="22"/>
  <c r="O48" i="22"/>
  <c r="L46" i="22"/>
  <c r="K46" i="22"/>
  <c r="B50" i="22"/>
  <c r="O56" i="22"/>
  <c r="L55" i="22"/>
  <c r="K55" i="22"/>
  <c r="B49" i="22"/>
  <c r="O33" i="22"/>
  <c r="L20" i="22"/>
  <c r="K20" i="22"/>
  <c r="B48" i="22"/>
  <c r="O51" i="22"/>
  <c r="L50" i="22"/>
  <c r="K50" i="22"/>
  <c r="B47" i="22"/>
  <c r="O59" i="22"/>
  <c r="L57" i="22"/>
  <c r="K57" i="22"/>
  <c r="B46" i="22"/>
  <c r="O22" i="22"/>
  <c r="L25" i="22"/>
  <c r="K25" i="22"/>
  <c r="B45" i="22"/>
  <c r="O50" i="22"/>
  <c r="L60" i="22"/>
  <c r="K60" i="22"/>
  <c r="B44" i="22"/>
  <c r="O31" i="22"/>
  <c r="L31" i="22"/>
  <c r="K31" i="22"/>
  <c r="B43" i="22"/>
  <c r="O55" i="22"/>
  <c r="B42" i="22"/>
  <c r="O29" i="22"/>
  <c r="L26" i="22"/>
  <c r="K26" i="22"/>
  <c r="B41" i="22"/>
  <c r="O28" i="22"/>
  <c r="L32" i="22"/>
  <c r="K32" i="22"/>
  <c r="B40" i="22"/>
  <c r="O57" i="22"/>
  <c r="L62" i="22"/>
  <c r="K62" i="22"/>
  <c r="B39" i="22"/>
  <c r="O53" i="22"/>
  <c r="B38" i="22"/>
  <c r="O32" i="22"/>
  <c r="L33" i="22"/>
  <c r="K33" i="22"/>
  <c r="B37" i="22"/>
  <c r="O26" i="22"/>
  <c r="L21" i="22"/>
  <c r="K21" i="22"/>
  <c r="B36" i="22"/>
  <c r="B35" i="22"/>
  <c r="O27" i="22"/>
  <c r="L29" i="22"/>
  <c r="K29" i="22"/>
  <c r="B34" i="22"/>
  <c r="O46" i="22"/>
  <c r="L38" i="22"/>
  <c r="K38" i="22"/>
  <c r="B33" i="22"/>
  <c r="O36" i="22"/>
  <c r="L49" i="22"/>
  <c r="K49" i="22"/>
  <c r="B32" i="22"/>
  <c r="O3" i="22"/>
  <c r="L16" i="22"/>
  <c r="K16" i="22"/>
  <c r="B31" i="22"/>
  <c r="O47" i="22"/>
  <c r="L41" i="22"/>
  <c r="K41" i="22"/>
  <c r="B30" i="22"/>
  <c r="O2" i="22"/>
  <c r="L14" i="22"/>
  <c r="K14" i="22"/>
  <c r="B29" i="22"/>
  <c r="O38" i="22"/>
  <c r="L47" i="22"/>
  <c r="K47" i="22"/>
  <c r="B28" i="22"/>
  <c r="B27" i="22"/>
  <c r="O42" i="22"/>
  <c r="L36" i="22"/>
  <c r="K36" i="22"/>
  <c r="B26" i="22"/>
  <c r="O9" i="22"/>
  <c r="L3" i="22"/>
  <c r="K3" i="22"/>
  <c r="B25" i="22"/>
  <c r="O5" i="22"/>
  <c r="L10" i="22"/>
  <c r="K10" i="22"/>
  <c r="B24" i="22"/>
  <c r="O17" i="22"/>
  <c r="L11" i="22"/>
  <c r="K11" i="22"/>
  <c r="B23" i="22"/>
  <c r="O43" i="22"/>
  <c r="L48" i="22"/>
  <c r="K48" i="22"/>
  <c r="B22" i="22"/>
  <c r="O21" i="22"/>
  <c r="L18" i="22"/>
  <c r="K18" i="22"/>
  <c r="B21" i="22"/>
  <c r="O41" i="22"/>
  <c r="L34" i="22"/>
  <c r="K34" i="22"/>
  <c r="B20" i="22"/>
  <c r="O13" i="22"/>
  <c r="L15" i="22"/>
  <c r="K15" i="22"/>
  <c r="B19" i="22"/>
  <c r="O7" i="22"/>
  <c r="L2" i="22"/>
  <c r="K2" i="22"/>
  <c r="B18" i="22"/>
  <c r="O11" i="22"/>
  <c r="L5" i="22"/>
  <c r="K5" i="22"/>
  <c r="B17" i="22"/>
  <c r="O19" i="22"/>
  <c r="L27" i="22"/>
  <c r="K27" i="22"/>
  <c r="B16" i="22"/>
  <c r="O16" i="22"/>
  <c r="L7" i="22"/>
  <c r="K7" i="22"/>
  <c r="B15" i="22"/>
  <c r="O24" i="22"/>
  <c r="L28" i="22"/>
  <c r="K28" i="22"/>
  <c r="B14" i="22"/>
  <c r="O12" i="22"/>
  <c r="L13" i="22"/>
  <c r="K13" i="22"/>
  <c r="B13" i="22"/>
  <c r="O4" i="22"/>
  <c r="L12" i="22"/>
  <c r="K12" i="22"/>
  <c r="B12" i="22"/>
  <c r="O23" i="22"/>
  <c r="L30" i="22"/>
  <c r="K30" i="22"/>
  <c r="B11" i="22"/>
  <c r="O6" i="22"/>
  <c r="L8" i="22"/>
  <c r="K8" i="22"/>
  <c r="B10" i="22"/>
  <c r="O25" i="22"/>
  <c r="L19" i="22"/>
  <c r="K19" i="22"/>
  <c r="B9" i="22"/>
  <c r="O14" i="22"/>
  <c r="L9" i="22"/>
  <c r="K9" i="22"/>
  <c r="B8" i="22"/>
  <c r="O30" i="22"/>
  <c r="L23" i="22"/>
  <c r="K23" i="22"/>
  <c r="B7" i="22"/>
  <c r="O20" i="22"/>
  <c r="L22" i="22"/>
  <c r="K22" i="22"/>
  <c r="B6" i="22"/>
  <c r="O15" i="22"/>
  <c r="L17" i="22"/>
  <c r="K17" i="22"/>
  <c r="B5" i="22"/>
  <c r="O10" i="22"/>
  <c r="L4" i="22"/>
  <c r="K4" i="22"/>
  <c r="B4" i="22"/>
  <c r="O8" i="22"/>
  <c r="L6" i="22"/>
  <c r="K6" i="22"/>
  <c r="B3" i="22"/>
  <c r="O18" i="22"/>
  <c r="L24" i="22"/>
  <c r="K2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5" i="34"/>
  <c r="Q15" i="34" s="1"/>
  <c r="L7" i="34"/>
  <c r="Q7" i="34" s="1"/>
  <c r="L14" i="34"/>
  <c r="Q14" i="34" s="1"/>
  <c r="L13" i="34"/>
  <c r="Q13" i="34" s="1"/>
  <c r="L12" i="34"/>
  <c r="L11" i="34"/>
  <c r="L10" i="34"/>
  <c r="Q10" i="34" s="1"/>
  <c r="L8" i="34"/>
  <c r="L9" i="34"/>
  <c r="Q9" i="34" s="1"/>
  <c r="N62" i="22"/>
  <c r="N61" i="22"/>
  <c r="AK17" i="34"/>
  <c r="AQ17" i="34" s="1"/>
  <c r="AK16" i="34"/>
  <c r="AQ16" i="34" s="1"/>
  <c r="I51" i="22"/>
  <c r="A61" i="2"/>
  <c r="A62" i="2"/>
  <c r="AB14" i="13"/>
  <c r="U15" i="25" s="1"/>
  <c r="J51" i="22"/>
  <c r="AK15" i="34"/>
  <c r="AQ15" i="34" s="1"/>
  <c r="N60" i="22"/>
  <c r="AB16" i="13"/>
  <c r="U17" i="25" s="1"/>
  <c r="I52" i="22"/>
  <c r="I58" i="22"/>
  <c r="I21" i="22"/>
  <c r="J58" i="22"/>
  <c r="F3" i="54"/>
  <c r="E3" i="54"/>
  <c r="J52" i="22"/>
  <c r="I56" i="22"/>
  <c r="J56" i="22"/>
  <c r="J43" i="22"/>
  <c r="AB10" i="13"/>
  <c r="U11" i="25" s="1"/>
  <c r="O27" i="25"/>
  <c r="O29" i="25"/>
  <c r="AH8" i="13"/>
  <c r="Z9" i="25" s="1"/>
  <c r="AB8" i="13"/>
  <c r="U9" i="25" s="1"/>
  <c r="AB2" i="13"/>
  <c r="U3" i="25" s="1"/>
  <c r="AB3" i="13"/>
  <c r="U4" i="25" s="1"/>
  <c r="I15" i="22"/>
  <c r="I57" i="22"/>
  <c r="I20" i="22"/>
  <c r="J15" i="22"/>
  <c r="J25" i="22"/>
  <c r="J35" i="22"/>
  <c r="E4" i="54"/>
  <c r="J4" i="22"/>
  <c r="J26" i="22"/>
  <c r="J47" i="22"/>
  <c r="J29" i="22"/>
  <c r="I25" i="22"/>
  <c r="N27" i="22"/>
  <c r="I29" i="22"/>
  <c r="J17" i="22"/>
  <c r="N59" i="22"/>
  <c r="A60" i="2"/>
  <c r="J61" i="22"/>
  <c r="I17" i="22"/>
  <c r="N58" i="22"/>
  <c r="N22" i="22"/>
  <c r="J5" i="22"/>
  <c r="I11" i="22"/>
  <c r="I34" i="22"/>
  <c r="J32" i="22"/>
  <c r="J2" i="22"/>
  <c r="J34" i="22"/>
  <c r="J41"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6" i="22"/>
  <c r="J62" i="22"/>
  <c r="J60" i="22"/>
  <c r="J48" i="22"/>
  <c r="J7" i="22"/>
  <c r="J37" i="22"/>
  <c r="J44" i="22"/>
  <c r="N42" i="22"/>
  <c r="N37" i="22"/>
  <c r="N57" i="22"/>
  <c r="N50" i="22"/>
  <c r="N43" i="22"/>
  <c r="N34" i="22"/>
  <c r="N55" i="22"/>
  <c r="N48" i="22"/>
  <c r="N18" i="22"/>
  <c r="N23" i="22"/>
  <c r="N46" i="22"/>
  <c r="J55" i="22"/>
  <c r="J40" i="22"/>
  <c r="J14" i="22"/>
  <c r="J24" i="22"/>
  <c r="J30" i="22"/>
  <c r="J50" i="22"/>
  <c r="J16" i="22"/>
  <c r="J6" i="22"/>
  <c r="J38" i="22"/>
  <c r="J39" i="22"/>
  <c r="J23" i="22"/>
  <c r="J10" i="22"/>
  <c r="J45" i="22"/>
  <c r="J19" i="22"/>
  <c r="J3" i="22"/>
  <c r="J27" i="22"/>
  <c r="J31" i="22"/>
  <c r="J9" i="22"/>
  <c r="J22" i="22"/>
  <c r="N3" i="22"/>
  <c r="N8" i="22"/>
  <c r="N4" i="22"/>
  <c r="N30" i="22"/>
  <c r="N24" i="22"/>
  <c r="N54" i="22"/>
  <c r="N38" i="22"/>
  <c r="N45" i="22"/>
  <c r="N32" i="22"/>
  <c r="N25" i="22"/>
  <c r="N53" i="22"/>
  <c r="N19" i="22"/>
  <c r="N31" i="22"/>
  <c r="N39" i="22"/>
  <c r="N6" i="22"/>
  <c r="N14" i="22"/>
  <c r="N7" i="22"/>
  <c r="N20" i="22"/>
  <c r="N51" i="22"/>
  <c r="N41" i="22"/>
  <c r="I42" i="22"/>
  <c r="I62" i="22"/>
  <c r="I60" i="22"/>
  <c r="I48" i="22"/>
  <c r="I37" i="22"/>
  <c r="I44" i="22"/>
  <c r="I46" i="22"/>
  <c r="I24" i="22"/>
  <c r="I30" i="22"/>
  <c r="I50" i="22"/>
  <c r="I32" i="22"/>
  <c r="I16" i="22"/>
  <c r="I10" i="22"/>
  <c r="I28" i="22"/>
  <c r="I61" i="22"/>
  <c r="I45" i="22"/>
  <c r="I19" i="22"/>
  <c r="I27" i="22"/>
  <c r="I31" i="22"/>
  <c r="I43" i="22"/>
  <c r="I9" i="22"/>
  <c r="I2" i="22"/>
  <c r="I22" i="22"/>
  <c r="I41" i="22"/>
  <c r="AB13" i="13"/>
  <c r="U14" i="25" s="1"/>
  <c r="O6" i="25"/>
  <c r="AB17" i="13"/>
  <c r="U18" i="25" s="1"/>
  <c r="O4" i="25"/>
  <c r="O23" i="25"/>
  <c r="O15" i="25"/>
  <c r="A2" i="2"/>
  <c r="W36" i="7"/>
  <c r="U36" i="7" s="1"/>
  <c r="M29" i="22"/>
  <c r="M12" i="22"/>
  <c r="L5" i="34"/>
  <c r="Q5" i="34" s="1"/>
  <c r="L6" i="34"/>
  <c r="Q6" i="34" s="1"/>
  <c r="I5" i="22"/>
  <c r="I12" i="22"/>
  <c r="I36" i="22"/>
  <c r="I47" i="22"/>
  <c r="I4" i="22"/>
  <c r="I26" i="22"/>
  <c r="I8" i="22"/>
  <c r="I33" i="22"/>
  <c r="B43" i="24"/>
  <c r="B82" i="24"/>
  <c r="B161" i="24"/>
  <c r="B74" i="24"/>
  <c r="B146" i="24"/>
  <c r="B169" i="24"/>
  <c r="B124" i="24"/>
  <c r="B64" i="24"/>
  <c r="B9" i="24"/>
  <c r="B14" i="24"/>
  <c r="B141" i="24"/>
  <c r="B75" i="24"/>
  <c r="M46" i="22"/>
  <c r="M11" i="22"/>
  <c r="N16" i="22"/>
  <c r="N49" i="22"/>
  <c r="N26" i="22"/>
  <c r="N28" i="22"/>
  <c r="E6" i="54"/>
  <c r="J28" i="22"/>
  <c r="J18" i="22"/>
  <c r="J12"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1" i="22"/>
  <c r="J57" i="22"/>
  <c r="J20" i="22"/>
  <c r="J21" i="22"/>
  <c r="J46" i="22"/>
  <c r="J8" i="22"/>
  <c r="N12" i="22"/>
  <c r="N44" i="22"/>
  <c r="J13" i="22"/>
  <c r="J53" i="22"/>
  <c r="J42"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5"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5" i="22"/>
  <c r="A25" i="2"/>
  <c r="A32" i="2"/>
  <c r="A43" i="2"/>
  <c r="I23" i="22"/>
  <c r="A5" i="2"/>
  <c r="A12" i="2"/>
  <c r="A21" i="2"/>
  <c r="I35" i="22"/>
  <c r="A28" i="2"/>
  <c r="A37" i="2"/>
  <c r="I38" i="22"/>
  <c r="A53" i="2"/>
  <c r="A55" i="2"/>
  <c r="A57" i="2"/>
  <c r="A59" i="2"/>
  <c r="A38" i="2"/>
  <c r="I53" i="22"/>
  <c r="I49" i="22"/>
  <c r="A11" i="2"/>
  <c r="A18" i="2"/>
  <c r="I40" i="22"/>
  <c r="A27" i="2"/>
  <c r="A34" i="2"/>
  <c r="N9" i="22"/>
  <c r="A15" i="2"/>
  <c r="I14" i="22"/>
  <c r="A31" i="2"/>
  <c r="I39" i="22"/>
  <c r="A45" i="2"/>
  <c r="A47" i="2"/>
  <c r="O65" i="22"/>
  <c r="A8" i="2"/>
  <c r="A17" i="2"/>
  <c r="A24" i="2"/>
  <c r="A33" i="2"/>
  <c r="A40" i="2"/>
  <c r="A7" i="2"/>
  <c r="I13" i="22"/>
  <c r="A14" i="2"/>
  <c r="A23" i="2"/>
  <c r="I18" i="22"/>
  <c r="A30" i="2"/>
  <c r="A39" i="2"/>
  <c r="I6"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7"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AL17" i="34" l="1"/>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L61" i="2" s="1"/>
  <c r="M61" i="2" s="1"/>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2" i="2" l="1"/>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6" i="5"/>
  <c r="AB152" i="5"/>
  <c r="AB7" i="5"/>
  <c r="AB48" i="5"/>
  <c r="AB161" i="5"/>
  <c r="AB17" i="5"/>
  <c r="AB23" i="5"/>
  <c r="AB65" i="5"/>
  <c r="AB128" i="5"/>
  <c r="AB97" i="5"/>
  <c r="AB93"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C154" i="5"/>
  <c r="C107" i="5"/>
  <c r="C121" i="5"/>
  <c r="R12" i="5"/>
  <c r="AJ3" i="25"/>
  <c r="R15" i="5"/>
  <c r="C50" i="5"/>
  <c r="C108" i="5"/>
  <c r="C66" i="5"/>
  <c r="C163" i="5"/>
  <c r="C126" i="5"/>
  <c r="C30" i="5"/>
  <c r="C8" i="5"/>
  <c r="C162" i="5"/>
  <c r="C133" i="5"/>
  <c r="S31" i="5"/>
  <c r="C44" i="5"/>
  <c r="C21" i="5"/>
  <c r="C37" i="5"/>
  <c r="C135" i="5"/>
  <c r="S7" i="5"/>
  <c r="C109" i="5"/>
  <c r="C132" i="5"/>
  <c r="C11" i="5"/>
  <c r="C124" i="5"/>
  <c r="C142" i="5"/>
  <c r="C100" i="5"/>
  <c r="C157" i="5"/>
  <c r="C159" i="5"/>
  <c r="C123" i="5"/>
  <c r="C6" i="5"/>
  <c r="C165" i="5"/>
  <c r="C111" i="5"/>
  <c r="S4" i="5"/>
  <c r="C87" i="5"/>
  <c r="C150" i="5"/>
  <c r="C83" i="5"/>
  <c r="C127" i="5"/>
  <c r="R65" i="5"/>
  <c r="C51" i="5"/>
  <c r="C63" i="5"/>
  <c r="C81" i="5"/>
  <c r="C138" i="5"/>
  <c r="C55" i="5"/>
  <c r="C39" i="5"/>
  <c r="C136" i="5"/>
  <c r="C34" i="5"/>
  <c r="C22" i="5"/>
  <c r="C112" i="5"/>
  <c r="C77" i="5"/>
  <c r="C134" i="5"/>
  <c r="C62" i="5"/>
  <c r="C7" i="5"/>
  <c r="C26" i="5"/>
  <c r="C115" i="5"/>
  <c r="C78" i="5"/>
  <c r="C129" i="5"/>
  <c r="C174" i="5"/>
  <c r="C42" i="5"/>
  <c r="C156" i="5"/>
  <c r="C91" i="5"/>
  <c r="C141" i="5"/>
  <c r="S46" i="5"/>
  <c r="C10" i="5"/>
  <c r="C119" i="5"/>
  <c r="C169" i="5"/>
  <c r="AB96" i="5" l="1"/>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C40" i="5"/>
  <c r="C49" i="5"/>
  <c r="D49" i="1" s="1"/>
  <c r="AC180" i="5"/>
  <c r="C79" i="5"/>
  <c r="C79" i="24" s="1"/>
  <c r="C122" i="5"/>
  <c r="D122" i="1" s="1"/>
  <c r="C20" i="5"/>
  <c r="C20" i="24" s="1"/>
  <c r="C23" i="5"/>
  <c r="C23" i="24" s="1"/>
  <c r="C114" i="5"/>
  <c r="C161" i="5"/>
  <c r="C180" i="5"/>
  <c r="F180" i="1"/>
  <c r="C46" i="5"/>
  <c r="D46" i="1" s="1"/>
  <c r="C166" i="5"/>
  <c r="D166" i="1" s="1"/>
  <c r="C182" i="5"/>
  <c r="F182" i="1"/>
  <c r="F179" i="1"/>
  <c r="F183" i="1"/>
  <c r="F184" i="1"/>
  <c r="C183" i="5"/>
  <c r="C52" i="5"/>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E25" i="6"/>
  <c r="H24" i="6" s="1"/>
  <c r="K24" i="6" s="1"/>
  <c r="E19" i="6"/>
  <c r="I17" i="6" s="1"/>
  <c r="L17" i="6" s="1"/>
  <c r="E18" i="6"/>
  <c r="H17" i="6" s="1"/>
  <c r="K17" i="6" s="1"/>
  <c r="E39" i="6"/>
  <c r="H38" i="6" s="1"/>
  <c r="E11" i="6"/>
  <c r="H10" i="6" s="1"/>
  <c r="K10" i="6" s="1"/>
  <c r="E32" i="6"/>
  <c r="H31" i="6" s="1"/>
  <c r="K31" i="6" s="1"/>
  <c r="C94" i="5"/>
  <c r="C94" i="24" s="1"/>
  <c r="C152" i="5"/>
  <c r="D152" i="1" s="1"/>
  <c r="C160" i="5"/>
  <c r="D160" i="1" s="1"/>
  <c r="E26" i="6"/>
  <c r="I24" i="6" s="1"/>
  <c r="E13" i="6"/>
  <c r="E20" i="6"/>
  <c r="J17" i="6" s="1"/>
  <c r="M17" i="6" s="1"/>
  <c r="E41" i="6"/>
  <c r="J38" i="6" s="1"/>
  <c r="E12" i="6"/>
  <c r="E34" i="6"/>
  <c r="J31" i="6" s="1"/>
  <c r="C85" i="5"/>
  <c r="D85" i="1" s="1"/>
  <c r="C64" i="5"/>
  <c r="D64" i="1" s="1"/>
  <c r="E33" i="6"/>
  <c r="I31" i="6" s="1"/>
  <c r="E27" i="6"/>
  <c r="J24" i="6" s="1"/>
  <c r="E40" i="6"/>
  <c r="I38" i="6" s="1"/>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R20" i="34" s="1"/>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W62" i="1" s="1"/>
  <c r="AK62" i="1" s="1"/>
  <c r="AC5" i="5"/>
  <c r="AC46" i="5"/>
  <c r="E6" i="6"/>
  <c r="J3" i="6" s="1"/>
  <c r="M3" i="6" s="1"/>
  <c r="K177" i="5"/>
  <c r="L178" i="5"/>
  <c r="D178" i="5" s="1"/>
  <c r="K176" i="5"/>
  <c r="L177" i="5"/>
  <c r="D177" i="5" s="1"/>
  <c r="D6" i="6"/>
  <c r="K178" i="5"/>
  <c r="E5" i="6"/>
  <c r="I3" i="6" s="1"/>
  <c r="L3" i="6" s="1"/>
  <c r="D4" i="6"/>
  <c r="P65" i="22"/>
  <c r="J5" i="3"/>
  <c r="J24" i="3"/>
  <c r="J59" i="3"/>
  <c r="J57" i="3"/>
  <c r="J21" i="3"/>
  <c r="J108" i="3"/>
  <c r="J19" i="3"/>
  <c r="J124" i="3"/>
  <c r="J35" i="3"/>
  <c r="J42" i="3"/>
  <c r="J60" i="3"/>
  <c r="J89" i="3"/>
  <c r="J26" i="3"/>
  <c r="J127" i="3"/>
  <c r="J25" i="3"/>
  <c r="J85" i="3"/>
  <c r="J62" i="3"/>
  <c r="J70" i="3"/>
  <c r="J129" i="3"/>
  <c r="J17" i="3"/>
  <c r="J77" i="3"/>
  <c r="J123" i="3"/>
  <c r="J61" i="3"/>
  <c r="D22" i="1"/>
  <c r="C22" i="24"/>
  <c r="J110" i="3"/>
  <c r="D165" i="1"/>
  <c r="C165" i="24"/>
  <c r="S6" i="5"/>
  <c r="J23" i="3"/>
  <c r="J134" i="3"/>
  <c r="J29" i="3"/>
  <c r="J92" i="3"/>
  <c r="J131" i="3"/>
  <c r="J90" i="3"/>
  <c r="J95" i="3"/>
  <c r="J34" i="3"/>
  <c r="J118" i="3"/>
  <c r="J52" i="3"/>
  <c r="J27" i="3"/>
  <c r="J18" i="3"/>
  <c r="J54" i="3"/>
  <c r="J80" i="3"/>
  <c r="D34" i="1"/>
  <c r="C34" i="24"/>
  <c r="D123" i="1"/>
  <c r="C123" i="24"/>
  <c r="D44" i="1"/>
  <c r="C44" i="24"/>
  <c r="J13" i="3"/>
  <c r="J16" i="3"/>
  <c r="J81" i="3"/>
  <c r="J8" i="3"/>
  <c r="J44" i="3"/>
  <c r="J6" i="3"/>
  <c r="J115" i="3"/>
  <c r="D10" i="1"/>
  <c r="C10" i="24"/>
  <c r="D141" i="1"/>
  <c r="C141" i="24"/>
  <c r="D156" i="1"/>
  <c r="C156" i="24"/>
  <c r="D62" i="1"/>
  <c r="C62" i="24"/>
  <c r="D134" i="1"/>
  <c r="C134" i="24"/>
  <c r="J104" i="3"/>
  <c r="J43" i="3"/>
  <c r="D87" i="1"/>
  <c r="C87" i="24"/>
  <c r="J48" i="3"/>
  <c r="J53" i="3"/>
  <c r="D159" i="1"/>
  <c r="C159" i="24"/>
  <c r="D100" i="1"/>
  <c r="C100" i="24"/>
  <c r="D142" i="1"/>
  <c r="C142" i="24"/>
  <c r="J126" i="3"/>
  <c r="J50" i="3"/>
  <c r="J120" i="3"/>
  <c r="D135" i="1"/>
  <c r="C135" i="24"/>
  <c r="D50" i="1"/>
  <c r="C50" i="24"/>
  <c r="J67" i="3"/>
  <c r="D12" i="1"/>
  <c r="J51" i="3"/>
  <c r="J79" i="3"/>
  <c r="J37" i="3"/>
  <c r="J105" i="3"/>
  <c r="J84" i="3"/>
  <c r="D81" i="1"/>
  <c r="C81" i="24"/>
  <c r="D151" i="1"/>
  <c r="J49" i="3"/>
  <c r="D11" i="1"/>
  <c r="C11" i="24"/>
  <c r="J83" i="3"/>
  <c r="D126" i="1"/>
  <c r="C126" i="24"/>
  <c r="J96" i="3"/>
  <c r="D154" i="1"/>
  <c r="C154" i="24"/>
  <c r="D119" i="1"/>
  <c r="C119" i="24"/>
  <c r="D91" i="1"/>
  <c r="C91" i="24"/>
  <c r="D42" i="1"/>
  <c r="C42" i="24"/>
  <c r="D26" i="1"/>
  <c r="C26" i="24"/>
  <c r="D77" i="1"/>
  <c r="C77" i="24"/>
  <c r="D51" i="1"/>
  <c r="C51" i="24"/>
  <c r="J33" i="3"/>
  <c r="J74" i="3"/>
  <c r="J109" i="3"/>
  <c r="J100" i="3"/>
  <c r="D124" i="1"/>
  <c r="C124" i="24"/>
  <c r="J112" i="3"/>
  <c r="J117" i="3"/>
  <c r="J22" i="3"/>
  <c r="D162" i="1"/>
  <c r="C162" i="24"/>
  <c r="J106" i="3"/>
  <c r="D163" i="1"/>
  <c r="C163" i="24"/>
  <c r="J93" i="3"/>
  <c r="J76" i="3"/>
  <c r="J12" i="3"/>
  <c r="J9" i="3"/>
  <c r="J116" i="3"/>
  <c r="J87" i="3"/>
  <c r="J97" i="3"/>
  <c r="J98" i="3"/>
  <c r="J38" i="3"/>
  <c r="D66" i="1"/>
  <c r="C66" i="24"/>
  <c r="J65" i="3"/>
  <c r="D7" i="1"/>
  <c r="C7" i="24"/>
  <c r="J78" i="3"/>
  <c r="D147" i="1"/>
  <c r="C147" i="24"/>
  <c r="J68" i="3"/>
  <c r="J101" i="3"/>
  <c r="J8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128" i="3"/>
  <c r="J130" i="3"/>
  <c r="J28" i="3"/>
  <c r="D52" i="1"/>
  <c r="C52" i="24"/>
  <c r="D108" i="1"/>
  <c r="C108" i="24"/>
  <c r="J15" i="3"/>
  <c r="J45" i="3"/>
  <c r="J41" i="3"/>
  <c r="D121" i="1"/>
  <c r="C121" i="24"/>
  <c r="D112" i="1"/>
  <c r="C112" i="24"/>
  <c r="D55" i="1"/>
  <c r="C55" i="24"/>
  <c r="J111" i="3"/>
  <c r="J40" i="3"/>
  <c r="J72" i="3"/>
  <c r="J102" i="3"/>
  <c r="J99" i="3"/>
  <c r="D72" i="1"/>
  <c r="C72" i="24"/>
  <c r="D157" i="1"/>
  <c r="C157" i="24"/>
  <c r="J138" i="3"/>
  <c r="J66" i="3"/>
  <c r="J69" i="3"/>
  <c r="D19" i="1"/>
  <c r="C19" i="24"/>
  <c r="D114" i="1"/>
  <c r="C114" i="24"/>
  <c r="D8" i="1"/>
  <c r="C8" i="24"/>
  <c r="J47" i="3"/>
  <c r="J82" i="3"/>
  <c r="D161" i="1"/>
  <c r="C161" i="24"/>
  <c r="J86" i="3"/>
  <c r="J73" i="3"/>
  <c r="D107" i="1"/>
  <c r="C107" i="24"/>
  <c r="J91" i="3"/>
  <c r="J135" i="3"/>
  <c r="J20" i="3"/>
  <c r="J122" i="3"/>
  <c r="D21" i="1"/>
  <c r="C21" i="24"/>
  <c r="J107" i="3"/>
  <c r="D132" i="1"/>
  <c r="C132" i="24"/>
  <c r="D39" i="1"/>
  <c r="C39" i="24"/>
  <c r="J133" i="3"/>
  <c r="J94" i="3"/>
  <c r="J30" i="3"/>
  <c r="D133" i="1"/>
  <c r="C133" i="24"/>
  <c r="D129" i="1"/>
  <c r="C129" i="24"/>
  <c r="D138" i="1"/>
  <c r="C138" i="24"/>
  <c r="J31" i="3"/>
  <c r="D83" i="1"/>
  <c r="C83" i="24"/>
  <c r="J11" i="3"/>
  <c r="J56" i="3"/>
  <c r="J64" i="3"/>
  <c r="J58" i="3"/>
  <c r="J136" i="3"/>
  <c r="J121" i="3"/>
  <c r="J39" i="3"/>
  <c r="D37" i="1"/>
  <c r="C37" i="24"/>
  <c r="D40" i="1"/>
  <c r="C40" i="24"/>
  <c r="J119" i="3"/>
  <c r="J46" i="3"/>
  <c r="J137" i="3"/>
  <c r="J132" i="3"/>
  <c r="J36" i="3"/>
  <c r="J75" i="3"/>
  <c r="J63" i="3"/>
  <c r="J113" i="3"/>
  <c r="J14" i="3"/>
  <c r="D78" i="1"/>
  <c r="C78" i="24"/>
  <c r="J125" i="3"/>
  <c r="J55" i="3"/>
  <c r="J71" i="3"/>
  <c r="J32" i="3"/>
  <c r="C166" i="24" l="1"/>
  <c r="C88" i="24"/>
  <c r="D48" i="1"/>
  <c r="D79" i="1"/>
  <c r="C164" i="24"/>
  <c r="C46" i="24"/>
  <c r="C61" i="24"/>
  <c r="D92" i="1"/>
  <c r="C96" i="24"/>
  <c r="D25" i="1"/>
  <c r="D67" i="1"/>
  <c r="C49" i="24"/>
  <c r="C122" i="24"/>
  <c r="C98" i="24"/>
  <c r="D15" i="1"/>
  <c r="M180" i="5"/>
  <c r="N180" i="5" s="1"/>
  <c r="C13" i="24"/>
  <c r="D20" i="1"/>
  <c r="N19" i="34"/>
  <c r="C70" i="24"/>
  <c r="D23" i="1"/>
  <c r="C171" i="24"/>
  <c r="M183" i="5"/>
  <c r="E183" i="5" s="1"/>
  <c r="E183" i="24" s="1"/>
  <c r="C155" i="24"/>
  <c r="C105" i="24"/>
  <c r="C173" i="24"/>
  <c r="C75" i="24"/>
  <c r="C146" i="24"/>
  <c r="D181" i="1"/>
  <c r="D180" i="1"/>
  <c r="C180" i="24"/>
  <c r="M182" i="5"/>
  <c r="G182" i="1" s="1"/>
  <c r="C120" i="24"/>
  <c r="C183" i="24"/>
  <c r="D183" i="1"/>
  <c r="D179" i="1"/>
  <c r="C179" i="24"/>
  <c r="D184" i="1"/>
  <c r="C184" i="24"/>
  <c r="C182" i="24"/>
  <c r="D182" i="1"/>
  <c r="M181" i="5"/>
  <c r="G181" i="1" s="1"/>
  <c r="W61" i="1"/>
  <c r="AK61" i="1" s="1"/>
  <c r="M179" i="5"/>
  <c r="E179" i="5" s="1"/>
  <c r="E179" i="24" s="1"/>
  <c r="M184" i="5"/>
  <c r="E184" i="5" s="1"/>
  <c r="E184" i="24" s="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G180" i="1" l="1"/>
  <c r="H180" i="1" s="1"/>
  <c r="K61" i="1" s="1"/>
  <c r="E180" i="5"/>
  <c r="E180" i="24" s="1"/>
  <c r="E182" i="5"/>
  <c r="E182" i="24" s="1"/>
  <c r="N183" i="5"/>
  <c r="G183" i="1"/>
  <c r="N182" i="5"/>
  <c r="E181" i="5"/>
  <c r="E181" i="24" s="1"/>
  <c r="N181" i="5"/>
  <c r="G184" i="1"/>
  <c r="H184" i="1" s="1"/>
  <c r="L62" i="1" s="1"/>
  <c r="O62" i="1" s="1"/>
  <c r="N184" i="5"/>
  <c r="N179" i="5"/>
  <c r="G179" i="1"/>
  <c r="H183" i="1"/>
  <c r="K62" i="1" s="1"/>
  <c r="X183" i="1"/>
  <c r="Z62" i="1" s="1"/>
  <c r="E182" i="1"/>
  <c r="D182" i="24"/>
  <c r="AD62" i="1"/>
  <c r="H181" i="1"/>
  <c r="L61" i="1" s="1"/>
  <c r="O61" i="1" s="1"/>
  <c r="X181" i="1"/>
  <c r="AA61" i="1" s="1"/>
  <c r="AB61" i="1"/>
  <c r="AE61" i="1" s="1"/>
  <c r="AC61" i="1"/>
  <c r="O31" i="6"/>
  <c r="L34" i="6" s="1"/>
  <c r="L20" i="6"/>
  <c r="L27" i="6"/>
  <c r="L10" i="6"/>
  <c r="N10" i="6"/>
  <c r="Q10" i="6" s="1"/>
  <c r="O10" i="6"/>
  <c r="M10" i="6"/>
  <c r="P10" i="6"/>
  <c r="H103" i="1"/>
  <c r="L35" i="1" s="1"/>
  <c r="H57" i="1"/>
  <c r="K20" i="1" s="1"/>
  <c r="N20" i="1" s="1"/>
  <c r="H18" i="1"/>
  <c r="K7" i="1" s="1"/>
  <c r="N7" i="1" s="1"/>
  <c r="H14" i="1"/>
  <c r="J6" i="1" s="1"/>
  <c r="M6" i="1" s="1"/>
  <c r="AE60" i="1"/>
  <c r="AH60" i="1" s="1"/>
  <c r="AG60" i="1"/>
  <c r="AF60" i="1"/>
  <c r="L6" i="6"/>
  <c r="G176" i="1"/>
  <c r="H176" i="1" s="1"/>
  <c r="J60" i="1" s="1"/>
  <c r="M60" i="1" s="1"/>
  <c r="E176" i="5"/>
  <c r="E176" i="24" s="1"/>
  <c r="N177" i="5"/>
  <c r="E177" i="5"/>
  <c r="E177" i="24" s="1"/>
  <c r="G177" i="1"/>
  <c r="E178" i="5"/>
  <c r="E178" i="24" s="1"/>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U61" i="1" l="1"/>
  <c r="U62" i="1"/>
  <c r="H179" i="1"/>
  <c r="J61" i="1" s="1"/>
  <c r="R61" i="1" s="1"/>
  <c r="AD61" i="1"/>
  <c r="AG61" i="1" s="1"/>
  <c r="AH61" i="1"/>
  <c r="AF61" i="1"/>
  <c r="X182" i="1"/>
  <c r="Y62" i="1" s="1"/>
  <c r="H182" i="1"/>
  <c r="J62" i="1" s="1"/>
  <c r="AC62" i="1"/>
  <c r="AF62" i="1" s="1"/>
  <c r="N62" i="1"/>
  <c r="Q62" i="1" s="1"/>
  <c r="N61" i="1"/>
  <c r="Q61" i="1" s="1"/>
  <c r="L13" i="6"/>
  <c r="AI60" i="1"/>
  <c r="G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I61" i="1" l="1"/>
  <c r="G179" i="5" s="1"/>
  <c r="G179" i="24" s="1"/>
  <c r="M61" i="1"/>
  <c r="M62" i="1"/>
  <c r="P62" i="1" s="1"/>
  <c r="S62" i="1" s="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AJ24" i="5" l="1"/>
  <c r="P61" i="1"/>
  <c r="S61" i="1" s="1"/>
  <c r="H179" i="5"/>
  <c r="AE62" i="1"/>
  <c r="AH62" i="1" s="1"/>
  <c r="T62" i="1"/>
  <c r="F182" i="5" s="1"/>
  <c r="M25" i="13"/>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1" i="1" l="1"/>
  <c r="F179" i="5" s="1"/>
  <c r="F179" i="24" s="1"/>
  <c r="F182" i="24"/>
  <c r="AE20" i="5"/>
  <c r="AI62" i="1"/>
  <c r="G182" i="5" s="1"/>
  <c r="Y39" i="13"/>
  <c r="AK5" i="13"/>
  <c r="AJ55" i="5"/>
  <c r="AJ39" i="5"/>
  <c r="AJ29" i="5"/>
  <c r="D5" i="54"/>
  <c r="J2" i="54"/>
  <c r="M10" i="13"/>
  <c r="G173" i="24"/>
  <c r="AJ15"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43" i="5"/>
  <c r="D6" i="54"/>
  <c r="AJ4" i="5"/>
  <c r="AJ6" i="5"/>
  <c r="AJ32" i="5"/>
  <c r="Y22" i="13"/>
  <c r="G119" i="24"/>
  <c r="J5" i="54"/>
  <c r="H173" i="5"/>
  <c r="G110" i="24"/>
  <c r="D4" i="54"/>
  <c r="H53" i="5"/>
  <c r="G77" i="24"/>
  <c r="G164" i="24"/>
  <c r="AJ45" i="5"/>
  <c r="AJ11" i="5"/>
  <c r="G62" i="24"/>
  <c r="G65" i="24"/>
  <c r="H137" i="5"/>
  <c r="G20" i="24"/>
  <c r="H20" i="5"/>
  <c r="AJ57" i="5"/>
  <c r="G11" i="24"/>
  <c r="G155" i="24"/>
  <c r="G161" i="24"/>
  <c r="H80" i="5"/>
  <c r="G140" i="24"/>
  <c r="H41" i="5"/>
  <c r="G71" i="24"/>
  <c r="G92" i="24"/>
  <c r="AJ13" i="5"/>
  <c r="H8" i="5"/>
  <c r="H50" i="5"/>
  <c r="G50" i="24"/>
  <c r="G158" i="24"/>
  <c r="AJ49" i="5"/>
  <c r="G5" i="24"/>
  <c r="H167" i="5"/>
  <c r="G167" i="24"/>
  <c r="H128" i="5"/>
  <c r="G131" i="24"/>
  <c r="G2" i="24"/>
  <c r="AJ53" i="5"/>
  <c r="AJ33" i="5"/>
  <c r="AJ54" i="5"/>
  <c r="AJ35" i="5"/>
  <c r="AJ31" i="5"/>
  <c r="AJ14" i="5"/>
  <c r="AJ50" i="5"/>
  <c r="AJ38" i="5"/>
  <c r="AJ12" i="5"/>
  <c r="AJ23" i="5"/>
  <c r="S36" i="1"/>
  <c r="T36" i="1" s="1"/>
  <c r="M7" i="13" s="1"/>
  <c r="S26" i="13"/>
  <c r="S32" i="13"/>
  <c r="F68" i="5"/>
  <c r="F68" i="24" s="1"/>
  <c r="F128" i="5"/>
  <c r="F128" i="24" s="1"/>
  <c r="S8" i="13"/>
  <c r="S45" i="1"/>
  <c r="T45" i="1" s="1"/>
  <c r="S27" i="1"/>
  <c r="T27" i="1" s="1"/>
  <c r="S55" i="13" s="1"/>
  <c r="S59" i="1"/>
  <c r="T59" i="1" s="1"/>
  <c r="Y38" i="13" s="1"/>
  <c r="AJ62" i="5"/>
  <c r="F65" i="5"/>
  <c r="F65" i="24" s="1"/>
  <c r="AJ22" i="5"/>
  <c r="AJ10" i="5"/>
  <c r="AJ46" i="5"/>
  <c r="AJ25" i="5"/>
  <c r="AJ52" i="5"/>
  <c r="AJ41" i="5"/>
  <c r="AJ8" i="5"/>
  <c r="AJ20" i="5"/>
  <c r="AJ59" i="5"/>
  <c r="H116" i="5"/>
  <c r="G116" i="24"/>
  <c r="S53" i="1"/>
  <c r="T53" i="1" s="1"/>
  <c r="M22" i="13" s="1"/>
  <c r="S37" i="1"/>
  <c r="T37" i="1" s="1"/>
  <c r="S8" i="1"/>
  <c r="T8" i="1" s="1"/>
  <c r="S48" i="13" s="1"/>
  <c r="AJ7" i="5"/>
  <c r="T38" i="1"/>
  <c r="H14" i="5"/>
  <c r="AJ36" i="5"/>
  <c r="AJ42" i="5"/>
  <c r="AJ60" i="5"/>
  <c r="S22" i="1"/>
  <c r="T22" i="1" s="1"/>
  <c r="M14" i="13" s="1"/>
  <c r="AJ19" i="5"/>
  <c r="AJ21" i="5"/>
  <c r="AJ30" i="5"/>
  <c r="G17" i="24"/>
  <c r="F17" i="5"/>
  <c r="T12" i="1"/>
  <c r="M35" i="13" s="1"/>
  <c r="T47" i="1"/>
  <c r="AJ51" i="5"/>
  <c r="AJ18" i="5"/>
  <c r="F113" i="5"/>
  <c r="Y17" i="13"/>
  <c r="AE9" i="13"/>
  <c r="S38" i="13"/>
  <c r="F38" i="5"/>
  <c r="F23" i="5"/>
  <c r="H107" i="5"/>
  <c r="G107" i="24"/>
  <c r="AJ9" i="5"/>
  <c r="F2" i="24"/>
  <c r="F8" i="24"/>
  <c r="H35" i="5"/>
  <c r="G35" i="24"/>
  <c r="F26" i="24"/>
  <c r="F47" i="5"/>
  <c r="H146" i="5"/>
  <c r="G146" i="24"/>
  <c r="AJ44" i="5"/>
  <c r="H32" i="5"/>
  <c r="G32" i="24"/>
  <c r="AJ48" i="5"/>
  <c r="F80" i="24"/>
  <c r="F167" i="24"/>
  <c r="H29" i="5"/>
  <c r="G29" i="24"/>
  <c r="AJ16" i="5"/>
  <c r="F89" i="24"/>
  <c r="F59" i="24"/>
  <c r="AJ61" i="5"/>
  <c r="F95" i="5"/>
  <c r="F161" i="5"/>
  <c r="S40" i="13"/>
  <c r="F14" i="5"/>
  <c r="Y21" i="13"/>
  <c r="F44" i="24"/>
  <c r="T41" i="1"/>
  <c r="M21" i="13" s="1"/>
  <c r="H95" i="5"/>
  <c r="G95" i="24"/>
  <c r="AJ26" i="5"/>
  <c r="F86" i="24"/>
  <c r="F50" i="24"/>
  <c r="F158" i="24"/>
  <c r="F164" i="24"/>
  <c r="H44" i="5"/>
  <c r="G44" i="24"/>
  <c r="AJ28" i="5"/>
  <c r="H98" i="5"/>
  <c r="G98" i="24"/>
  <c r="AJ27" i="5"/>
  <c r="F92" i="24"/>
  <c r="AJ34" i="5"/>
  <c r="K2" i="54"/>
  <c r="F35" i="5"/>
  <c r="H23" i="5"/>
  <c r="G23" i="24"/>
  <c r="AJ40" i="5"/>
  <c r="H122" i="5"/>
  <c r="G122" i="24"/>
  <c r="AJ5" i="5"/>
  <c r="T46" i="1"/>
  <c r="H89" i="5"/>
  <c r="G89" i="24"/>
  <c r="AJ3" i="5"/>
  <c r="H26" i="5"/>
  <c r="G26" i="24"/>
  <c r="F41" i="5"/>
  <c r="F152" i="5"/>
  <c r="H86" i="5"/>
  <c r="G86" i="24"/>
  <c r="AJ17" i="5"/>
  <c r="F71" i="24"/>
  <c r="F140" i="5"/>
  <c r="H125" i="5"/>
  <c r="G125" i="24"/>
  <c r="H74" i="5"/>
  <c r="G74" i="24"/>
  <c r="AJ56" i="5"/>
  <c r="F122" i="5"/>
  <c r="F98" i="5"/>
  <c r="AE12" i="13"/>
  <c r="F83" i="5"/>
  <c r="H149" i="5"/>
  <c r="G149" i="24"/>
  <c r="AJ58" i="5"/>
  <c r="H83" i="5"/>
  <c r="G83" i="24"/>
  <c r="AJ47" i="5"/>
  <c r="AE14" i="5" l="1"/>
  <c r="S18" i="13"/>
  <c r="S33" i="13"/>
  <c r="S12" i="13"/>
  <c r="K4" i="54"/>
  <c r="H182" i="5"/>
  <c r="H1" i="5" s="1"/>
  <c r="AJ37" i="5"/>
  <c r="AL37"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54" i="5" s="1"/>
  <c r="AE17" i="13"/>
  <c r="F32" i="5"/>
  <c r="AE9" i="5" s="1"/>
  <c r="AE16" i="13"/>
  <c r="Y19" i="13"/>
  <c r="Y24" i="13"/>
  <c r="Y13" i="13"/>
  <c r="Y3" i="13"/>
  <c r="Y27" i="13"/>
  <c r="Y33" i="13"/>
  <c r="Y16" i="13"/>
  <c r="S51" i="13"/>
  <c r="Y26" i="13"/>
  <c r="S37" i="13"/>
  <c r="S52" i="13"/>
  <c r="S30" i="13"/>
  <c r="S47" i="13"/>
  <c r="S46" i="13"/>
  <c r="F173" i="5"/>
  <c r="AE52" i="5" s="1"/>
  <c r="F110" i="5"/>
  <c r="AE36" i="5" s="1"/>
  <c r="S50" i="13"/>
  <c r="S4" i="13"/>
  <c r="F20" i="5"/>
  <c r="AE59" i="5" s="1"/>
  <c r="S11" i="13"/>
  <c r="S36" i="13"/>
  <c r="F17" i="24"/>
  <c r="Y12" i="13"/>
  <c r="AE61" i="5"/>
  <c r="F122" i="24"/>
  <c r="F140" i="24"/>
  <c r="S13" i="13"/>
  <c r="F134" i="5"/>
  <c r="AE60" i="5" s="1"/>
  <c r="Y7" i="13"/>
  <c r="F98" i="24"/>
  <c r="F152" i="24"/>
  <c r="F35" i="24"/>
  <c r="Y31" i="13"/>
  <c r="F119" i="5"/>
  <c r="AE56" i="5" s="1"/>
  <c r="F83" i="24"/>
  <c r="AE7" i="5"/>
  <c r="F47" i="24"/>
  <c r="F41" i="24"/>
  <c r="F161" i="24"/>
  <c r="AE3" i="5"/>
  <c r="F23" i="24"/>
  <c r="F38" i="24"/>
  <c r="F113" i="24"/>
  <c r="F14" i="24"/>
  <c r="F95" i="24"/>
  <c r="S37" i="34" l="1"/>
  <c r="AL11" i="5"/>
  <c r="AL10" i="5"/>
  <c r="AL22" i="5"/>
  <c r="AL60" i="5"/>
  <c r="AL51" i="5"/>
  <c r="AL54" i="5"/>
  <c r="AL31" i="5"/>
  <c r="AL49" i="5"/>
  <c r="AL9" i="5"/>
  <c r="AL12" i="5"/>
  <c r="AL5" i="5"/>
  <c r="AL38" i="5"/>
  <c r="AL47" i="5"/>
  <c r="AL30" i="5"/>
  <c r="AL19" i="5"/>
  <c r="S34" i="34"/>
  <c r="AL33" i="5"/>
  <c r="AL61" i="5"/>
  <c r="AL62" i="5"/>
  <c r="AL13" i="5"/>
  <c r="AL34" i="5"/>
  <c r="AL53" i="5"/>
  <c r="AL40" i="5"/>
  <c r="AL26" i="5"/>
  <c r="AL58" i="5"/>
  <c r="AL57" i="5"/>
  <c r="AL3" i="5"/>
  <c r="AL18" i="5"/>
  <c r="AL14" i="5"/>
  <c r="AL35" i="5"/>
  <c r="AL43" i="5"/>
  <c r="O25" i="34"/>
  <c r="P25" i="34" s="1"/>
  <c r="AL7" i="5"/>
  <c r="AL25" i="5"/>
  <c r="AL29" i="5"/>
  <c r="AL28" i="5"/>
  <c r="AL16" i="5"/>
  <c r="AL15" i="5"/>
  <c r="AL42" i="5"/>
  <c r="AL50" i="5"/>
  <c r="AL27" i="5"/>
  <c r="AL56" i="5"/>
  <c r="AL4" i="5"/>
  <c r="AL32" i="5"/>
  <c r="AL41" i="5"/>
  <c r="AL45" i="5"/>
  <c r="AL46" i="5"/>
  <c r="AL21" i="5"/>
  <c r="AL52" i="5"/>
  <c r="AL48" i="5"/>
  <c r="AL20" i="5"/>
  <c r="AL55" i="5"/>
  <c r="AL24" i="5"/>
  <c r="AL36" i="5"/>
  <c r="O26" i="34"/>
  <c r="M26" i="34" s="1"/>
  <c r="AL8" i="5"/>
  <c r="AL6" i="5"/>
  <c r="AL59" i="5"/>
  <c r="AL23" i="5"/>
  <c r="AL17" i="5"/>
  <c r="AL2" i="5"/>
  <c r="AL44" i="5"/>
  <c r="AL39" i="5"/>
  <c r="AN1" i="5"/>
  <c r="M28" i="34" s="1"/>
  <c r="AE25" i="5"/>
  <c r="AE16" i="5"/>
  <c r="AE38" i="5"/>
  <c r="AE33" i="5"/>
  <c r="AE50" i="5"/>
  <c r="AE44" i="5"/>
  <c r="AE6" i="5"/>
  <c r="AE4" i="5"/>
  <c r="AE26" i="5"/>
  <c r="AE23" i="5"/>
  <c r="AE55" i="5"/>
  <c r="AE58" i="5"/>
  <c r="AE43" i="5"/>
  <c r="AE53" i="5"/>
  <c r="AE22" i="5"/>
  <c r="AE11" i="5"/>
  <c r="AE29" i="5"/>
  <c r="AE46" i="5"/>
  <c r="F173" i="24"/>
  <c r="AE62" i="5"/>
  <c r="F131" i="24"/>
  <c r="AE12" i="5"/>
  <c r="AE17" i="5"/>
  <c r="AE35" i="5"/>
  <c r="AE13" i="5"/>
  <c r="AE45" i="5"/>
  <c r="AE24" i="5"/>
  <c r="AE30" i="5"/>
  <c r="AE37" i="5"/>
  <c r="AE31" i="5"/>
  <c r="AE27" i="5"/>
  <c r="AE19" i="5"/>
  <c r="AE48" i="5"/>
  <c r="AE34" i="5"/>
  <c r="AE41" i="5"/>
  <c r="AE51" i="5"/>
  <c r="F62" i="24"/>
  <c r="AE15" i="5"/>
  <c r="AE28" i="5"/>
  <c r="AE42" i="5"/>
  <c r="AE10" i="5"/>
  <c r="AE8" i="5"/>
  <c r="F32" i="24"/>
  <c r="AE18" i="5"/>
  <c r="F20" i="24"/>
  <c r="AE5" i="5"/>
  <c r="F110" i="24"/>
  <c r="AE32" i="5"/>
  <c r="AE21" i="5"/>
  <c r="AE47" i="5"/>
  <c r="AE2" i="5"/>
  <c r="AE57" i="5"/>
  <c r="AE40" i="5"/>
  <c r="F119" i="24"/>
  <c r="AE39" i="5"/>
  <c r="F134" i="24"/>
  <c r="AE49" i="5"/>
  <c r="P26" i="34" l="1"/>
  <c r="M25" i="34"/>
  <c r="AG14" i="5"/>
  <c r="AG20" i="5"/>
  <c r="AG8" i="5"/>
  <c r="AG25" i="5"/>
  <c r="AG2" i="5"/>
  <c r="AG34" i="5"/>
  <c r="AG15" i="5"/>
  <c r="AG54" i="5"/>
  <c r="AG7" i="5"/>
  <c r="AG49" i="5"/>
  <c r="AG26" i="5"/>
  <c r="AG10" i="5"/>
  <c r="AG16" i="5"/>
  <c r="AG56" i="5"/>
  <c r="AG31" i="5"/>
  <c r="AG52" i="5"/>
  <c r="AG36" i="5"/>
  <c r="AG45" i="5"/>
  <c r="AG5" i="5"/>
  <c r="AG9" i="5"/>
  <c r="AG50" i="5"/>
  <c r="AG51" i="5"/>
  <c r="AG13" i="5"/>
  <c r="AG48" i="5"/>
  <c r="AG23" i="5"/>
  <c r="AG40" i="5"/>
  <c r="AG11" i="5"/>
  <c r="AG19" i="5"/>
  <c r="AG28" i="5"/>
  <c r="AG35" i="5"/>
  <c r="AG58" i="5"/>
  <c r="AG59" i="5"/>
  <c r="AG43" i="5"/>
  <c r="AG44" i="5"/>
  <c r="AG4" i="5"/>
  <c r="AG39" i="5"/>
  <c r="AG3" i="5"/>
  <c r="AG12" i="5"/>
  <c r="AG47" i="5"/>
  <c r="AG46" i="5"/>
  <c r="AG62" i="5"/>
  <c r="AG24" i="5"/>
  <c r="AG32" i="5"/>
  <c r="AG27" i="5"/>
  <c r="AG41" i="5"/>
  <c r="AG21" i="5"/>
  <c r="AG17" i="5"/>
  <c r="AG55" i="5"/>
  <c r="AG37" i="5"/>
  <c r="AG60" i="5"/>
  <c r="AG18" i="5"/>
  <c r="AG57" i="5"/>
  <c r="AG29" i="5"/>
  <c r="AG61" i="5"/>
  <c r="AG53" i="5"/>
  <c r="AG30" i="5"/>
  <c r="AG33" i="5"/>
  <c r="AG6" i="5"/>
  <c r="AG38" i="5"/>
  <c r="AG22" i="5"/>
  <c r="AG42"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<sst xmlns="http://schemas.openxmlformats.org/spreadsheetml/2006/main" count="2130" uniqueCount="652">
  <si>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</si>
  <si>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</si>
  <si>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</si>
  <si>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</si>
  <si>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</si>
  <si>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</si>
  <si>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</si>
  <si>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</si>
  <si>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</si>
  <si>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</si>
  <si>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</si>
  <si>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</si>
  <si>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</si>
  <si>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</si>
  <si>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</si>
  <si>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</si>
  <si>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</si>
  <si>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</si>
  <si>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</si>
  <si>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</si>
  <si>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</si>
  <si>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</si>
  <si>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</si>
  <si>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</si>
  <si>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</si>
  <si>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</si>
  <si>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</si>
  <si>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</si>
  <si>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</si>
  <si>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</si>
  <si>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</si>
  <si>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</si>
  <si>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</si>
  <si>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</si>
  <si>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</si>
  <si>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</si>
  <si>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</si>
  <si>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</si>
  <si>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</si>
  <si>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</si>
  <si>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</si>
  <si>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</si>
  <si>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</si>
  <si>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</si>
  <si>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</si>
  <si>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</si>
  <si>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</si>
  <si>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</si>
  <si>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</si>
  <si>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</si>
  <si>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</si>
  <si>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</si>
  <si>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</si>
  <si>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</si>
  <si>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</si>
  <si>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</si>
  <si>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</si>
  <si>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</si>
  <si>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</si>
  <si>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</si>
  <si>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</si>
  <si>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</si>
  <si>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</si>
  <si>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</si>
  <si>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</si>
  <si>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</si>
  <si>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</si>
  <si>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</si>
  <si>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</si>
  <si>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</si>
  <si>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</si>
  <si>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</si>
  <si>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</si>
  <si>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</si>
  <si>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</si>
  <si>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</si>
  <si>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</si>
  <si>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</si>
  <si>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</si>
  <si>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</si>
  <si>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</si>
  <si>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</si>
  <si>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</si>
  <si>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</si>
  <si>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</si>
  <si>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</si>
  <si>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</si>
  <si>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</si>
  <si>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</si>
  <si>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</si>
  <si>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</si>
  <si>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</si>
  <si>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</si>
  <si>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</si>
  <si>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</si>
  <si>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</si>
  <si>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</si>
  <si>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</si>
  <si>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</si>
  <si>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</si>
  <si>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</si>
  <si>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</si>
  <si>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</si>
  <si>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</si>
  <si>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</si>
  <si>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</si>
  <si>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</si>
  <si>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</si>
  <si>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</si>
  <si>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</si>
  <si>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</si>
  <si>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</si>
  <si>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</si>
  <si>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</si>
  <si>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</si>
  <si>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</si>
  <si>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</si>
  <si>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</si>
  <si>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</si>
  <si>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</si>
  <si>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</si>
  <si>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</si>
  <si>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</si>
  <si>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</si>
  <si>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</si>
  <si>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</si>
  <si>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</si>
  <si>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</si>
  <si>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</si>
  <si>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</si>
  <si>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</si>
  <si>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</si>
  <si>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</si>
  <si>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</si>
  <si>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</si>
  <si>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</si>
  <si>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</si>
  <si>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</si>
  <si>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</si>
  <si>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</si>
  <si>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</si>
  <si>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</si>
  <si>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</si>
  <si>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</si>
  <si>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</si>
  <si>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</si>
  <si>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</si>
  <si>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</si>
  <si>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</si>
  <si>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</si>
  <si>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</si>
  <si>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</si>
  <si>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</si>
  <si>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</si>
  <si>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</si>
  <si>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</si>
  <si>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</si>
  <si>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</si>
  <si>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</si>
  <si>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</si>
  <si>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</si>
  <si>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</si>
  <si>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</si>
  <si>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</si>
  <si>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</si>
  <si>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</si>
  <si>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</si>
  <si>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</si>
  <si>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</si>
  <si>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</si>
  <si>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</si>
  <si>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</si>
  <si>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</si>
  <si>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</si>
  <si>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</si>
  <si>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</si>
  <si>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</si>
  <si>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</si>
  <si>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</si>
  <si>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</si>
  <si>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</si>
  <si>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</si>
  <si>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</si>
  <si>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</si>
  <si>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</si>
  <si>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</si>
  <si>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</si>
  <si>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</si>
  <si>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</si>
  <si>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</si>
  <si>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</si>
  <si>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</si>
  <si>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</si>
  <si>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</si>
  <si>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</si>
  <si>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</si>
  <si>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</si>
  <si>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</si>
  <si>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</si>
  <si>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</si>
  <si>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</si>
  <si>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</si>
  <si>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</si>
  <si>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</si>
  <si>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</si>
  <si>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</si>
  <si>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</si>
  <si>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</si>
  <si>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</si>
  <si>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</si>
  <si>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</si>
  <si>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</si>
  <si>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</si>
  <si>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</si>
  <si>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</si>
  <si>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</si>
  <si>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</si>
  <si>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</si>
  <si>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</si>
  <si>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</si>
  <si>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</si>
  <si>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</si>
  <si>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</si>
  <si>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</si>
  <si>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</si>
  <si>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</si>
  <si>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</si>
  <si>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</si>
  <si>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</si>
  <si>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</si>
  <si>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</si>
  <si>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</si>
  <si>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</si>
  <si>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</si>
  <si>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</si>
  <si>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</si>
  <si>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</si>
  <si>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</si>
  <si>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</si>
  <si>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</si>
  <si>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</si>
  <si>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</si>
  <si>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</si>
  <si>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</si>
  <si>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</si>
  <si>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</si>
  <si>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</si>
  <si>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</si>
  <si>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</si>
  <si>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</si>
  <si>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</si>
  <si>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</si>
  <si>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</si>
  <si>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</si>
  <si>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</si>
  <si>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</si>
  <si>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</si>
  <si>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</si>
  <si>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</si>
  <si>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</si>
  <si>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</si>
  <si>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</si>
  <si>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</si>
  <si>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</si>
  <si>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</si>
  <si>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</si>
  <si>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</si>
  <si>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</si>
  <si>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</si>
  <si>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</si>
  <si>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</si>
  <si>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</si>
  <si>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</si>
  <si>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</si>
  <si>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</si>
  <si>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</si>
  <si>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</si>
  <si>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</si>
  <si>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</si>
  <si>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</si>
  <si>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</si>
  <si>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</si>
  <si>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</si>
  <si>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</si>
  <si>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</si>
  <si>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</si>
  <si>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</si>
  <si>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</si>
  <si>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</si>
  <si>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</si>
  <si>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</si>
  <si>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</si>
  <si>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</si>
  <si>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</si>
  <si>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</si>
  <si>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</si>
  <si>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</si>
  <si>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</si>
  <si>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</si>
  <si>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</si>
  <si>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</si>
  <si>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</si>
  <si>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</si>
  <si>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</si>
  <si>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</si>
  <si>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</si>
  <si>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</si>
  <si>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</si>
  <si>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</si>
  <si>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</si>
  <si>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</si>
  <si>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</si>
  <si>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</si>
  <si>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</si>
  <si>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</si>
  <si>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</si>
  <si>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</si>
  <si>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</si>
  <si>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</si>
  <si>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</si>
  <si>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</si>
  <si>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</si>
  <si>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</si>
  <si>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</si>
  <si>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</si>
  <si>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</si>
  <si>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</si>
  <si>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</si>
  <si>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</si>
  <si>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</si>
  <si>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</si>
  <si>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</si>
  <si>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</si>
  <si>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</si>
  <si>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</si>
  <si>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</si>
  <si>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</si>
  <si>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</si>
  <si>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</si>
  <si>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</si>
  <si>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</si>
  <si>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</si>
  <si>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</si>
  <si>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</si>
  <si>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</si>
  <si>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</si>
  <si>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</si>
  <si>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</si>
  <si>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</si>
  <si>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</si>
  <si>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</si>
  <si>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</si>
  <si>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</si>
  <si>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</si>
  <si>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</si>
  <si>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</si>
  <si>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</si>
  <si>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</si>
  <si>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</si>
  <si>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</si>
  <si>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</si>
  <si>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</si>
  <si>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</si>
  <si>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</si>
  <si>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</si>
  <si>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</si>
  <si>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</si>
  <si>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</si>
  <si>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</si>
  <si>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</si>
  <si>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</si>
  <si>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</si>
  <si>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</si>
  <si>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</si>
  <si>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</si>
  <si>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</si>
  <si>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</si>
  <si>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</si>
  <si>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</si>
  <si>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</si>
  <si>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</si>
  <si>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</si>
  <si>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</si>
  <si>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</si>
  <si>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</si>
  <si>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</si>
  <si>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</si>
  <si>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</si>
  <si>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</si>
  <si>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</si>
  <si>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</si>
  <si>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</si>
  <si>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</si>
  <si>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</si>
  <si>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</si>
  <si>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</si>
  <si>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</si>
  <si>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</si>
  <si>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</si>
  <si>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</si>
  <si>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</si>
  <si>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</si>
  <si>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</si>
  <si>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</si>
  <si>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</si>
  <si>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</si>
  <si>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</si>
  <si>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</si>
  <si>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</si>
  <si>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</si>
  <si>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</si>
  <si>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</si>
  <si>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</si>
  <si>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</si>
  <si>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</si>
  <si>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</si>
  <si>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</si>
  <si>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</si>
  <si>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</si>
  <si>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</si>
  <si>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</si>
  <si>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</si>
  <si>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</si>
  <si>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</si>
  <si>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</si>
  <si>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</si>
  <si>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</si>
  <si>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</si>
  <si>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</si>
  <si>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</si>
  <si>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</si>
  <si>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</si>
  <si>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</si>
  <si>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</si>
  <si>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</si>
  <si>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</si>
  <si>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</si>
  <si>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</si>
  <si>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</si>
  <si>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</si>
  <si>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</si>
  <si>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</si>
  <si>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</si>
  <si>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</si>
  <si>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</si>
  <si>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</si>
  <si>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</si>
  <si>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</si>
  <si>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</si>
  <si>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</si>
  <si>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</si>
  <si>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</si>
  <si>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</si>
  <si>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</si>
  <si>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</si>
  <si>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</si>
  <si>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</si>
  <si>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</si>
  <si>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</si>
  <si>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</si>
  <si>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</si>
  <si>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</si>
  <si>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</si>
  <si>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</si>
  <si>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</si>
  <si>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</si>
  <si>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</si>
  <si>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</si>
  <si>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</si>
  <si>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</si>
  <si>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</si>
  <si>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</si>
  <si>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</si>
  <si>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</si>
  <si>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</si>
  <si>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</si>
  <si>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</si>
  <si>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</si>
  <si>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</si>
  <si>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</si>
  <si>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</si>
  <si>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</si>
  <si>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</si>
  <si>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</si>
  <si>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</si>
  <si>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</si>
  <si>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</si>
  <si>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</si>
  <si>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</si>
  <si>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</si>
  <si>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</si>
  <si>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</si>
  <si>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</si>
  <si>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</si>
  <si>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</si>
  <si>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</si>
  <si>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</si>
  <si>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</si>
  <si>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</si>
  <si>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</si>
  <si>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</si>
  <si>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</si>
  <si>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</si>
  <si>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</si>
  <si>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</si>
  <si>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</si>
  <si>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</si>
  <si>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</si>
  <si>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</si>
  <si>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</si>
  <si>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</si>
  <si>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</si>
  <si>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</si>
  <si>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</si>
  <si>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</si>
  <si>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</si>
  <si>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</si>
  <si>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</si>
  <si>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</si>
  <si>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</si>
  <si>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</si>
  <si>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</si>
  <si>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</si>
  <si>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</si>
  <si>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</si>
  <si>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</si>
  <si>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</si>
  <si>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</si>
  <si>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</si>
  <si>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</si>
  <si>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</si>
  <si>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Hull</t>
  </si>
  <si>
    <t>QPR</t>
  </si>
  <si>
    <t>Burnley</t>
  </si>
  <si>
    <t>Middlesbro</t>
  </si>
  <si>
    <t>Reading</t>
  </si>
  <si>
    <t>Preston</t>
  </si>
  <si>
    <t>Watford</t>
  </si>
  <si>
    <t>R</t>
  </si>
  <si>
    <t>Blackpool</t>
  </si>
  <si>
    <t>Stoke</t>
  </si>
  <si>
    <t>Bristol R</t>
  </si>
  <si>
    <t>Tranmere</t>
  </si>
  <si>
    <t>Burnley draw</t>
  </si>
  <si>
    <t>Bolton</t>
  </si>
  <si>
    <t>Sheff W</t>
  </si>
  <si>
    <t>Mansfield</t>
  </si>
  <si>
    <t>Fleetwood</t>
  </si>
  <si>
    <t>Cambridge</t>
  </si>
  <si>
    <t>Forest Green</t>
  </si>
  <si>
    <t>Stevenage</t>
  </si>
  <si>
    <t>West Brom</t>
  </si>
  <si>
    <t>Leicester</t>
  </si>
  <si>
    <t>Brighton</t>
  </si>
  <si>
    <t>Luton</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</si>
  <si>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</si>
  <si>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</si>
  <si>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</si>
  <si>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</si>
  <si>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</si>
  <si>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</si>
  <si>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</si>
  <si>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</si>
  <si>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</si>
  <si>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</si>
  <si>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</si>
  <si>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</si>
  <si>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</si>
  <si>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</si>
  <si>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</si>
  <si>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</si>
  <si>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</si>
  <si>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Arsenal</t>
  </si>
  <si>
    <t>Port Vale</t>
  </si>
  <si>
    <t>Peterborough</t>
  </si>
  <si>
    <t>Fulham</t>
  </si>
  <si>
    <t>Chelsea</t>
  </si>
  <si>
    <t>Brentford</t>
  </si>
  <si>
    <t>Palace</t>
  </si>
  <si>
    <t>Newcastle</t>
  </si>
  <si>
    <t>Wolves</t>
  </si>
  <si>
    <t>Cardiff</t>
  </si>
  <si>
    <t>Swansea</t>
  </si>
  <si>
    <t>Derby</t>
  </si>
  <si>
    <t>Barnsley</t>
  </si>
  <si>
    <t>Plymouth</t>
  </si>
  <si>
    <t>Crewe</t>
  </si>
  <si>
    <t>Forest</t>
  </si>
  <si>
    <t>Leeds</t>
  </si>
  <si>
    <t>N</t>
  </si>
  <si>
    <t>Rank #
of 61</t>
  </si>
  <si>
    <t>Premier</t>
  </si>
  <si>
    <t>Birmingham</t>
  </si>
  <si>
    <t>Bournemouth</t>
  </si>
  <si>
    <t>Southampton</t>
  </si>
  <si>
    <t>Champ</t>
  </si>
  <si>
    <t>Rotherham</t>
  </si>
  <si>
    <t>Bristol C</t>
  </si>
  <si>
    <t>Norwich</t>
  </si>
  <si>
    <t>Coventry</t>
  </si>
  <si>
    <t>Millwall</t>
  </si>
  <si>
    <t>Blackburn</t>
  </si>
  <si>
    <t>Huddersfield</t>
  </si>
  <si>
    <t>League 1</t>
  </si>
  <si>
    <t>Burton</t>
  </si>
  <si>
    <t>Charlton</t>
  </si>
  <si>
    <t>Cheltenham</t>
  </si>
  <si>
    <t>Accrington</t>
  </si>
  <si>
    <t>Ipswich</t>
  </si>
  <si>
    <t>Lincoln</t>
  </si>
  <si>
    <t>MK Dons</t>
  </si>
  <si>
    <t>Oxford</t>
  </si>
  <si>
    <t>Morecambe</t>
  </si>
  <si>
    <t>League 2</t>
  </si>
  <si>
    <t>Barrow</t>
  </si>
  <si>
    <t>Newport</t>
  </si>
  <si>
    <t>Crawley</t>
  </si>
  <si>
    <t>Grimsby</t>
  </si>
  <si>
    <t>Colchester</t>
  </si>
  <si>
    <t>Harrogate</t>
  </si>
  <si>
    <t>Stockport</t>
  </si>
  <si>
    <t>Hartlepool</t>
  </si>
  <si>
    <t>Sutton</t>
  </si>
  <si>
    <t>Gillingham</t>
  </si>
  <si>
    <t>Rochdale</t>
  </si>
  <si>
    <t>Northampton</t>
  </si>
  <si>
    <t>Bradford</t>
  </si>
  <si>
    <t>Walsall</t>
  </si>
  <si>
    <t>Orient</t>
  </si>
  <si>
    <t>Wimbledon</t>
  </si>
  <si>
    <t>Man C</t>
  </si>
  <si>
    <t>Stoke draw</t>
  </si>
  <si>
    <t>Arsenal draw</t>
  </si>
  <si>
    <t>West Ham draw</t>
  </si>
  <si>
    <t>Southampton draw</t>
  </si>
  <si>
    <t>Palace draw</t>
  </si>
  <si>
    <t>Peterborough draw</t>
  </si>
  <si>
    <t>Hartlepool draw</t>
  </si>
  <si>
    <t>Bournemouth draw</t>
  </si>
  <si>
    <t>Ipswich draw</t>
  </si>
  <si>
    <t>Lincoln Draw</t>
  </si>
  <si>
    <t>Wycombe Draw</t>
  </si>
  <si>
    <t>Hartlepool Draw</t>
  </si>
  <si>
    <t>Leeds draw</t>
  </si>
  <si>
    <t>Watford draw</t>
  </si>
  <si>
    <t>Wycombe draw</t>
  </si>
  <si>
    <t>Blackpool draw</t>
  </si>
  <si>
    <t>Man C draw</t>
  </si>
  <si>
    <t>Mansfield draw</t>
  </si>
  <si>
    <t>Man c draw</t>
  </si>
  <si>
    <t>7</t>
  </si>
  <si>
    <t>Orient, Charlton, Watford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</si>
</sst>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50">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3" xfId="0" applyFont="1" applyFill="1" applyBorder="1" applyAlignment="1">
      <alignment horizontal="left" vertical="top"/>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16" fontId="56" fillId="9" borderId="0" xfId="0" quotePrefix="1" applyNumberFormat="1" applyFont="1" applyFill="1" applyAlignment="1">
      <alignment horizontal="left" vertical="center"/>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6"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56"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1" xfId="0" applyNumberFormat="1" applyBorder="1"/>
    <xf numFmtId="0" fontId="0" fillId="0" borderId="73" xfId="0" applyNumberFormat="1" applyBorder="1"/>
    <xf numFmtId="0" fontId="0" fillId="0" borderId="75" xfId="0" applyNumberFormat="1" applyBorder="1"/>
    <xf numFmtId="0" fontId="0" fillId="0" borderId="70" xfId="0" applyNumberFormat="1" applyBorder="1"/>
    <xf numFmtId="0" fontId="0" fillId="0" borderId="92" xfId="0" applyNumberFormat="1" applyBorder="1"/>
    <xf numFmtId="0" fontId="0" fillId="0" borderId="72" xfId="0" applyNumberFormat="1" applyBorder="1"/>
    <xf numFmtId="0" fontId="0" fillId="0" borderId="0" xfId="0" applyNumberFormat="1"/>
    <xf numFmtId="0" fontId="0" fillId="0" borderId="74" xfId="0" applyNumberFormat="1" applyBorder="1"/>
    <xf numFmtId="0" fontId="0" fillId="0" borderId="109" xfId="0" applyNumberFormat="1" applyBorder="1"/>
    <xf numFmtId="0" fontId="38" fillId="8" borderId="14" xfId="0" applyFont="1" applyFill="1" applyBorder="1" applyAlignment="1">
      <alignment horizontal="center" vertical="center" shrinkToFit="1"/>
    </xf>
  </cellXfs>
  <cellStyles count="2">
    <cellStyle name="Hyperlink" xfId="1" builtinId="8"/>
    <cellStyle name="Normal" xfId="0" builtinId="0"/>
  </cellStyles>
  <dxfs count="22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70.828671990741" createdVersion="7" refreshedVersion="8" minRefreshableVersion="3" recordCount="60" xr:uid="{C852E082-0777-4EAE-9EB4-1F9C7A7FAB5C}">
  <cacheSource type="worksheet">
    <worksheetSource ref="A1:P61" sheet="Table"/>
  </cacheSource>
  <cacheFields count="16">
    <cacheField name="PL41/Week 7"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49" maxValue="128.95999999999995"/>
    </cacheField>
    <cacheField name="Total_x000a_correct" numFmtId="1">
      <sharedItems containsSemiMixedTypes="0" containsString="0" containsNumber="1" containsInteger="1" minValue="0" maxValue="16"/>
    </cacheField>
    <cacheField name="Week_x000a_Score" numFmtId="170">
      <sharedItems containsSemiMixedTypes="0" containsString="0" containsNumber="1" minValue="-7" maxValue="50.453125"/>
    </cacheField>
    <cacheField name="Week_x000a_Correct" numFmtId="1">
      <sharedItems containsSemiMixedTypes="0" containsString="0" containsNumber="1" containsInteger="1" minValue="0" maxValue="4" count="5">
        <n v="3"/>
        <n v="2"/>
        <n v="1"/>
        <n v="0"/>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20.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70.829684722223" createdVersion="8" refreshedVersion="8" minRefreshableVersion="3" recordCount="183" xr:uid="{11EBC7E0-4ABB-4C49-9C39-F6C2D7E18A8F}">
  <cacheSource type="worksheet">
    <worksheetSource ref="J1:N184" sheet="Picks"/>
  </cacheSource>
  <cacheFields count="5">
    <cacheField name="Wk1" numFmtId="0">
      <sharedItems containsBlank="1" count="171">
        <s v="Wigan"/>
        <s v="Ipswich draw"/>
        <s v="Plymouth"/>
        <s v="Crawley"/>
        <s v="Mansfield draw"/>
        <s v="Orient"/>
        <s v="Shrewsbury"/>
        <s v="Northampton"/>
        <s v="Bournemouth draw"/>
        <s v="Man C"/>
        <s v="Man C draw"/>
        <s v="Chelsea"/>
        <s v="Wolves"/>
        <s v="Man U"/>
        <s v="Lincoln Draw"/>
        <s v="Wycombe Draw"/>
        <s v="Hartlepool Draw"/>
        <s v="Southampton"/>
        <s v="Fulham"/>
        <s v="Spurs"/>
        <s v="Brighton"/>
        <s v="Charlton"/>
        <s v="Hull"/>
        <s v="Luton"/>
        <s v="Carlisle"/>
        <s v="Exeter"/>
        <s v="Norwich"/>
        <s v="Leicester"/>
        <s v="Palace draw"/>
        <s v="Watford draw"/>
        <s v="Peterborough draw"/>
        <s v="Arsenal"/>
        <s v="Stoke"/>
        <s v="Derby"/>
        <s v="Sunderland"/>
        <s v="Barnsley"/>
        <s v="Blackpool"/>
        <s v="Middlesbro"/>
        <s v="Fleetwood"/>
        <s v="Sheff W"/>
        <s v="Bristol R"/>
        <s v="Burnley"/>
        <s v="Sheff U"/>
        <s v="Salford"/>
        <s v="MK Dons"/>
        <s v="Watford"/>
        <s v="Stockport"/>
        <m/>
        <s v="Reading"/>
        <s v="Stoke draw"/>
        <s v="Blackpool draw"/>
        <s v="QPR"/>
        <s v="Leeds draw"/>
        <s v="Arsenal draw"/>
        <s v="Palace"/>
        <s v="Coventry"/>
        <s v="Lincoln"/>
        <s v="Mansfield"/>
        <s v="Stevenage"/>
        <s v="Swindon"/>
        <s v="Barrow"/>
        <s v="Sutton"/>
        <s v="Millwall"/>
        <s v="Morecambe"/>
        <s v="Southampton draw"/>
        <s v="West Ham draw"/>
        <s v="West Ham"/>
        <s v="Bristol C"/>
        <s v="Burnley draw"/>
        <s v="Newcastle"/>
        <s v="Ipswich"/>
        <s v="Bolton"/>
        <s v="Bradford"/>
        <s v="West Brom"/>
        <s v="Port Vale" u="1"/>
        <s v="Rochdale draw" u="1"/>
        <s v="Forest Green draw" u="1"/>
        <s v="Newcastle draw" u="1"/>
        <s v="Crawley draw" u="1"/>
        <s v="Newport" u="1"/>
        <s v="Hearts" u="1"/>
        <s v="Cambridge" u="1"/>
        <s v="Leeds" u="1"/>
        <s v="Man U draw" u="1"/>
        <s v="Wolves draw" u="1"/>
        <s v="Grimsby" u="1"/>
        <s v="Forest Draw" u="1"/>
        <s v="Cheltenham Draw" u="1"/>
        <s v="Rangers" u="1"/>
        <s v="Notts Co" u="1"/>
        <s v="Forest" u="1"/>
        <s v="Harrogate" u="1"/>
        <s v="Motherwell" u="1"/>
        <s v="Aberdeen" u="1"/>
        <s v="Brentford draw" u="1"/>
        <s v="Bristol C Draw" u="1"/>
        <s v="Wimbledon draw" u="1"/>
        <s v="Hartlepool" u="1"/>
        <s v="Stevenage draw" u="1"/>
        <s v="Blackburn" u="1"/>
        <s v="Sunderland draw" u="1"/>
        <s v="Swansea" u="1"/>
        <s v="Birmingham Draw" u="1"/>
        <s v="Preston" u="1"/>
        <s v="Villa draw" u="1"/>
        <s v="Everton" u="1"/>
        <s v="Sutton draw" u="1"/>
        <s v="Hibs" u="1"/>
        <s v="Birmingham" u="1"/>
        <s v="Rochdale" u="1"/>
        <s v="Liverpool draw" u="1"/>
        <s v="Fleetwood Draw" u="1"/>
        <s v="Peterborough" u="1"/>
        <s v="Portsmouth Draw" u="1"/>
        <s v="Oxford" u="1"/>
        <s v="Bradford Draw" u="1"/>
        <s v="Portsmouth" u="1"/>
        <s v="Plymouth draw" u="1"/>
        <s v="Accrington draw" u="1"/>
        <s v="Villa" u="1"/>
        <s v="Bolton draw" u="1"/>
        <s v="Accrington" u="1"/>
        <s v="Ross C" u="1"/>
        <s v="Boreham Wood" u="1"/>
        <s v="Coventry draw" u="1"/>
        <s v="Rotherham draw" u="1"/>
        <s v="Brentford" u="1"/>
        <s v="Middlesbro Draw" u="1"/>
        <s v="Derby draw" u="1"/>
        <s v="Wimbledon" u="1"/>
        <s v="Crewe draw" u="1"/>
        <s v="Huddersfield" u="1"/>
        <s v="QPR draw" u="1"/>
        <s v="Newport draw" u="1"/>
        <s v="Burton Draw" u="1"/>
        <s v="Halifax" u="1"/>
        <s v="Burton" u="1"/>
        <s v="Walsall" u="1"/>
        <s v="Millwall Draw" u="1"/>
        <s v="Swindon draw" u="1"/>
        <s v="Wrexham" u="1"/>
        <s v="Chesterfield" u="1"/>
        <s v="Tranmere" u="1"/>
        <s v="Norwich draw" u="1"/>
        <s v="Colchester draw" u="1"/>
        <s v="Liverpool" u="1"/>
        <s v="Doncaster" u="1"/>
        <s v="Leicester draw" u="1"/>
        <s v="Crewe" u="1"/>
        <s v="Colchester" u="1"/>
        <s v="MK Dons Draw" u="1"/>
        <s v="Huddersfield draw" u="1"/>
        <s v="Gillingham" u="1"/>
        <s v="Chelsea draw" u="1"/>
        <s v="Cardiff" u="1"/>
        <s v="Preston Draw" u="1"/>
        <s v="Forest Green" u="1"/>
        <s v="Brighton draw" u="1"/>
        <s v="Bournemouth" u="1"/>
        <s v="Aldershot" u="1"/>
        <s v="Everton draw" u="1"/>
        <s v="Spurs draw" u="1"/>
        <s v="Charlton draw" u="1"/>
        <s v="Dagenham" u="1"/>
        <s v="Altrincham" u="1"/>
        <s v="Fulham draw" u="1"/>
        <s v="Rotherham" u="1"/>
        <s v="Morecambe Draw" u="1"/>
        <s v="Luton Draw" u="1"/>
        <s v="Salford draw" u="1"/>
        <s v="Livingston draw" u="1"/>
      </sharedItems>
    </cacheField>
    <cacheField name="Frac" numFmtId="0">
      <sharedItems/>
    </cacheField>
    <cacheField name="Dec" numFmtId="175">
      <sharedItems containsMixedTypes="1" containsNumber="1" minValue="1.2222222222222223" maxValue="6"/>
    </cacheField>
    <cacheField name="Bet up " numFmtId="0">
      <sharedItems containsMixedTypes="1" containsNumber="1" containsInteger="1" minValue="0" maxValue="1" count="3">
        <n v="1"/>
        <n v="0"/>
        <e v="#N/A"/>
      </sharedItems>
    </cacheField>
    <cacheField name="Points" numFmtId="2">
      <sharedItems containsMixedTypes="1" containsNumber="1" minValue="0" maxValue="4.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Pete Baron"/>
    <m/>
    <m/>
    <n v="108.20457954545455"/>
    <n v="10"/>
    <n v="50.453125"/>
    <x v="0"/>
    <n v="105.52500000000001"/>
    <n v="15"/>
    <n v="0"/>
    <n v="120.52500000000001"/>
  </r>
  <r>
    <m/>
    <s v="A2"/>
    <s v="↔"/>
    <n v="2"/>
    <s v="A"/>
    <s v="Dan Gibbard"/>
    <m/>
    <m/>
    <n v="77.140060606060601"/>
    <n v="10"/>
    <n v="12.606060606060606"/>
    <x v="0"/>
    <n v="75.375"/>
    <n v="10"/>
    <n v="0"/>
    <n v="85.375"/>
  </r>
  <r>
    <m/>
    <s v="A3"/>
    <s v="↔"/>
    <n v="3"/>
    <s v="A"/>
    <s v="Mike Penk"/>
    <m/>
    <m/>
    <n v="49.919659090909093"/>
    <n v="12"/>
    <n v="24.40625"/>
    <x v="0"/>
    <n v="54.27"/>
    <n v="10"/>
    <n v="0"/>
    <n v="64.27000000000001"/>
  </r>
  <r>
    <m/>
    <s v="A4"/>
    <s v="↔"/>
    <n v="4"/>
    <s v="A"/>
    <s v="Jack Walsh"/>
    <m/>
    <m/>
    <n v="37.832250000000002"/>
    <n v="10"/>
    <n v="11.40625"/>
    <x v="1"/>
    <n v="36.18"/>
    <n v="5"/>
    <n v="0"/>
    <n v="41.18"/>
  </r>
  <r>
    <m/>
    <s v="A5"/>
    <s v="↔"/>
    <n v="5"/>
    <s v="A"/>
    <s v="Andy White"/>
    <m/>
    <m/>
    <n v="32.387050432206678"/>
    <n v="12"/>
    <n v="-5.05"/>
    <x v="2"/>
    <n v="21.105"/>
    <n v="5"/>
    <n v="0"/>
    <n v="26.105"/>
  </r>
  <r>
    <m/>
    <s v="A6"/>
    <s v="↔"/>
    <n v="6"/>
    <s v="A"/>
    <s v="Martin Molyneux"/>
    <m/>
    <m/>
    <n v="29.186257329971617"/>
    <n v="16"/>
    <n v="17.963636363636361"/>
    <x v="0"/>
    <n v="9.0449999999999999"/>
    <n v="5"/>
    <n v="0"/>
    <n v="14.045"/>
  </r>
  <r>
    <m/>
    <s v="A7"/>
    <s v="↔"/>
    <n v="7"/>
    <s v="A"/>
    <s v="Paul Fairhurst"/>
    <m/>
    <m/>
    <n v="18.33636363636364"/>
    <n v="10"/>
    <n v="3.6363636363636367"/>
    <x v="1"/>
    <n v="0"/>
    <n v="0"/>
    <n v="0"/>
    <n v="0"/>
  </r>
  <r>
    <m/>
    <s v="A8"/>
    <s v="↔"/>
    <n v="8"/>
    <s v="A"/>
    <s v="Lennie Bow"/>
    <m/>
    <m/>
    <n v="15.647779165279163"/>
    <n v="16"/>
    <n v="0.77500000000000036"/>
    <x v="1"/>
    <n v="0"/>
    <n v="0"/>
    <n v="0"/>
    <n v="0"/>
  </r>
  <r>
    <m/>
    <s v="A9"/>
    <s v="Play-off"/>
    <n v="9"/>
    <s v="A"/>
    <s v="Mo Sudell"/>
    <m/>
    <m/>
    <n v="1.4071969696969724"/>
    <n v="11"/>
    <n v="-7"/>
    <x v="3"/>
    <n v="0"/>
    <n v="0"/>
    <n v="0"/>
    <n v="0"/>
  </r>
  <r>
    <m/>
    <s v="A10"/>
    <s v="Play-off"/>
    <n v="10"/>
    <s v="A"/>
    <s v="Graham Miller"/>
    <m/>
    <m/>
    <n v="-7.9485440828031884E-2"/>
    <n v="11"/>
    <n v="-4.625"/>
    <x v="2"/>
    <n v="0"/>
    <n v="0"/>
    <n v="0"/>
    <n v="0"/>
  </r>
  <r>
    <m/>
    <s v="A11"/>
    <s v="↓"/>
    <n v="11"/>
    <s v="A"/>
    <s v="Barry Birchall"/>
    <m/>
    <m/>
    <n v="-7.9176623376623354"/>
    <n v="9"/>
    <n v="-7"/>
    <x v="3"/>
    <n v="0"/>
    <n v="0"/>
    <n v="0"/>
    <n v="0"/>
  </r>
  <r>
    <m/>
    <s v="A12"/>
    <s v="↓"/>
    <n v="12"/>
    <s v="A"/>
    <s v="Ashley Houghton"/>
    <m/>
    <m/>
    <n v="-13.846103896103891"/>
    <n v="8"/>
    <n v="-7"/>
    <x v="3"/>
    <n v="0"/>
    <n v="0"/>
    <n v="0"/>
    <n v="0"/>
  </r>
  <r>
    <m/>
    <s v="A13"/>
    <s v="↓"/>
    <n v="13"/>
    <s v="A"/>
    <s v="John Ronan"/>
    <m/>
    <m/>
    <n v="-15.889318181818179"/>
    <n v="8"/>
    <n v="1.2925000000000004"/>
    <x v="1"/>
    <n v="0"/>
    <n v="0"/>
    <n v="0"/>
    <n v="0"/>
  </r>
  <r>
    <m/>
    <s v="A14"/>
    <s v="↓"/>
    <n v="14"/>
    <s v="A"/>
    <s v="Kevin Carter"/>
    <m/>
    <m/>
    <n v="-17.817803030303025"/>
    <n v="8"/>
    <n v="2.2708333333333339"/>
    <x v="1"/>
    <n v="0"/>
    <n v="0"/>
    <n v="0"/>
    <n v="0"/>
  </r>
  <r>
    <m/>
    <s v="A15"/>
    <s v="↓"/>
    <n v="15"/>
    <s v="A"/>
    <s v="Paul Fiddler"/>
    <m/>
    <m/>
    <n v="-17.825919913419909"/>
    <n v="10"/>
    <n v="0.4375"/>
    <x v="1"/>
    <n v="0"/>
    <n v="0"/>
    <n v="0"/>
    <n v="0"/>
  </r>
  <r>
    <m/>
    <s v="A16"/>
    <s v="↓"/>
    <n v="16"/>
    <s v="A"/>
    <s v="David Dunn"/>
    <m/>
    <m/>
    <n v="-29.904166666666665"/>
    <n v="7"/>
    <n v="1.0625"/>
    <x v="1"/>
    <n v="0"/>
    <n v="0"/>
    <n v="0"/>
    <n v="0"/>
  </r>
  <r>
    <s v="Division B"/>
    <s v="B1"/>
    <s v="↑"/>
    <n v="1"/>
    <s v="B"/>
    <s v="Alan Bond"/>
    <m/>
    <m/>
    <n v="119.43312499999999"/>
    <n v="11"/>
    <n v="36.263124999999995"/>
    <x v="0"/>
    <n v="70.349999999999994"/>
    <n v="20"/>
    <n v="0"/>
    <n v="90.35"/>
  </r>
  <r>
    <m/>
    <s v="B2"/>
    <s v="↑"/>
    <n v="2"/>
    <s v="B"/>
    <s v="Steve Carter"/>
    <m/>
    <m/>
    <n v="29.96329545454546"/>
    <n v="10"/>
    <n v="-4.75"/>
    <x v="2"/>
    <n v="50.25"/>
    <n v="15"/>
    <n v="0"/>
    <n v="65.25"/>
  </r>
  <r>
    <m/>
    <s v="B3"/>
    <s v="↑"/>
    <n v="3"/>
    <s v="B"/>
    <s v="Chris Luck"/>
    <m/>
    <m/>
    <n v="28.219999999999992"/>
    <n v="7"/>
    <n v="-4.8499999999999996"/>
    <x v="2"/>
    <n v="36.18"/>
    <n v="5"/>
    <n v="0"/>
    <n v="41.18"/>
  </r>
  <r>
    <m/>
    <s v="B4"/>
    <s v="↑"/>
    <n v="4"/>
    <s v="B"/>
    <s v="Howard Bradley"/>
    <m/>
    <m/>
    <n v="26.608441558441559"/>
    <n v="12"/>
    <n v="36.625"/>
    <x v="0"/>
    <n v="24.12"/>
    <n v="5"/>
    <n v="0"/>
    <n v="29.12"/>
  </r>
  <r>
    <m/>
    <s v="B5"/>
    <s v="↑"/>
    <n v="5"/>
    <s v="B"/>
    <s v="Gerard Ventom"/>
    <m/>
    <m/>
    <n v="24.800000000000004"/>
    <n v="6"/>
    <n v="-4.625"/>
    <x v="2"/>
    <n v="14.07"/>
    <n v="10"/>
    <n v="0"/>
    <n v="24.07"/>
  </r>
  <r>
    <m/>
    <s v="B6"/>
    <s v="↑"/>
    <n v="6"/>
    <s v="B"/>
    <s v="Paul Allen"/>
    <m/>
    <m/>
    <n v="12.720714285714283"/>
    <n v="10"/>
    <n v="10.059999999999999"/>
    <x v="1"/>
    <n v="6.03"/>
    <n v="5"/>
    <n v="0"/>
    <n v="11.030000000000001"/>
  </r>
  <r>
    <m/>
    <s v="B7"/>
    <s v="Play-off"/>
    <n v="7"/>
    <s v="B"/>
    <s v="Nigel Heyes"/>
    <m/>
    <m/>
    <n v="5.1136363636379301E-3"/>
    <n v="12"/>
    <n v="1.454545454545455"/>
    <x v="1"/>
    <n v="0"/>
    <n v="5"/>
    <n v="0"/>
    <n v="5"/>
  </r>
  <r>
    <m/>
    <s v="B8"/>
    <s v="Play-off"/>
    <n v="8"/>
    <s v="B"/>
    <s v="Mark Bunn"/>
    <m/>
    <m/>
    <n v="-2.8674999999999979"/>
    <n v="10"/>
    <n v="-7"/>
    <x v="3"/>
    <n v="0"/>
    <n v="10"/>
    <n v="0"/>
    <n v="10"/>
  </r>
  <r>
    <m/>
    <s v="B9"/>
    <s v="Play-off"/>
    <n v="9"/>
    <s v="B"/>
    <s v="Chris Griffin"/>
    <m/>
    <m/>
    <n v="-8.7450505050505036"/>
    <n v="10"/>
    <n v="8.1616161616161627"/>
    <x v="0"/>
    <n v="0"/>
    <n v="0"/>
    <n v="0"/>
    <n v="0"/>
  </r>
  <r>
    <m/>
    <s v="B10"/>
    <s v="Play-off"/>
    <n v="10"/>
    <s v="B"/>
    <s v="Nick Blocksidge"/>
    <m/>
    <m/>
    <n v="-10.074242424242424"/>
    <n v="7"/>
    <n v="-7"/>
    <x v="3"/>
    <n v="0"/>
    <n v="5"/>
    <n v="0"/>
    <n v="5"/>
  </r>
  <r>
    <m/>
    <s v="B11"/>
    <s v="↓"/>
    <n v="11"/>
    <s v="B"/>
    <s v="Tom Robinson"/>
    <m/>
    <m/>
    <n v="-18.337575757575756"/>
    <n v="9"/>
    <n v="3.6099999999999994"/>
    <x v="1"/>
    <n v="0"/>
    <n v="0"/>
    <n v="0"/>
    <n v="0"/>
  </r>
  <r>
    <m/>
    <s v="B12"/>
    <s v="↓"/>
    <n v="12"/>
    <s v="B"/>
    <s v="Dave Orrell"/>
    <m/>
    <m/>
    <n v="-24.6"/>
    <n v="7"/>
    <n v="-0.125"/>
    <x v="1"/>
    <n v="0"/>
    <n v="0"/>
    <n v="0"/>
    <n v="0"/>
  </r>
  <r>
    <m/>
    <s v="B13"/>
    <s v="↓"/>
    <n v="13"/>
    <s v="B"/>
    <s v="Mal Stott"/>
    <m/>
    <m/>
    <n v="-26.6"/>
    <n v="5"/>
    <n v="-4.75"/>
    <x v="2"/>
    <n v="0"/>
    <n v="0"/>
    <n v="0"/>
    <n v="0"/>
  </r>
  <r>
    <m/>
    <s v="B14"/>
    <s v="↓"/>
    <n v="14"/>
    <s v="B"/>
    <s v="Rob England"/>
    <m/>
    <m/>
    <n v="-28.694391164391167"/>
    <n v="9"/>
    <n v="-5.7777777777777777"/>
    <x v="2"/>
    <n v="0"/>
    <n v="0"/>
    <n v="0"/>
    <n v="0"/>
  </r>
  <r>
    <m/>
    <s v="B15"/>
    <s v="↓"/>
    <n v="15"/>
    <s v="B"/>
    <s v="Kei Lok Ma"/>
    <m/>
    <m/>
    <n v="-31.616666666666671"/>
    <n v="6"/>
    <n v="0.92500000000000071"/>
    <x v="1"/>
    <n v="0"/>
    <n v="0"/>
    <n v="0"/>
    <n v="0"/>
  </r>
  <r>
    <m/>
    <s v="B16"/>
    <s v="↓"/>
    <n v="16"/>
    <s v="B"/>
    <s v="Dave Bell"/>
    <m/>
    <m/>
    <n v="-35.972222222222221"/>
    <n v="5"/>
    <n v="-1.8888888888888884"/>
    <x v="1"/>
    <n v="0"/>
    <n v="0"/>
    <n v="0"/>
    <n v="0"/>
  </r>
  <r>
    <s v="Division C"/>
    <s v="C1"/>
    <s v="↑"/>
    <n v="1"/>
    <s v="C"/>
    <s v="Sally Williams"/>
    <m/>
    <m/>
    <n v="44.762"/>
    <n v="8"/>
    <n v="5.5"/>
    <x v="1"/>
    <n v="35.174999999999997"/>
    <n v="5"/>
    <n v="0"/>
    <n v="40.174999999999997"/>
  </r>
  <r>
    <m/>
    <s v="C2"/>
    <s v="↑"/>
    <n v="2"/>
    <s v="C"/>
    <s v="Andy Charleston"/>
    <m/>
    <m/>
    <n v="34.578969237832879"/>
    <n v="12"/>
    <n v="-4.625"/>
    <x v="2"/>
    <n v="25.125"/>
    <n v="5"/>
    <n v="0"/>
    <n v="30.125"/>
  </r>
  <r>
    <m/>
    <s v="C3"/>
    <s v="↑"/>
    <n v="3"/>
    <s v="C"/>
    <s v="Vinny Topping"/>
    <m/>
    <m/>
    <n v="19.866035353535352"/>
    <n v="11"/>
    <n v="1.5625"/>
    <x v="1"/>
    <n v="18.09"/>
    <n v="5"/>
    <n v="0"/>
    <n v="23.09"/>
  </r>
  <r>
    <m/>
    <s v="C4"/>
    <s v="↑"/>
    <n v="4"/>
    <s v="C"/>
    <s v="Chris Bow"/>
    <m/>
    <m/>
    <n v="2.7083333333333268"/>
    <n v="7"/>
    <n v="-7"/>
    <x v="3"/>
    <n v="12.06"/>
    <n v="0"/>
    <n v="0"/>
    <n v="12.06"/>
  </r>
  <r>
    <m/>
    <s v="C5"/>
    <s v="↑"/>
    <n v="5"/>
    <s v="C"/>
    <s v="Martin Tarbuck"/>
    <m/>
    <m/>
    <n v="1.3868298368298397"/>
    <n v="12"/>
    <n v="-4.8499999999999996"/>
    <x v="2"/>
    <n v="7.0350000000000001"/>
    <n v="5"/>
    <n v="0"/>
    <n v="12.035"/>
  </r>
  <r>
    <m/>
    <s v="C6"/>
    <s v="↑"/>
    <n v="6"/>
    <s v="C"/>
    <s v="Phil Miller"/>
    <m/>
    <m/>
    <n v="0.9261760461760522"/>
    <n v="10"/>
    <n v="-7"/>
    <x v="3"/>
    <n v="3.0150000000000001"/>
    <n v="5"/>
    <n v="0"/>
    <n v="8.0150000000000006"/>
  </r>
  <r>
    <m/>
    <s v="C7"/>
    <s v="Play-off"/>
    <n v="7"/>
    <s v="C"/>
    <s v="Charlie Griffiths"/>
    <m/>
    <m/>
    <n v="-7.7327777777777795"/>
    <n v="10"/>
    <n v="-5.25"/>
    <x v="2"/>
    <n v="0"/>
    <n v="0"/>
    <n v="0"/>
    <n v="0"/>
  </r>
  <r>
    <m/>
    <s v="C8"/>
    <s v="Play-off"/>
    <n v="8"/>
    <s v="C"/>
    <s v="Julie Dodd"/>
    <m/>
    <m/>
    <n v="-8.9884848484848447"/>
    <n v="7"/>
    <n v="-4.7"/>
    <x v="2"/>
    <n v="0"/>
    <n v="5"/>
    <n v="0"/>
    <n v="5"/>
  </r>
  <r>
    <m/>
    <s v="C9"/>
    <s v="Play-off"/>
    <n v="9"/>
    <s v="C"/>
    <s v="Alick Rocca"/>
    <m/>
    <m/>
    <n v="-15.349999999999998"/>
    <n v="7"/>
    <n v="-3.8"/>
    <x v="2"/>
    <n v="0"/>
    <n v="0"/>
    <n v="0"/>
    <n v="0"/>
  </r>
  <r>
    <m/>
    <s v="C10"/>
    <s v="Play-off"/>
    <n v="10"/>
    <s v="C"/>
    <s v="Stephen Barr"/>
    <m/>
    <m/>
    <n v="-15.374242424242425"/>
    <n v="10"/>
    <n v="2.2375000000000007"/>
    <x v="1"/>
    <n v="0"/>
    <n v="0"/>
    <n v="0"/>
    <n v="0"/>
  </r>
  <r>
    <m/>
    <s v="C11"/>
    <s v="↓"/>
    <n v="11"/>
    <s v="C"/>
    <s v="Chris Townsend"/>
    <m/>
    <m/>
    <n v="-17.98"/>
    <n v="4"/>
    <n v="-3.4"/>
    <x v="2"/>
    <n v="0"/>
    <n v="5"/>
    <n v="0"/>
    <n v="5"/>
  </r>
  <r>
    <m/>
    <s v="C12"/>
    <s v="↓"/>
    <n v="12"/>
    <s v="C"/>
    <s v="Bob Bailey"/>
    <m/>
    <m/>
    <n v="-18.099999999999998"/>
    <n v="6"/>
    <n v="-3.75"/>
    <x v="2"/>
    <n v="0"/>
    <n v="0"/>
    <n v="0"/>
    <n v="0"/>
  </r>
  <r>
    <m/>
    <s v="C13"/>
    <s v="↓"/>
    <n v="13"/>
    <s v="C"/>
    <s v="Gareth McGuire"/>
    <m/>
    <m/>
    <n v="-19.230833333333329"/>
    <n v="8"/>
    <n v="-5.2"/>
    <x v="2"/>
    <n v="0"/>
    <n v="0"/>
    <n v="0"/>
    <n v="0"/>
  </r>
  <r>
    <m/>
    <s v="C14"/>
    <s v="↓"/>
    <n v="14"/>
    <s v="C"/>
    <s v="Mark Saunders"/>
    <m/>
    <m/>
    <n v="-30.274999999999999"/>
    <n v="7"/>
    <n v="-0.91666666666666607"/>
    <x v="1"/>
    <n v="0"/>
    <n v="0"/>
    <n v="0"/>
    <n v="0"/>
  </r>
  <r>
    <m/>
    <s v="C15"/>
    <s v="↓"/>
    <n v="15"/>
    <s v="C"/>
    <s v="John Murphy"/>
    <m/>
    <m/>
    <n v="-32.659090909090907"/>
    <n v="5"/>
    <n v="-7"/>
    <x v="3"/>
    <n v="0"/>
    <n v="0"/>
    <n v="0"/>
    <n v="0"/>
  </r>
  <r>
    <m/>
    <s v="C16"/>
    <s v="↓"/>
    <n v="16"/>
    <s v="C"/>
    <s v="Gareth Powell"/>
    <m/>
    <m/>
    <n v="-36.659090909090907"/>
    <n v="5"/>
    <n v="-7"/>
    <x v="3"/>
    <n v="0"/>
    <n v="0"/>
    <n v="0"/>
    <n v="0"/>
  </r>
  <r>
    <s v="Division D"/>
    <s v="D1"/>
    <s v="↑"/>
    <n v="1"/>
    <s v="D"/>
    <s v="Ian Davies"/>
    <m/>
    <m/>
    <n v="128.95999999999995"/>
    <n v="9"/>
    <n v="-3.8"/>
    <x v="2"/>
    <n v="23.45"/>
    <n v="10"/>
    <n v="0"/>
    <n v="33.450000000000003"/>
  </r>
  <r>
    <m/>
    <s v="D2"/>
    <s v="↑"/>
    <n v="2"/>
    <s v="D"/>
    <s v="Alan White"/>
    <m/>
    <m/>
    <n v="-2.7776623376623339"/>
    <n v="10"/>
    <n v="-4.75"/>
    <x v="2"/>
    <n v="16.75"/>
    <n v="0"/>
    <n v="0"/>
    <n v="16.75"/>
  </r>
  <r>
    <m/>
    <s v="D3"/>
    <s v="↑"/>
    <n v="3"/>
    <s v="D"/>
    <s v="Alan Rogers"/>
    <m/>
    <m/>
    <n v="-5.45"/>
    <n v="8"/>
    <n v="-7"/>
    <x v="3"/>
    <n v="12.06"/>
    <n v="0"/>
    <n v="0"/>
    <n v="12.06"/>
  </r>
  <r>
    <m/>
    <s v="D4"/>
    <s v="↑"/>
    <n v="4"/>
    <s v="D"/>
    <s v="Ben Rosser"/>
    <m/>
    <m/>
    <n v="-5.6451515151515146"/>
    <n v="8"/>
    <n v="10.919999999999998"/>
    <x v="1"/>
    <n v="8.0399999999999991"/>
    <n v="0"/>
    <n v="0"/>
    <n v="8.0399999999999991"/>
  </r>
  <r>
    <m/>
    <s v="D5"/>
    <s v="↑"/>
    <n v="5"/>
    <s v="D"/>
    <s v="Alex Griffin"/>
    <m/>
    <m/>
    <n v="-9.7043876262626263"/>
    <n v="8"/>
    <n v="3.1111111111111107"/>
    <x v="1"/>
    <n v="4.6900000000000004"/>
    <n v="0"/>
    <n v="0"/>
    <n v="4.6900000000000004"/>
  </r>
  <r>
    <m/>
    <s v="D6"/>
    <s v="↑"/>
    <n v="6"/>
    <s v="D"/>
    <s v="Simon Greenhalgh"/>
    <m/>
    <m/>
    <n v="-15.379999999999999"/>
    <n v="5"/>
    <n v="-2.8"/>
    <x v="2"/>
    <n v="2.0099999999999998"/>
    <n v="0"/>
    <n v="0"/>
    <n v="2.0099999999999998"/>
  </r>
  <r>
    <m/>
    <s v="D7"/>
    <s v="Play-off"/>
    <n v="7"/>
    <s v="D"/>
    <s v="Paul Barnes"/>
    <m/>
    <m/>
    <n v="-16.001249999999999"/>
    <n v="8"/>
    <n v="1.96875"/>
    <x v="1"/>
    <n v="0"/>
    <n v="0"/>
    <n v="0"/>
    <n v="0"/>
  </r>
  <r>
    <m/>
    <s v="D8"/>
    <s v="Play-off"/>
    <n v="8"/>
    <s v="D"/>
    <s v="Alfie Davies"/>
    <m/>
    <m/>
    <n v="-24.643035714285713"/>
    <n v="6"/>
    <n v="1.96875"/>
    <x v="1"/>
    <n v="0"/>
    <n v="0"/>
    <n v="0"/>
    <n v="0"/>
  </r>
  <r>
    <m/>
    <s v="D9"/>
    <s v="↔"/>
    <n v="9"/>
    <s v="D"/>
    <s v="Frank Allen"/>
    <m/>
    <m/>
    <n v="-24.695"/>
    <n v="8"/>
    <n v="-0.91666666666666607"/>
    <x v="1"/>
    <n v="0"/>
    <n v="0"/>
    <n v="0"/>
    <n v="0"/>
  </r>
  <r>
    <m/>
    <s v="D10"/>
    <s v="↔"/>
    <n v="10"/>
    <s v="D"/>
    <s v="Paul England"/>
    <m/>
    <m/>
    <n v="-29.85"/>
    <n v="5"/>
    <n v="-1.25"/>
    <x v="1"/>
    <n v="0"/>
    <n v="0"/>
    <n v="0"/>
    <n v="0"/>
  </r>
  <r>
    <m/>
    <s v="D11"/>
    <s v="↔"/>
    <n v="11"/>
    <s v="D"/>
    <s v="Paul Adderley"/>
    <m/>
    <m/>
    <n v="-33.540909090909089"/>
    <n v="6"/>
    <n v="0.2424242424242431"/>
    <x v="1"/>
    <n v="0"/>
    <n v="0"/>
    <n v="0"/>
    <n v="0"/>
  </r>
  <r>
    <m/>
    <s v="D12"/>
    <s v="↔"/>
    <n v="12"/>
    <s v="D"/>
    <s v="James Bell"/>
    <m/>
    <m/>
    <n v="-49"/>
    <n v="0"/>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11/8"/>
    <n v="2.375"/>
    <x v="0"/>
    <n v="2.375"/>
  </r>
  <r>
    <x v="1"/>
    <s v="23/10"/>
    <n v="3.3"/>
    <x v="0"/>
    <n v="3.3"/>
  </r>
  <r>
    <x v="2"/>
    <s v="21/20"/>
    <n v="2.0499999999999998"/>
    <x v="0"/>
    <n v="2.0499999999999998"/>
  </r>
  <r>
    <x v="3"/>
    <s v="7/5"/>
    <n v="2.4"/>
    <x v="1"/>
    <n v="0"/>
  </r>
  <r>
    <x v="4"/>
    <s v="5/2"/>
    <n v="3.5"/>
    <x v="1"/>
    <n v="0"/>
  </r>
  <r>
    <x v="5"/>
    <s v="11/5"/>
    <n v="3.2"/>
    <x v="1"/>
    <n v="0"/>
  </r>
  <r>
    <x v="6"/>
    <s v="5/4"/>
    <n v="2.25"/>
    <x v="0"/>
    <n v="2.25"/>
  </r>
  <r>
    <x v="7"/>
    <s v="21/10"/>
    <n v="3.1"/>
    <x v="1"/>
    <n v="0"/>
  </r>
  <r>
    <x v="5"/>
    <s v="11/5"/>
    <n v="3.2"/>
    <x v="1"/>
    <n v="0"/>
  </r>
  <r>
    <x v="8"/>
    <s v="3/1"/>
    <n v="4"/>
    <x v="0"/>
    <n v="4"/>
  </r>
  <r>
    <x v="9"/>
    <s v="2/9"/>
    <n v="1.2222222222222223"/>
    <x v="0"/>
    <n v="1.2222222222222223"/>
  </r>
  <r>
    <x v="10"/>
    <s v="5/1"/>
    <n v="6"/>
    <x v="1"/>
    <n v="0"/>
  </r>
  <r>
    <x v="11"/>
    <s v="5/4"/>
    <n v="2.25"/>
    <x v="1"/>
    <n v="0"/>
  </r>
  <r>
    <x v="12"/>
    <s v="13/8"/>
    <n v="2.625"/>
    <x v="0"/>
    <n v="2.625"/>
  </r>
  <r>
    <x v="13"/>
    <s v="3/4"/>
    <n v="1.75"/>
    <x v="0"/>
    <n v="1.75"/>
  </r>
  <r>
    <x v="14"/>
    <s v="23/10"/>
    <n v="3.3"/>
    <x v="1"/>
    <n v="0"/>
  </r>
  <r>
    <x v="15"/>
    <s v="12/5"/>
    <n v="3.4"/>
    <x v="1"/>
    <n v="0"/>
  </r>
  <r>
    <x v="16"/>
    <s v="11/5"/>
    <n v="3.2"/>
    <x v="0"/>
    <n v="3.2"/>
  </r>
  <r>
    <x v="17"/>
    <s v="9/5"/>
    <n v="2.8"/>
    <x v="1"/>
    <n v="0"/>
  </r>
  <r>
    <x v="11"/>
    <s v="5/4"/>
    <n v="2.25"/>
    <x v="1"/>
    <n v="0"/>
  </r>
  <r>
    <x v="0"/>
    <s v="11/8"/>
    <n v="2.375"/>
    <x v="0"/>
    <n v="2.375"/>
  </r>
  <r>
    <x v="18"/>
    <s v="19/20"/>
    <n v="1.95"/>
    <x v="0"/>
    <n v="1.95"/>
  </r>
  <r>
    <x v="19"/>
    <s v="21/20"/>
    <n v="2.0499999999999998"/>
    <x v="1"/>
    <n v="0"/>
  </r>
  <r>
    <x v="20"/>
    <s v="11/10"/>
    <n v="2.1"/>
    <x v="1"/>
    <n v="0"/>
  </r>
  <r>
    <x v="21"/>
    <s v="1/1"/>
    <n v="2"/>
    <x v="1"/>
    <n v="0"/>
  </r>
  <r>
    <x v="22"/>
    <s v="14/5"/>
    <n v="3.8"/>
    <x v="1"/>
    <n v="0"/>
  </r>
  <r>
    <x v="23"/>
    <s v="9/4"/>
    <n v="3.25"/>
    <x v="1"/>
    <n v="0"/>
  </r>
  <r>
    <x v="24"/>
    <s v="6/4"/>
    <n v="2.5"/>
    <x v="1"/>
    <n v="0"/>
  </r>
  <r>
    <x v="25"/>
    <s v="17/10"/>
    <n v="2.7"/>
    <x v="1"/>
    <n v="0"/>
  </r>
  <r>
    <x v="26"/>
    <s v="13/10"/>
    <n v="2.2999999999999998"/>
    <x v="1"/>
    <n v="0"/>
  </r>
  <r>
    <x v="27"/>
    <s v="12/5"/>
    <n v="3.4"/>
    <x v="0"/>
    <n v="3.4"/>
  </r>
  <r>
    <x v="28"/>
    <s v="23/10"/>
    <n v="3.3"/>
    <x v="0"/>
    <n v="3.3"/>
  </r>
  <r>
    <x v="11"/>
    <s v="5/4"/>
    <n v="2.25"/>
    <x v="1"/>
    <n v="0"/>
  </r>
  <r>
    <x v="29"/>
    <s v="9/4"/>
    <n v="3.25"/>
    <x v="0"/>
    <n v="3.25"/>
  </r>
  <r>
    <x v="30"/>
    <s v="9/4"/>
    <n v="3.25"/>
    <x v="1"/>
    <n v="0"/>
  </r>
  <r>
    <x v="15"/>
    <s v="12/5"/>
    <n v="3.4"/>
    <x v="1"/>
    <n v="0"/>
  </r>
  <r>
    <x v="13"/>
    <s v="3/4"/>
    <n v="1.75"/>
    <x v="0"/>
    <n v="1.75"/>
  </r>
  <r>
    <x v="10"/>
    <s v="5/1"/>
    <n v="6"/>
    <x v="1"/>
    <n v="0"/>
  </r>
  <r>
    <x v="31"/>
    <s v="4/11"/>
    <n v="1.3636363636363638"/>
    <x v="1"/>
    <n v="0"/>
  </r>
  <r>
    <x v="23"/>
    <s v="9/4"/>
    <n v="3.25"/>
    <x v="1"/>
    <n v="0"/>
  </r>
  <r>
    <x v="32"/>
    <s v="1/1"/>
    <n v="2"/>
    <x v="1"/>
    <n v="0"/>
  </r>
  <r>
    <x v="33"/>
    <s v="13/10"/>
    <n v="2.2999999999999998"/>
    <x v="1"/>
    <n v="0"/>
  </r>
  <r>
    <x v="34"/>
    <s v="10/11"/>
    <n v="1.9090909090909092"/>
    <x v="0"/>
    <n v="1.9090909090909092"/>
  </r>
  <r>
    <x v="35"/>
    <s v="1/2"/>
    <n v="1.5"/>
    <x v="0"/>
    <n v="1.5"/>
  </r>
  <r>
    <x v="9"/>
    <s v="2/9"/>
    <n v="1.2222222222222223"/>
    <x v="0"/>
    <n v="1.2222222222222223"/>
  </r>
  <r>
    <x v="36"/>
    <s v="23/20"/>
    <n v="2.15"/>
    <x v="1"/>
    <n v="0"/>
  </r>
  <r>
    <x v="26"/>
    <s v="13/10"/>
    <n v="2.2999999999999998"/>
    <x v="1"/>
    <n v="0"/>
  </r>
  <r>
    <x v="37"/>
    <s v="23/20"/>
    <n v="2.15"/>
    <x v="0"/>
    <n v="2.15"/>
  </r>
  <r>
    <x v="38"/>
    <s v="13/5"/>
    <n v="3.6"/>
    <x v="0"/>
    <n v="3.6"/>
  </r>
  <r>
    <x v="39"/>
    <s v="12/5"/>
    <n v="3.4"/>
    <x v="1"/>
    <n v="0"/>
  </r>
  <r>
    <x v="40"/>
    <s v="12/5"/>
    <n v="3.4"/>
    <x v="1"/>
    <n v="0"/>
  </r>
  <r>
    <x v="41"/>
    <s v="1/2"/>
    <n v="1.5"/>
    <x v="0"/>
    <n v="1.5"/>
  </r>
  <r>
    <x v="42"/>
    <s v="5/6"/>
    <n v="1.8333333333333335"/>
    <x v="0"/>
    <n v="1.8333333333333335"/>
  </r>
  <r>
    <x v="34"/>
    <s v="10/11"/>
    <n v="1.9090909090909092"/>
    <x v="0"/>
    <n v="1.9090909090909092"/>
  </r>
  <r>
    <x v="31"/>
    <s v="4/11"/>
    <n v="1.3636363636363638"/>
    <x v="1"/>
    <n v="0"/>
  </r>
  <r>
    <x v="13"/>
    <s v="3/4"/>
    <n v="1.75"/>
    <x v="0"/>
    <n v="1.75"/>
  </r>
  <r>
    <x v="9"/>
    <s v="2/9"/>
    <n v="1.2222222222222223"/>
    <x v="0"/>
    <n v="1.2222222222222223"/>
  </r>
  <r>
    <x v="41"/>
    <s v="1/2"/>
    <n v="1.5"/>
    <x v="0"/>
    <n v="1.5"/>
  </r>
  <r>
    <x v="37"/>
    <s v="23/20"/>
    <n v="2.15"/>
    <x v="0"/>
    <n v="2.15"/>
  </r>
  <r>
    <x v="43"/>
    <s v="21/10"/>
    <n v="3.1"/>
    <x v="1"/>
    <n v="0"/>
  </r>
  <r>
    <x v="12"/>
    <s v="13/8"/>
    <n v="2.625"/>
    <x v="0"/>
    <n v="2.625"/>
  </r>
  <r>
    <x v="41"/>
    <s v="1/2"/>
    <n v="1.5"/>
    <x v="0"/>
    <n v="1.5"/>
  </r>
  <r>
    <x v="44"/>
    <s v="6/4"/>
    <n v="2.5"/>
    <x v="1"/>
    <n v="0"/>
  </r>
  <r>
    <x v="42"/>
    <s v="5/6"/>
    <n v="1.8333333333333335"/>
    <x v="0"/>
    <n v="1.8333333333333335"/>
  </r>
  <r>
    <x v="45"/>
    <s v="1/1"/>
    <n v="2"/>
    <x v="1"/>
    <n v="0"/>
  </r>
  <r>
    <x v="35"/>
    <s v="1/2"/>
    <n v="1.5"/>
    <x v="0"/>
    <n v="1.5"/>
  </r>
  <r>
    <x v="33"/>
    <s v="13/10"/>
    <n v="2.2999999999999998"/>
    <x v="1"/>
    <n v="0"/>
  </r>
  <r>
    <x v="46"/>
    <s v="4/5"/>
    <n v="1.8"/>
    <x v="0"/>
    <n v="1.8"/>
  </r>
  <r>
    <x v="43"/>
    <s v="21/10"/>
    <n v="3.1"/>
    <x v="1"/>
    <n v="0"/>
  </r>
  <r>
    <x v="47"/>
    <e v="#N/A"/>
    <e v="#N/A"/>
    <x v="2"/>
    <e v="#N/A"/>
  </r>
  <r>
    <x v="47"/>
    <e v="#N/A"/>
    <e v="#N/A"/>
    <x v="2"/>
    <e v="#N/A"/>
  </r>
  <r>
    <x v="47"/>
    <e v="#N/A"/>
    <e v="#N/A"/>
    <x v="2"/>
    <e v="#N/A"/>
  </r>
  <r>
    <x v="48"/>
    <s v="3/1"/>
    <n v="4"/>
    <x v="1"/>
    <n v="0"/>
  </r>
  <r>
    <x v="0"/>
    <s v="11/8"/>
    <n v="2.375"/>
    <x v="0"/>
    <n v="2.375"/>
  </r>
  <r>
    <x v="5"/>
    <s v="11/5"/>
    <n v="3.2"/>
    <x v="1"/>
    <n v="0"/>
  </r>
  <r>
    <x v="32"/>
    <s v="1/1"/>
    <n v="2"/>
    <x v="1"/>
    <n v="0"/>
  </r>
  <r>
    <x v="45"/>
    <s v="1/1"/>
    <n v="2"/>
    <x v="1"/>
    <n v="0"/>
  </r>
  <r>
    <x v="0"/>
    <s v="11/8"/>
    <n v="2.375"/>
    <x v="0"/>
    <n v="2.375"/>
  </r>
  <r>
    <x v="49"/>
    <s v="9/4"/>
    <n v="3.25"/>
    <x v="0"/>
    <n v="3.25"/>
  </r>
  <r>
    <x v="50"/>
    <s v="11/5"/>
    <n v="3.2"/>
    <x v="0"/>
    <n v="3.2"/>
  </r>
  <r>
    <x v="35"/>
    <s v="1/2"/>
    <n v="1.5"/>
    <x v="0"/>
    <n v="1.5"/>
  </r>
  <r>
    <x v="30"/>
    <s v="9/4"/>
    <n v="3.25"/>
    <x v="1"/>
    <n v="0"/>
  </r>
  <r>
    <x v="16"/>
    <s v="11/5"/>
    <n v="3.2"/>
    <x v="0"/>
    <n v="3.2"/>
  </r>
  <r>
    <x v="51"/>
    <s v="8/5"/>
    <n v="2.6"/>
    <x v="1"/>
    <n v="0"/>
  </r>
  <r>
    <x v="52"/>
    <s v="29/10"/>
    <n v="3.9"/>
    <x v="1"/>
    <n v="0"/>
  </r>
  <r>
    <x v="0"/>
    <s v="11/8"/>
    <n v="2.375"/>
    <x v="0"/>
    <n v="2.375"/>
  </r>
  <r>
    <x v="53"/>
    <s v="15/4"/>
    <n v="4.75"/>
    <x v="0"/>
    <n v="4.75"/>
  </r>
  <r>
    <x v="47"/>
    <e v="#N/A"/>
    <e v="#N/A"/>
    <x v="2"/>
    <e v="#N/A"/>
  </r>
  <r>
    <x v="47"/>
    <e v="#N/A"/>
    <e v="#N/A"/>
    <x v="2"/>
    <e v="#N/A"/>
  </r>
  <r>
    <x v="47"/>
    <e v="#N/A"/>
    <e v="#N/A"/>
    <x v="2"/>
    <e v="#N/A"/>
  </r>
  <r>
    <x v="54"/>
    <s v="13/5"/>
    <n v="3.6"/>
    <x v="1"/>
    <n v="0"/>
  </r>
  <r>
    <x v="17"/>
    <s v="9/5"/>
    <n v="2.8"/>
    <x v="1"/>
    <n v="0"/>
  </r>
  <r>
    <x v="26"/>
    <s v="13/10"/>
    <n v="2.2999999999999998"/>
    <x v="1"/>
    <n v="0"/>
  </r>
  <r>
    <x v="18"/>
    <s v="19/20"/>
    <n v="1.95"/>
    <x v="0"/>
    <n v="1.95"/>
  </r>
  <r>
    <x v="37"/>
    <s v="23/20"/>
    <n v="2.15"/>
    <x v="0"/>
    <n v="2.15"/>
  </r>
  <r>
    <x v="55"/>
    <s v="6/5"/>
    <n v="2.2000000000000002"/>
    <x v="1"/>
    <n v="0"/>
  </r>
  <r>
    <x v="56"/>
    <s v="13/10"/>
    <n v="2.2999999999999998"/>
    <x v="0"/>
    <n v="2.2999999999999998"/>
  </r>
  <r>
    <x v="44"/>
    <s v="6/4"/>
    <n v="2.5"/>
    <x v="1"/>
    <n v="0"/>
  </r>
  <r>
    <x v="25"/>
    <s v="17/10"/>
    <n v="2.7"/>
    <x v="1"/>
    <n v="0"/>
  </r>
  <r>
    <x v="37"/>
    <s v="23/20"/>
    <n v="2.15"/>
    <x v="0"/>
    <n v="2.15"/>
  </r>
  <r>
    <x v="23"/>
    <s v="9/4"/>
    <n v="3.25"/>
    <x v="1"/>
    <n v="0"/>
  </r>
  <r>
    <x v="42"/>
    <s v="5/6"/>
    <n v="1.8333333333333335"/>
    <x v="0"/>
    <n v="1.8333333333333335"/>
  </r>
  <r>
    <x v="20"/>
    <s v="11/10"/>
    <n v="2.1"/>
    <x v="1"/>
    <n v="0"/>
  </r>
  <r>
    <x v="12"/>
    <s v="13/8"/>
    <n v="2.625"/>
    <x v="0"/>
    <n v="2.625"/>
  </r>
  <r>
    <x v="42"/>
    <s v="5/6"/>
    <n v="1.8333333333333335"/>
    <x v="0"/>
    <n v="1.8333333333333335"/>
  </r>
  <r>
    <x v="6"/>
    <s v="5/4"/>
    <n v="2.25"/>
    <x v="0"/>
    <n v="2.25"/>
  </r>
  <r>
    <x v="57"/>
    <s v="7/10"/>
    <n v="1.7"/>
    <x v="0"/>
    <n v="1.7"/>
  </r>
  <r>
    <x v="58"/>
    <s v="17/20"/>
    <n v="1.85"/>
    <x v="1"/>
    <n v="0"/>
  </r>
  <r>
    <x v="47"/>
    <e v="#N/A"/>
    <e v="#N/A"/>
    <x v="2"/>
    <e v="#N/A"/>
  </r>
  <r>
    <x v="47"/>
    <e v="#N/A"/>
    <e v="#N/A"/>
    <x v="2"/>
    <e v="#N/A"/>
  </r>
  <r>
    <x v="47"/>
    <e v="#N/A"/>
    <e v="#N/A"/>
    <x v="2"/>
    <e v="#N/A"/>
  </r>
  <r>
    <x v="21"/>
    <s v="1/1"/>
    <n v="2"/>
    <x v="1"/>
    <n v="0"/>
  </r>
  <r>
    <x v="6"/>
    <s v="5/4"/>
    <n v="2.25"/>
    <x v="0"/>
    <n v="2.25"/>
  </r>
  <r>
    <x v="59"/>
    <s v="11/10"/>
    <n v="2.1"/>
    <x v="1"/>
    <n v="0"/>
  </r>
  <r>
    <x v="60"/>
    <s v="13/10"/>
    <n v="2.2999999999999998"/>
    <x v="1"/>
    <n v="0"/>
  </r>
  <r>
    <x v="61"/>
    <s v="5/4"/>
    <n v="2.25"/>
    <x v="1"/>
    <n v="0"/>
  </r>
  <r>
    <x v="7"/>
    <s v="21/10"/>
    <n v="3.1"/>
    <x v="1"/>
    <n v="0"/>
  </r>
  <r>
    <x v="41"/>
    <s v="1/2"/>
    <n v="1.5"/>
    <x v="0"/>
    <n v="1.5"/>
  </r>
  <r>
    <x v="42"/>
    <s v="5/6"/>
    <n v="1.8333333333333335"/>
    <x v="0"/>
    <n v="1.8333333333333335"/>
  </r>
  <r>
    <x v="45"/>
    <s v="1/1"/>
    <n v="2"/>
    <x v="1"/>
    <n v="0"/>
  </r>
  <r>
    <x v="37"/>
    <s v="23/20"/>
    <n v="2.15"/>
    <x v="0"/>
    <n v="2.15"/>
  </r>
  <r>
    <x v="42"/>
    <s v="5/6"/>
    <n v="1.8333333333333335"/>
    <x v="0"/>
    <n v="1.8333333333333335"/>
  </r>
  <r>
    <x v="34"/>
    <s v="10/11"/>
    <n v="1.9090909090909092"/>
    <x v="0"/>
    <n v="1.9090909090909092"/>
  </r>
  <r>
    <x v="33"/>
    <s v="13/10"/>
    <n v="2.2999999999999998"/>
    <x v="1"/>
    <n v="0"/>
  </r>
  <r>
    <x v="37"/>
    <s v="23/20"/>
    <n v="2.15"/>
    <x v="0"/>
    <n v="2.15"/>
  </r>
  <r>
    <x v="5"/>
    <s v="11/5"/>
    <n v="3.2"/>
    <x v="1"/>
    <n v="0"/>
  </r>
  <r>
    <x v="62"/>
    <s v="7/4"/>
    <n v="2.75"/>
    <x v="0"/>
    <n v="2.75"/>
  </r>
  <r>
    <x v="42"/>
    <s v="5/6"/>
    <n v="1.8333333333333335"/>
    <x v="0"/>
    <n v="1.8333333333333335"/>
  </r>
  <r>
    <x v="2"/>
    <s v="21/20"/>
    <n v="2.0499999999999998"/>
    <x v="0"/>
    <n v="2.0499999999999998"/>
  </r>
  <r>
    <x v="58"/>
    <s v="17/20"/>
    <n v="1.85"/>
    <x v="1"/>
    <n v="0"/>
  </r>
  <r>
    <x v="63"/>
    <s v="7/5"/>
    <n v="2.4"/>
    <x v="1"/>
    <n v="0"/>
  </r>
  <r>
    <x v="21"/>
    <s v="1/1"/>
    <n v="2"/>
    <x v="1"/>
    <n v="0"/>
  </r>
  <r>
    <x v="47"/>
    <e v="#N/A"/>
    <e v="#N/A"/>
    <x v="2"/>
    <e v="#N/A"/>
  </r>
  <r>
    <x v="47"/>
    <e v="#N/A"/>
    <e v="#N/A"/>
    <x v="2"/>
    <e v="#N/A"/>
  </r>
  <r>
    <x v="47"/>
    <e v="#N/A"/>
    <e v="#N/A"/>
    <x v="2"/>
    <e v="#N/A"/>
  </r>
  <r>
    <x v="34"/>
    <s v="10/11"/>
    <n v="1.9090909090909092"/>
    <x v="0"/>
    <n v="1.9090909090909092"/>
  </r>
  <r>
    <x v="63"/>
    <s v="7/5"/>
    <n v="2.4"/>
    <x v="1"/>
    <n v="0"/>
  </r>
  <r>
    <x v="6"/>
    <s v="5/4"/>
    <n v="2.25"/>
    <x v="0"/>
    <n v="2.25"/>
  </r>
  <r>
    <x v="42"/>
    <s v="5/6"/>
    <n v="1.8333333333333335"/>
    <x v="0"/>
    <n v="1.8333333333333335"/>
  </r>
  <r>
    <x v="45"/>
    <s v="1/1"/>
    <n v="2"/>
    <x v="1"/>
    <n v="0"/>
  </r>
  <r>
    <x v="34"/>
    <s v="10/11"/>
    <n v="1.9090909090909092"/>
    <x v="0"/>
    <n v="1.9090909090909092"/>
  </r>
  <r>
    <x v="64"/>
    <s v="21/10"/>
    <n v="3.1"/>
    <x v="1"/>
    <n v="0"/>
  </r>
  <r>
    <x v="65"/>
    <s v="11/5"/>
    <n v="3.2"/>
    <x v="0"/>
    <n v="3.2"/>
  </r>
  <r>
    <x v="28"/>
    <s v="23/10"/>
    <n v="3.3"/>
    <x v="0"/>
    <n v="3.3"/>
  </r>
  <r>
    <x v="12"/>
    <s v="13/8"/>
    <n v="2.625"/>
    <x v="0"/>
    <n v="2.625"/>
  </r>
  <r>
    <x v="66"/>
    <s v="23/10"/>
    <n v="3.3"/>
    <x v="1"/>
    <n v="0"/>
  </r>
  <r>
    <x v="13"/>
    <s v="3/4"/>
    <n v="1.75"/>
    <x v="0"/>
    <n v="1.75"/>
  </r>
  <r>
    <x v="59"/>
    <s v="11/10"/>
    <n v="2.1"/>
    <x v="1"/>
    <n v="0"/>
  </r>
  <r>
    <x v="57"/>
    <s v="7/10"/>
    <n v="1.7"/>
    <x v="0"/>
    <n v="1.7"/>
  </r>
  <r>
    <x v="35"/>
    <s v="1/2"/>
    <n v="1.5"/>
    <x v="0"/>
    <n v="1.5"/>
  </r>
  <r>
    <x v="67"/>
    <s v="2/1"/>
    <n v="3"/>
    <x v="0"/>
    <n v="3"/>
  </r>
  <r>
    <x v="68"/>
    <s v="29/10"/>
    <n v="3.9"/>
    <x v="1"/>
    <n v="0"/>
  </r>
  <r>
    <x v="34"/>
    <s v="10/11"/>
    <n v="1.9090909090909092"/>
    <x v="0"/>
    <n v="1.9090909090909092"/>
  </r>
  <r>
    <x v="0"/>
    <s v="11/8"/>
    <n v="2.375"/>
    <x v="0"/>
    <n v="2.375"/>
  </r>
  <r>
    <x v="35"/>
    <s v="1/2"/>
    <n v="1.5"/>
    <x v="0"/>
    <n v="1.5"/>
  </r>
  <r>
    <x v="69"/>
    <s v="1/2"/>
    <n v="1.5"/>
    <x v="1"/>
    <n v="0"/>
  </r>
  <r>
    <x v="12"/>
    <s v="13/8"/>
    <n v="2.625"/>
    <x v="0"/>
    <n v="2.625"/>
  </r>
  <r>
    <x v="62"/>
    <s v="7/4"/>
    <n v="2.75"/>
    <x v="0"/>
    <n v="2.75"/>
  </r>
  <r>
    <x v="1"/>
    <s v="23/10"/>
    <n v="3.3"/>
    <x v="0"/>
    <n v="3.3"/>
  </r>
  <r>
    <x v="47"/>
    <e v="#N/A"/>
    <e v="#N/A"/>
    <x v="2"/>
    <e v="#N/A"/>
  </r>
  <r>
    <x v="47"/>
    <e v="#N/A"/>
    <e v="#N/A"/>
    <x v="2"/>
    <e v="#N/A"/>
  </r>
  <r>
    <x v="47"/>
    <e v="#N/A"/>
    <e v="#N/A"/>
    <x v="2"/>
    <e v="#N/A"/>
  </r>
  <r>
    <x v="36"/>
    <s v="23/20"/>
    <n v="2.15"/>
    <x v="1"/>
    <n v="0"/>
  </r>
  <r>
    <x v="70"/>
    <s v="11/10"/>
    <n v="2.1"/>
    <x v="1"/>
    <n v="0"/>
  </r>
  <r>
    <x v="9"/>
    <s v="2/9"/>
    <n v="1.2222222222222223"/>
    <x v="0"/>
    <n v="1.2222222222222223"/>
  </r>
  <r>
    <x v="0"/>
    <s v="11/8"/>
    <n v="2.375"/>
    <x v="0"/>
    <n v="2.375"/>
  </r>
  <r>
    <x v="71"/>
    <s v="2/1"/>
    <n v="3"/>
    <x v="0"/>
    <n v="3"/>
  </r>
  <r>
    <x v="43"/>
    <s v="21/10"/>
    <n v="3.1"/>
    <x v="1"/>
    <n v="0"/>
  </r>
  <r>
    <x v="39"/>
    <s v="12/5"/>
    <n v="3.4"/>
    <x v="1"/>
    <n v="0"/>
  </r>
  <r>
    <x v="72"/>
    <s v="16/5"/>
    <n v="4.2"/>
    <x v="0"/>
    <n v="4.2"/>
  </r>
  <r>
    <x v="43"/>
    <s v="21/10"/>
    <n v="3.1"/>
    <x v="1"/>
    <n v="0"/>
  </r>
  <r>
    <x v="37"/>
    <s v="23/20"/>
    <n v="2.15"/>
    <x v="0"/>
    <n v="2.15"/>
  </r>
  <r>
    <x v="73"/>
    <s v="21/20"/>
    <n v="2.0499999999999998"/>
    <x v="1"/>
    <n v="0"/>
  </r>
  <r>
    <x v="6"/>
    <s v="5/4"/>
    <n v="2.25"/>
    <x v="0"/>
    <n v="2.25"/>
  </r>
  <r>
    <x v="21"/>
    <s v="1/1"/>
    <n v="2"/>
    <x v="1"/>
    <n v="0"/>
  </r>
  <r>
    <x v="63"/>
    <s v="7/5"/>
    <n v="2.4"/>
    <x v="1"/>
    <n v="0"/>
  </r>
  <r>
    <x v="6"/>
    <s v="5/4"/>
    <n v="2.25"/>
    <x v="0"/>
    <n v="2.25"/>
  </r>
  <r>
    <x v="57"/>
    <s v="7/10"/>
    <n v="1.7"/>
    <x v="0"/>
    <n v="1.7"/>
  </r>
  <r>
    <x v="7"/>
    <s v="21/10"/>
    <n v="3.1"/>
    <x v="1"/>
    <n v="0"/>
  </r>
  <r>
    <x v="28"/>
    <s v="23/10"/>
    <n v="3.3"/>
    <x v="0"/>
    <n v="3.3"/>
  </r>
  <r>
    <x v="42"/>
    <s v="5/6"/>
    <n v="1.8333333333333335"/>
    <x v="0"/>
    <n v="1.8333333333333335"/>
  </r>
  <r>
    <x v="0"/>
    <s v="11/8"/>
    <n v="2.375"/>
    <x v="0"/>
    <n v="2.375"/>
  </r>
  <r>
    <x v="24"/>
    <s v="6/4"/>
    <n v="2.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9" firstHeaderRow="1" firstDataRow="2" firstDataCol="1"/>
  <pivotFields count="5">
    <pivotField axis="axisRow" compact="0" outline="0" subtotalTop="0" multipleItemSelectionAllowed="1" showAll="0" defaultSubtotal="0">
      <items count="171">
        <item m="1" x="82"/>
        <item x="13"/>
        <item x="0"/>
        <item x="43"/>
        <item m="1" x="92"/>
        <item x="41"/>
        <item m="1" x="120"/>
        <item m="1" x="91"/>
        <item x="23"/>
        <item m="1" x="103"/>
        <item m="1" x="126"/>
        <item m="1" x="94"/>
        <item x="12"/>
        <item x="69"/>
        <item x="51"/>
        <item x="73"/>
        <item m="1" x="138"/>
        <item m="1" x="167"/>
        <item m="1" x="95"/>
        <item x="36"/>
        <item x="38"/>
        <item m="1" x="154"/>
        <item x="7"/>
        <item x="71"/>
        <item x="26"/>
        <item x="37"/>
        <item x="11"/>
        <item m="1" x="123"/>
        <item m="1" x="158"/>
        <item m="1" x="85"/>
        <item x="40"/>
        <item m="1" x="79"/>
        <item x="33"/>
        <item x="55"/>
        <item x="54"/>
        <item m="1" x="121"/>
        <item m="1" x="140"/>
        <item m="1" x="105"/>
        <item m="1" x="116"/>
        <item x="63"/>
        <item x="57"/>
        <item x="6"/>
        <item x="34"/>
        <item m="1" x="145"/>
        <item x="62"/>
        <item x="9"/>
        <item x="32"/>
        <item m="1" x="99"/>
        <item x="39"/>
        <item m="1" x="108"/>
        <item x="5"/>
        <item x="47"/>
        <item m="1" x="131"/>
        <item x="2"/>
        <item x="46"/>
        <item m="1" x="127"/>
        <item x="70"/>
        <item x="66"/>
        <item x="10"/>
        <item x="19"/>
        <item x="21"/>
        <item x="67"/>
        <item x="20"/>
        <item m="1" x="109"/>
        <item m="1" x="166"/>
        <item x="42"/>
        <item m="1" x="83"/>
        <item m="1" x="161"/>
        <item x="48"/>
        <item m="1" x="149"/>
        <item m="1" x="96"/>
        <item x="24"/>
        <item m="1" x="153"/>
        <item m="1" x="77"/>
        <item x="27"/>
        <item m="1" x="168"/>
        <item m="1" x="100"/>
        <item m="1" x="111"/>
        <item x="31"/>
        <item m="1" x="119"/>
        <item x="17"/>
        <item m="1" x="139"/>
        <item x="35"/>
        <item m="1" x="90"/>
        <item x="18"/>
        <item m="1" x="157"/>
        <item m="1" x="152"/>
        <item x="45"/>
        <item x="25"/>
        <item x="44"/>
        <item m="1" x="86"/>
        <item m="1" x="160"/>
        <item x="59"/>
        <item x="22"/>
        <item m="1" x="146"/>
        <item x="16"/>
        <item m="1" x="132"/>
        <item m="1" x="113"/>
        <item m="1" x="115"/>
        <item m="1" x="110"/>
        <item x="28"/>
        <item m="1" x="128"/>
        <item m="1" x="76"/>
        <item x="53"/>
        <item x="8"/>
        <item m="1" x="147"/>
        <item x="65"/>
        <item m="1" x="98"/>
        <item x="49"/>
        <item x="58"/>
        <item x="64"/>
        <item m="1" x="114"/>
        <item x="72"/>
        <item m="1" x="130"/>
        <item m="1" x="106"/>
        <item x="68"/>
        <item m="1" x="156"/>
        <item x="60"/>
        <item m="1" x="87"/>
        <item x="30"/>
        <item m="1" x="80"/>
        <item m="1" x="93"/>
        <item m="1" x="134"/>
        <item m="1" x="162"/>
        <item m="1" x="141"/>
        <item m="1" x="112"/>
        <item m="1" x="74"/>
        <item m="1" x="150"/>
        <item m="1" x="155"/>
        <item m="1" x="136"/>
        <item m="1" x="163"/>
        <item m="1" x="97"/>
        <item m="1" x="89"/>
        <item m="1" x="88"/>
        <item m="1" x="107"/>
        <item m="1" x="165"/>
        <item m="1" x="137"/>
        <item x="56"/>
        <item m="1" x="164"/>
        <item m="1" x="159"/>
        <item m="1" x="135"/>
        <item m="1" x="122"/>
        <item m="1" x="170"/>
        <item m="1" x="78"/>
        <item m="1" x="75"/>
        <item m="1" x="144"/>
        <item m="1" x="148"/>
        <item m="1" x="104"/>
        <item m="1" x="143"/>
        <item m="1" x="84"/>
        <item m="1" x="118"/>
        <item m="1" x="151"/>
        <item m="1" x="133"/>
        <item m="1" x="101"/>
        <item m="1" x="81"/>
        <item m="1" x="125"/>
        <item m="1" x="169"/>
        <item m="1" x="142"/>
        <item m="1" x="124"/>
        <item x="1"/>
        <item x="61"/>
        <item m="1" x="102"/>
        <item x="50"/>
        <item x="3"/>
        <item m="1" x="117"/>
        <item x="52"/>
        <item m="1" x="129"/>
        <item x="4"/>
        <item x="14"/>
        <item x="15"/>
        <item x="29"/>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5">
    <i>
      <x v="1"/>
    </i>
    <i>
      <x v="2"/>
    </i>
    <i>
      <x v="3"/>
    </i>
    <i>
      <x v="5"/>
    </i>
    <i>
      <x v="8"/>
    </i>
    <i>
      <x v="12"/>
    </i>
    <i>
      <x v="13"/>
    </i>
    <i>
      <x v="14"/>
    </i>
    <i>
      <x v="15"/>
    </i>
    <i>
      <x v="19"/>
    </i>
    <i>
      <x v="20"/>
    </i>
    <i>
      <x v="22"/>
    </i>
    <i>
      <x v="23"/>
    </i>
    <i>
      <x v="24"/>
    </i>
    <i>
      <x v="25"/>
    </i>
    <i>
      <x v="26"/>
    </i>
    <i>
      <x v="30"/>
    </i>
    <i>
      <x v="32"/>
    </i>
    <i>
      <x v="33"/>
    </i>
    <i>
      <x v="34"/>
    </i>
    <i>
      <x v="39"/>
    </i>
    <i>
      <x v="40"/>
    </i>
    <i>
      <x v="41"/>
    </i>
    <i>
      <x v="42"/>
    </i>
    <i>
      <x v="44"/>
    </i>
    <i>
      <x v="45"/>
    </i>
    <i>
      <x v="46"/>
    </i>
    <i>
      <x v="48"/>
    </i>
    <i>
      <x v="50"/>
    </i>
    <i>
      <x v="51"/>
    </i>
    <i>
      <x v="53"/>
    </i>
    <i>
      <x v="54"/>
    </i>
    <i>
      <x v="56"/>
    </i>
    <i>
      <x v="57"/>
    </i>
    <i>
      <x v="58"/>
    </i>
    <i>
      <x v="59"/>
    </i>
    <i>
      <x v="60"/>
    </i>
    <i>
      <x v="61"/>
    </i>
    <i>
      <x v="62"/>
    </i>
    <i>
      <x v="65"/>
    </i>
    <i>
      <x v="68"/>
    </i>
    <i>
      <x v="71"/>
    </i>
    <i>
      <x v="74"/>
    </i>
    <i>
      <x v="78"/>
    </i>
    <i>
      <x v="80"/>
    </i>
    <i>
      <x v="82"/>
    </i>
    <i>
      <x v="84"/>
    </i>
    <i>
      <x v="87"/>
    </i>
    <i>
      <x v="88"/>
    </i>
    <i>
      <x v="89"/>
    </i>
    <i>
      <x v="92"/>
    </i>
    <i>
      <x v="93"/>
    </i>
    <i>
      <x v="95"/>
    </i>
    <i>
      <x v="100"/>
    </i>
    <i>
      <x v="103"/>
    </i>
    <i>
      <x v="104"/>
    </i>
    <i>
      <x v="106"/>
    </i>
    <i>
      <x v="108"/>
    </i>
    <i>
      <x v="109"/>
    </i>
    <i>
      <x v="110"/>
    </i>
    <i>
      <x v="112"/>
    </i>
    <i>
      <x v="115"/>
    </i>
    <i>
      <x v="117"/>
    </i>
    <i>
      <x v="119"/>
    </i>
    <i>
      <x v="137"/>
    </i>
    <i>
      <x v="159"/>
    </i>
    <i>
      <x v="160"/>
    </i>
    <i>
      <x v="162"/>
    </i>
    <i>
      <x v="163"/>
    </i>
    <i>
      <x v="165"/>
    </i>
    <i>
      <x v="167"/>
    </i>
    <i>
      <x v="168"/>
    </i>
    <i>
      <x v="169"/>
    </i>
    <i>
      <x v="170"/>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0"/>
        <item x="1"/>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352</v>
      </c>
      <c r="C1" s="104"/>
      <c r="D1" s="104"/>
      <c r="E1" s="104"/>
      <c r="F1" s="104"/>
      <c r="G1" s="104"/>
      <c r="H1" s="104"/>
      <c r="I1" s="104"/>
    </row>
    <row r="2" spans="1:9" ht="35.1" customHeight="1">
      <c r="A2" s="104"/>
      <c r="B2" s="365" t="s">
        <v>343</v>
      </c>
      <c r="C2" s="366" t="s">
        <v>342</v>
      </c>
      <c r="D2" s="366" t="s">
        <v>344</v>
      </c>
      <c r="E2" s="367" t="s">
        <v>345</v>
      </c>
      <c r="F2" s="104"/>
      <c r="G2" s="104"/>
      <c r="H2" s="104"/>
      <c r="I2" s="104"/>
    </row>
    <row r="3" spans="1:9" ht="35.1" customHeight="1">
      <c r="A3" s="104"/>
      <c r="B3" s="364" t="s">
        <v>326</v>
      </c>
      <c r="C3" s="364" t="s">
        <v>339</v>
      </c>
      <c r="D3" s="364" t="s">
        <v>332</v>
      </c>
      <c r="E3" s="364" t="s">
        <v>347</v>
      </c>
      <c r="F3" s="104"/>
      <c r="G3" s="104"/>
      <c r="H3" s="104"/>
      <c r="I3" s="104"/>
    </row>
    <row r="4" spans="1:9" ht="35.1" customHeight="1">
      <c r="A4" s="104"/>
      <c r="B4" s="364" t="s">
        <v>327</v>
      </c>
      <c r="C4" s="364" t="s">
        <v>336</v>
      </c>
      <c r="D4" s="364" t="s">
        <v>333</v>
      </c>
      <c r="E4" s="364" t="s">
        <v>132</v>
      </c>
      <c r="F4" s="104"/>
      <c r="G4" s="104"/>
      <c r="H4" s="104"/>
      <c r="I4" s="104"/>
    </row>
    <row r="5" spans="1:9" ht="35.1" customHeight="1">
      <c r="A5" s="104"/>
      <c r="B5" s="364" t="s">
        <v>328</v>
      </c>
      <c r="C5" s="364" t="s">
        <v>337</v>
      </c>
      <c r="D5" s="364" t="s">
        <v>334</v>
      </c>
      <c r="E5" s="364" t="s">
        <v>348</v>
      </c>
      <c r="F5" s="104"/>
      <c r="G5" s="104"/>
      <c r="H5" s="104"/>
      <c r="I5" s="104"/>
    </row>
    <row r="6" spans="1:9" ht="35.1" customHeight="1">
      <c r="A6" s="104"/>
      <c r="B6" s="364" t="s">
        <v>329</v>
      </c>
      <c r="C6" s="364" t="s">
        <v>335</v>
      </c>
      <c r="D6" s="364" t="s">
        <v>340</v>
      </c>
      <c r="E6" s="364" t="s">
        <v>349</v>
      </c>
      <c r="F6" s="104"/>
      <c r="G6" s="104"/>
      <c r="H6" s="104"/>
      <c r="I6" s="104"/>
    </row>
    <row r="7" spans="1:9" ht="35.1" customHeight="1">
      <c r="A7" s="104"/>
      <c r="B7" s="364" t="s">
        <v>330</v>
      </c>
      <c r="C7" s="364" t="s">
        <v>338</v>
      </c>
      <c r="D7" s="364" t="s">
        <v>341</v>
      </c>
      <c r="E7" s="364" t="s">
        <v>350</v>
      </c>
      <c r="F7" s="104"/>
      <c r="G7" s="104"/>
      <c r="H7" s="104"/>
      <c r="I7" s="104"/>
    </row>
    <row r="8" spans="1:9" ht="35.1" customHeight="1">
      <c r="A8" s="104"/>
      <c r="B8" s="364" t="s">
        <v>331</v>
      </c>
      <c r="C8" s="364"/>
      <c r="D8" s="364" t="s">
        <v>346</v>
      </c>
      <c r="E8" s="364" t="s">
        <v>354</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7</v>
      </c>
      <c r="B1" s="57" t="s">
        <v>238</v>
      </c>
      <c r="C1" s="265" t="s">
        <v>448</v>
      </c>
      <c r="D1" s="57" t="s">
        <v>222</v>
      </c>
      <c r="E1" s="57" t="s">
        <v>230</v>
      </c>
      <c r="F1" s="237" t="s">
        <v>16</v>
      </c>
      <c r="G1" s="589" t="s">
        <v>266</v>
      </c>
      <c r="H1" s="57" t="s">
        <v>493</v>
      </c>
      <c r="I1" s="283" t="s">
        <v>124</v>
      </c>
      <c r="J1" s="285" t="s">
        <v>125</v>
      </c>
      <c r="K1" s="284" t="s">
        <v>126</v>
      </c>
      <c r="L1" s="290" t="s">
        <v>127</v>
      </c>
      <c r="M1" s="266" t="s">
        <v>318</v>
      </c>
      <c r="N1" s="266" t="s">
        <v>233</v>
      </c>
      <c r="O1" s="266" t="s">
        <v>169</v>
      </c>
      <c r="P1" s="647" t="s">
        <v>239</v>
      </c>
      <c r="Q1" s="77"/>
      <c r="R1" s="77"/>
      <c r="S1" s="77"/>
      <c r="T1" s="77"/>
      <c r="U1" s="77"/>
      <c r="V1" s="77"/>
      <c r="W1" s="77"/>
      <c r="X1" s="77"/>
      <c r="Y1" s="77"/>
    </row>
    <row r="2" spans="1:26" ht="14" customHeight="1">
      <c r="A2" s="675" t="s">
        <v>226</v>
      </c>
      <c r="B2" s="254" t="str">
        <f t="shared" ref="B2:B33" si="0">CONCATENATE(E2,D2)</f>
        <v>A1</v>
      </c>
      <c r="C2" s="646" t="s">
        <v>526</v>
      </c>
      <c r="D2" s="254">
        <v>1</v>
      </c>
      <c r="E2" s="584" t="s">
        <v>234</v>
      </c>
      <c r="F2" s="298" t="s">
        <v>312</v>
      </c>
      <c r="G2" s="588"/>
      <c r="H2" s="584"/>
      <c r="I2" s="299">
        <f>INDEX(Weekly!F:F,MATCH($F2,Weekly!$E:$E,0))</f>
        <v>108.20457954545455</v>
      </c>
      <c r="J2" s="300">
        <f>INDEX(Weekly!G:G,MATCH($F2,Weekly!$E:$E,0))</f>
        <v>10</v>
      </c>
      <c r="K2" s="301">
        <f>INDEX(Weekly!H:H,MATCH($F2,Weekly!$E:$E,0))</f>
        <v>50.453125</v>
      </c>
      <c r="L2" s="302">
        <f>INDEX(Weekly!I:I,MATCH($F2,Weekly!$E:$E,0))</f>
        <v>3</v>
      </c>
      <c r="M2" s="303">
        <f>INDEX(Prizes!F:F,MATCH($B2,Prizes!A:A,0))</f>
        <v>105.52500000000001</v>
      </c>
      <c r="N2" s="269">
        <f>INDEX(Weekly!J:J,MATCH($F2,Weekly!$E:$E,0))</f>
        <v>15</v>
      </c>
      <c r="O2" s="303">
        <f>INDEX(Weekly!K:K,MATCH($F2,Weekly!$E:$E,0))</f>
        <v>0</v>
      </c>
      <c r="P2" s="648">
        <f>INDEX(Weekly!M:M,MATCH($F2,Weekly!$E:$E,0))</f>
        <v>120.52500000000001</v>
      </c>
      <c r="Q2" s="77"/>
      <c r="R2" s="77"/>
      <c r="S2" s="77"/>
      <c r="T2" s="77"/>
      <c r="U2" s="77"/>
      <c r="V2" s="77"/>
      <c r="W2" s="77"/>
      <c r="X2" s="77"/>
      <c r="Y2" s="77"/>
      <c r="Z2" s="77"/>
    </row>
    <row r="3" spans="1:26" ht="14" customHeight="1">
      <c r="A3" s="676"/>
      <c r="B3" s="1" t="str">
        <f t="shared" si="0"/>
        <v>A2</v>
      </c>
      <c r="C3" s="272" t="s">
        <v>526</v>
      </c>
      <c r="D3" s="1">
        <v>2</v>
      </c>
      <c r="E3" s="732" t="s">
        <v>234</v>
      </c>
      <c r="F3" s="733" t="s">
        <v>519</v>
      </c>
      <c r="G3" s="735"/>
      <c r="H3" s="732"/>
      <c r="I3" s="262">
        <f>INDEX(Weekly!F:F,MATCH($F3,Weekly!$E:$E,0))</f>
        <v>77.140060606060601</v>
      </c>
      <c r="J3" s="736">
        <f>INDEX(Weekly!G:G,MATCH($F3,Weekly!$E:$E,0))</f>
        <v>10</v>
      </c>
      <c r="K3" s="738">
        <f>INDEX(Weekly!H:H,MATCH($F3,Weekly!$E:$E,0))</f>
        <v>12.606060606060606</v>
      </c>
      <c r="L3" s="291">
        <f>INDEX(Weekly!I:I,MATCH($F3,Weekly!$E:$E,0))</f>
        <v>3</v>
      </c>
      <c r="M3" s="267">
        <f>INDEX(Prizes!F:F,MATCH($B3,Prizes!A:A,0))</f>
        <v>75.375</v>
      </c>
      <c r="N3" s="466">
        <f>INDEX(Weekly!J:J,MATCH($F3,Weekly!$E:$E,0))</f>
        <v>10</v>
      </c>
      <c r="O3" s="267">
        <f>INDEX(Weekly!K:K,MATCH($F3,Weekly!$E:$E,0))</f>
        <v>0</v>
      </c>
      <c r="P3" s="649">
        <f>INDEX(Weekly!M:M,MATCH($F3,Weekly!$E:$E,0))</f>
        <v>85.375</v>
      </c>
      <c r="Q3" s="77"/>
      <c r="R3" s="77"/>
      <c r="S3" s="77"/>
      <c r="T3" s="77"/>
      <c r="U3" s="77"/>
      <c r="V3" s="77"/>
      <c r="W3" s="77"/>
      <c r="X3" s="77"/>
      <c r="Y3" s="77"/>
      <c r="Z3" s="77"/>
    </row>
    <row r="4" spans="1:26" ht="14" customHeight="1">
      <c r="A4" s="676"/>
      <c r="B4" s="1" t="str">
        <f t="shared" si="0"/>
        <v>A3</v>
      </c>
      <c r="C4" s="272" t="s">
        <v>526</v>
      </c>
      <c r="D4" s="1">
        <v>3</v>
      </c>
      <c r="E4" s="10" t="s">
        <v>234</v>
      </c>
      <c r="F4" s="4" t="s">
        <v>295</v>
      </c>
      <c r="G4" s="589"/>
      <c r="H4" s="10"/>
      <c r="I4" s="262">
        <f>INDEX(Weekly!F:F,MATCH($F4,Weekly!$E:$E,0))</f>
        <v>49.919659090909093</v>
      </c>
      <c r="J4" s="286">
        <f>INDEX(Weekly!G:G,MATCH($F4,Weekly!$E:$E,0))</f>
        <v>12</v>
      </c>
      <c r="K4" s="128">
        <f>INDEX(Weekly!H:H,MATCH($F4,Weekly!$E:$E,0))</f>
        <v>24.40625</v>
      </c>
      <c r="L4" s="291">
        <f>INDEX(Weekly!I:I,MATCH($F4,Weekly!$E:$E,0))</f>
        <v>3</v>
      </c>
      <c r="M4" s="267">
        <f>INDEX(Prizes!F:F,MATCH($B4,Prizes!A:A,0))</f>
        <v>54.27</v>
      </c>
      <c r="N4" s="466">
        <f>INDEX(Weekly!J:J,MATCH($F4,Weekly!$E:$E,0))</f>
        <v>10</v>
      </c>
      <c r="O4" s="267">
        <f>INDEX(Weekly!K:K,MATCH($F4,Weekly!$E:$E,0))</f>
        <v>0</v>
      </c>
      <c r="P4" s="649">
        <f>INDEX(Weekly!M:M,MATCH($F4,Weekly!$E:$E,0))</f>
        <v>64.27000000000001</v>
      </c>
      <c r="Q4" s="77"/>
      <c r="R4" s="282"/>
      <c r="S4" s="90" t="s">
        <v>268</v>
      </c>
      <c r="T4" s="77"/>
      <c r="U4" s="77"/>
      <c r="V4" s="77"/>
      <c r="W4" s="77"/>
      <c r="X4" s="77"/>
      <c r="Y4" s="77"/>
      <c r="Z4" s="77"/>
    </row>
    <row r="5" spans="1:26" ht="14" customHeight="1">
      <c r="A5" s="676"/>
      <c r="B5" s="1" t="str">
        <f t="shared" si="0"/>
        <v>A4</v>
      </c>
      <c r="C5" s="272" t="s">
        <v>526</v>
      </c>
      <c r="D5" s="10">
        <v>4</v>
      </c>
      <c r="E5" s="10" t="s">
        <v>234</v>
      </c>
      <c r="F5" s="4" t="s">
        <v>311</v>
      </c>
      <c r="G5" s="589"/>
      <c r="H5" s="10"/>
      <c r="I5" s="262">
        <f>INDEX(Weekly!F:F,MATCH($F5,Weekly!$E:$E,0))</f>
        <v>37.832250000000002</v>
      </c>
      <c r="J5" s="286">
        <f>INDEX(Weekly!G:G,MATCH($F5,Weekly!$E:$E,0))</f>
        <v>10</v>
      </c>
      <c r="K5" s="128">
        <f>INDEX(Weekly!H:H,MATCH($F5,Weekly!$E:$E,0))</f>
        <v>11.40625</v>
      </c>
      <c r="L5" s="291">
        <f>INDEX(Weekly!I:I,MATCH($F5,Weekly!$E:$E,0))</f>
        <v>2</v>
      </c>
      <c r="M5" s="267">
        <f>INDEX(Prizes!F:F,MATCH($B5,Prizes!A:A,0))</f>
        <v>36.18</v>
      </c>
      <c r="N5" s="466">
        <f>INDEX(Weekly!J:J,MATCH($F5,Weekly!$E:$E,0))</f>
        <v>5</v>
      </c>
      <c r="O5" s="267">
        <f>INDEX(Weekly!K:K,MATCH($F5,Weekly!$E:$E,0))</f>
        <v>0</v>
      </c>
      <c r="P5" s="649">
        <f>INDEX(Weekly!M:M,MATCH($F5,Weekly!$E:$E,0))</f>
        <v>41.18</v>
      </c>
      <c r="Q5" s="77"/>
      <c r="R5" s="276"/>
      <c r="S5" s="70" t="s">
        <v>269</v>
      </c>
      <c r="T5" s="77"/>
      <c r="U5" s="77"/>
      <c r="V5" s="77"/>
      <c r="W5" s="77"/>
      <c r="X5" s="77"/>
      <c r="Y5" s="77"/>
      <c r="Z5" s="77"/>
    </row>
    <row r="6" spans="1:26" ht="14" customHeight="1">
      <c r="A6" s="676"/>
      <c r="B6" s="10" t="str">
        <f t="shared" si="0"/>
        <v>A5</v>
      </c>
      <c r="C6" s="273" t="s">
        <v>526</v>
      </c>
      <c r="D6" s="1">
        <v>5</v>
      </c>
      <c r="E6" s="10" t="s">
        <v>234</v>
      </c>
      <c r="F6" s="4" t="s">
        <v>287</v>
      </c>
      <c r="G6" s="589"/>
      <c r="H6" s="10"/>
      <c r="I6" s="262">
        <f>INDEX(Weekly!F:F,MATCH($F6,Weekly!$E:$E,0))</f>
        <v>32.387050432206678</v>
      </c>
      <c r="J6" s="286">
        <f>INDEX(Weekly!G:G,MATCH($F6,Weekly!$E:$E,0))</f>
        <v>12</v>
      </c>
      <c r="K6" s="128">
        <f>INDEX(Weekly!H:H,MATCH($F6,Weekly!$E:$E,0))</f>
        <v>-5.05</v>
      </c>
      <c r="L6" s="291">
        <f>INDEX(Weekly!I:I,MATCH($F6,Weekly!$E:$E,0))</f>
        <v>1</v>
      </c>
      <c r="M6" s="267">
        <f>INDEX(Prizes!F:F,MATCH($B6,Prizes!A:A,0))</f>
        <v>21.105</v>
      </c>
      <c r="N6" s="466">
        <f>INDEX(Weekly!J:J,MATCH($F6,Weekly!$E:$E,0))</f>
        <v>5</v>
      </c>
      <c r="O6" s="267">
        <f>INDEX(Weekly!K:K,MATCH($F6,Weekly!$E:$E,0))</f>
        <v>0</v>
      </c>
      <c r="P6" s="649">
        <f>INDEX(Weekly!M:M,MATCH($F6,Weekly!$E:$E,0))</f>
        <v>26.105</v>
      </c>
      <c r="Q6" s="77"/>
      <c r="R6" s="277"/>
      <c r="S6" s="70" t="s">
        <v>270</v>
      </c>
      <c r="T6" s="77"/>
      <c r="U6" s="77"/>
      <c r="V6" s="77"/>
      <c r="W6" s="77"/>
      <c r="X6" s="77"/>
      <c r="Y6" s="77"/>
      <c r="Z6" s="77"/>
    </row>
    <row r="7" spans="1:26" ht="14" customHeight="1">
      <c r="A7" s="676"/>
      <c r="B7" s="1" t="str">
        <f t="shared" si="0"/>
        <v>A6</v>
      </c>
      <c r="C7" s="272" t="s">
        <v>526</v>
      </c>
      <c r="D7" s="1">
        <v>6</v>
      </c>
      <c r="E7" s="10" t="s">
        <v>234</v>
      </c>
      <c r="F7" s="4" t="s">
        <v>285</v>
      </c>
      <c r="G7" s="589"/>
      <c r="H7" s="10"/>
      <c r="I7" s="262">
        <f>INDEX(Weekly!F:F,MATCH($F7,Weekly!$E:$E,0))</f>
        <v>29.186257329971617</v>
      </c>
      <c r="J7" s="286">
        <f>INDEX(Weekly!G:G,MATCH($F7,Weekly!$E:$E,0))</f>
        <v>16</v>
      </c>
      <c r="K7" s="128">
        <f>INDEX(Weekly!H:H,MATCH($F7,Weekly!$E:$E,0))</f>
        <v>17.963636363636361</v>
      </c>
      <c r="L7" s="291">
        <f>INDEX(Weekly!I:I,MATCH($F7,Weekly!$E:$E,0))</f>
        <v>3</v>
      </c>
      <c r="M7" s="267">
        <f>INDEX(Prizes!F:F,MATCH($B7,Prizes!A:A,0))</f>
        <v>9.0449999999999999</v>
      </c>
      <c r="N7" s="466">
        <f>INDEX(Weekly!J:J,MATCH($F7,Weekly!$E:$E,0))</f>
        <v>5</v>
      </c>
      <c r="O7" s="267">
        <f>INDEX(Weekly!K:K,MATCH($F7,Weekly!$E:$E,0))</f>
        <v>0</v>
      </c>
      <c r="P7" s="649">
        <f>INDEX(Weekly!M:M,MATCH($F7,Weekly!$E:$E,0))</f>
        <v>14.045</v>
      </c>
      <c r="Q7" s="77"/>
      <c r="R7" s="278"/>
      <c r="S7" s="70" t="s">
        <v>271</v>
      </c>
      <c r="T7" s="77"/>
      <c r="U7" s="77"/>
      <c r="V7" s="77"/>
      <c r="W7" s="77"/>
      <c r="X7" s="77"/>
      <c r="Y7" s="77"/>
      <c r="Z7" s="77"/>
    </row>
    <row r="8" spans="1:26" ht="14" customHeight="1">
      <c r="A8" s="676"/>
      <c r="B8" s="1" t="str">
        <f t="shared" si="0"/>
        <v>A7</v>
      </c>
      <c r="C8" s="272" t="s">
        <v>526</v>
      </c>
      <c r="D8" s="1">
        <v>7</v>
      </c>
      <c r="E8" s="10" t="s">
        <v>234</v>
      </c>
      <c r="F8" s="4" t="s">
        <v>304</v>
      </c>
      <c r="G8" s="589"/>
      <c r="H8" s="10"/>
      <c r="I8" s="262">
        <f>INDEX(Weekly!F:F,MATCH($F8,Weekly!$E:$E,0))</f>
        <v>18.33636363636364</v>
      </c>
      <c r="J8" s="286">
        <f>INDEX(Weekly!G:G,MATCH($F8,Weekly!$E:$E,0))</f>
        <v>10</v>
      </c>
      <c r="K8" s="128">
        <f>INDEX(Weekly!H:H,MATCH($F8,Weekly!$E:$E,0))</f>
        <v>3.6363636363636367</v>
      </c>
      <c r="L8" s="291">
        <f>INDEX(Weekly!I:I,MATCH($F8,Weekly!$E:$E,0))</f>
        <v>2</v>
      </c>
      <c r="M8" s="267">
        <f>INDEX(Prizes!F:F,MATCH($B8,Prizes!A:A,0))</f>
        <v>0</v>
      </c>
      <c r="N8" s="466">
        <f>INDEX(Weekly!J:J,MATCH($F8,Weekly!$E:$E,0))</f>
        <v>0</v>
      </c>
      <c r="O8" s="267">
        <f>INDEX(Weekly!K:K,MATCH($F8,Weekly!$E:$E,0))</f>
        <v>0</v>
      </c>
      <c r="P8" s="649">
        <f>INDEX(Weekly!M:M,MATCH($F8,Weekly!$E:$E,0))</f>
        <v>0</v>
      </c>
      <c r="Q8" s="77"/>
      <c r="R8" s="279"/>
      <c r="S8" s="70" t="s">
        <v>272</v>
      </c>
      <c r="T8" s="77"/>
      <c r="U8" s="77"/>
      <c r="V8" s="77"/>
      <c r="W8" s="77"/>
      <c r="X8" s="77"/>
      <c r="Y8" s="77"/>
      <c r="Z8" s="77"/>
    </row>
    <row r="9" spans="1:26" ht="14" customHeight="1">
      <c r="A9" s="676"/>
      <c r="B9" s="1" t="str">
        <f t="shared" si="0"/>
        <v>A8</v>
      </c>
      <c r="C9" s="272" t="s">
        <v>526</v>
      </c>
      <c r="D9" s="1">
        <v>8</v>
      </c>
      <c r="E9" s="10" t="s">
        <v>234</v>
      </c>
      <c r="F9" s="4" t="s">
        <v>290</v>
      </c>
      <c r="G9" s="589"/>
      <c r="H9" s="10"/>
      <c r="I9" s="262">
        <f>INDEX(Weekly!F:F,MATCH($F9,Weekly!$E:$E,0))</f>
        <v>15.647779165279163</v>
      </c>
      <c r="J9" s="286">
        <f>INDEX(Weekly!G:G,MATCH($F9,Weekly!$E:$E,0))</f>
        <v>16</v>
      </c>
      <c r="K9" s="128">
        <f>INDEX(Weekly!H:H,MATCH($F9,Weekly!$E:$E,0))</f>
        <v>0.77500000000000036</v>
      </c>
      <c r="L9" s="291">
        <f>INDEX(Weekly!I:I,MATCH($F9,Weekly!$E:$E,0))</f>
        <v>2</v>
      </c>
      <c r="M9" s="267">
        <f>INDEX(Prizes!F:F,MATCH($B9,Prizes!A:A,0))</f>
        <v>0</v>
      </c>
      <c r="N9" s="466">
        <f>INDEX(Weekly!J:J,MATCH($F9,Weekly!$E:$E,0))</f>
        <v>0</v>
      </c>
      <c r="O9" s="267">
        <f>INDEX(Weekly!K:K,MATCH($F9,Weekly!$E:$E,0))</f>
        <v>0</v>
      </c>
      <c r="P9" s="649">
        <f>INDEX(Weekly!M:M,MATCH($F9,Weekly!$E:$E,0))</f>
        <v>0</v>
      </c>
      <c r="Q9" s="77"/>
      <c r="R9" s="280"/>
      <c r="S9" s="70" t="s">
        <v>273</v>
      </c>
      <c r="T9" s="77"/>
      <c r="U9" s="77"/>
      <c r="V9" s="77"/>
      <c r="W9" s="77"/>
      <c r="X9" s="77"/>
      <c r="Y9" s="77"/>
      <c r="Z9" s="77"/>
    </row>
    <row r="10" spans="1:26" ht="14" customHeight="1">
      <c r="A10" s="676"/>
      <c r="B10" s="1" t="str">
        <f t="shared" si="0"/>
        <v>A9</v>
      </c>
      <c r="C10" s="484" t="s">
        <v>265</v>
      </c>
      <c r="D10" s="1">
        <v>9</v>
      </c>
      <c r="E10" s="10" t="s">
        <v>234</v>
      </c>
      <c r="F10" s="4" t="s">
        <v>309</v>
      </c>
      <c r="G10" s="589"/>
      <c r="H10" s="10"/>
      <c r="I10" s="262">
        <f>INDEX(Weekly!F:F,MATCH($F10,Weekly!$E:$E,0))</f>
        <v>1.4071969696969724</v>
      </c>
      <c r="J10" s="286">
        <f>INDEX(Weekly!G:G,MATCH($F10,Weekly!$E:$E,0))</f>
        <v>11</v>
      </c>
      <c r="K10" s="128">
        <f>INDEX(Weekly!H:H,MATCH($F10,Weekly!$E:$E,0))</f>
        <v>-7</v>
      </c>
      <c r="L10" s="291">
        <f>INDEX(Weekly!I:I,MATCH($F10,Weekly!$E:$E,0))</f>
        <v>0</v>
      </c>
      <c r="M10" s="267">
        <f>INDEX(Prizes!F:F,MATCH($B10,Prizes!A:A,0))</f>
        <v>0</v>
      </c>
      <c r="N10" s="466">
        <f>INDEX(Weekly!J:J,MATCH($F10,Weekly!$E:$E,0))</f>
        <v>0</v>
      </c>
      <c r="O10" s="267">
        <f>INDEX(Weekly!K:K,MATCH($F10,Weekly!$E:$E,0))</f>
        <v>0</v>
      </c>
      <c r="P10" s="649">
        <f>INDEX(Weekly!M:M,MATCH($F10,Weekly!$E:$E,0))</f>
        <v>0</v>
      </c>
      <c r="Q10" s="77"/>
      <c r="R10" s="281"/>
      <c r="S10" s="70" t="s">
        <v>274</v>
      </c>
      <c r="T10" s="77"/>
      <c r="U10" s="77"/>
      <c r="V10" s="77"/>
      <c r="W10" s="77"/>
      <c r="X10" s="77"/>
      <c r="Y10" s="77"/>
      <c r="Z10" s="77"/>
    </row>
    <row r="11" spans="1:26" ht="14" customHeight="1">
      <c r="A11" s="676"/>
      <c r="B11" s="1" t="str">
        <f t="shared" si="0"/>
        <v>A10</v>
      </c>
      <c r="C11" s="484" t="s">
        <v>265</v>
      </c>
      <c r="D11" s="1">
        <v>10</v>
      </c>
      <c r="E11" s="10" t="s">
        <v>234</v>
      </c>
      <c r="F11" s="4" t="s">
        <v>284</v>
      </c>
      <c r="G11" s="590"/>
      <c r="H11" s="10"/>
      <c r="I11" s="262">
        <f>INDEX(Weekly!F:F,MATCH($F11,Weekly!$E:$E,0))</f>
        <v>-7.9485440828031884E-2</v>
      </c>
      <c r="J11" s="286">
        <f>INDEX(Weekly!G:G,MATCH($F11,Weekly!$E:$E,0))</f>
        <v>11</v>
      </c>
      <c r="K11" s="128">
        <f>INDEX(Weekly!H:H,MATCH($F11,Weekly!$E:$E,0))</f>
        <v>-4.625</v>
      </c>
      <c r="L11" s="291">
        <f>INDEX(Weekly!I:I,MATCH($F11,Weekly!$E:$E,0))</f>
        <v>1</v>
      </c>
      <c r="M11" s="267">
        <f>INDEX(Prizes!F:F,MATCH($B11,Prizes!A:A,0))</f>
        <v>0</v>
      </c>
      <c r="N11" s="466">
        <f>INDEX(Weekly!J:J,MATCH($F11,Weekly!$E:$E,0))</f>
        <v>0</v>
      </c>
      <c r="O11" s="267">
        <f>INDEX(Weekly!K:K,MATCH($F11,Weekly!$E:$E,0))</f>
        <v>0</v>
      </c>
      <c r="P11" s="649">
        <f>INDEX(Weekly!M:M,MATCH($F11,Weekly!$E:$E,0))</f>
        <v>0</v>
      </c>
      <c r="Q11" s="77"/>
      <c r="R11" s="77"/>
      <c r="S11" s="77"/>
      <c r="T11" s="77"/>
      <c r="U11" s="77"/>
      <c r="V11" s="77"/>
      <c r="W11" s="77"/>
      <c r="X11" s="77"/>
      <c r="Y11" s="77"/>
      <c r="Z11" s="77"/>
    </row>
    <row r="12" spans="1:26" ht="14" customHeight="1">
      <c r="A12" s="676"/>
      <c r="B12" s="1" t="str">
        <f t="shared" si="0"/>
        <v>A11</v>
      </c>
      <c r="C12" s="352" t="s">
        <v>266</v>
      </c>
      <c r="D12" s="353">
        <v>11</v>
      </c>
      <c r="E12" s="585" t="s">
        <v>234</v>
      </c>
      <c r="F12" s="345" t="s">
        <v>281</v>
      </c>
      <c r="G12" s="590"/>
      <c r="H12" s="585"/>
      <c r="I12" s="346">
        <f>INDEX(Weekly!F:F,MATCH($F12,Weekly!$E:$E,0))</f>
        <v>-7.9176623376623354</v>
      </c>
      <c r="J12" s="347">
        <f>INDEX(Weekly!G:G,MATCH($F12,Weekly!$E:$E,0))</f>
        <v>9</v>
      </c>
      <c r="K12" s="348">
        <f>INDEX(Weekly!H:H,MATCH($F12,Weekly!$E:$E,0))</f>
        <v>-7</v>
      </c>
      <c r="L12" s="349">
        <f>INDEX(Weekly!I:I,MATCH($F12,Weekly!$E:$E,0))</f>
        <v>0</v>
      </c>
      <c r="M12" s="350">
        <f>INDEX(Prizes!F:F,MATCH($B12,Prizes!A:A,0))</f>
        <v>0</v>
      </c>
      <c r="N12" s="351">
        <f>INDEX(Weekly!J:J,MATCH($F12,Weekly!$E:$E,0))</f>
        <v>0</v>
      </c>
      <c r="O12" s="350">
        <f>INDEX(Weekly!K:K,MATCH($F12,Weekly!$E:$E,0))</f>
        <v>0</v>
      </c>
      <c r="P12" s="650">
        <f>INDEX(Weekly!M:M,MATCH($F12,Weekly!$E:$E,0))</f>
        <v>0</v>
      </c>
      <c r="Q12" s="77"/>
      <c r="R12" s="77"/>
      <c r="S12" s="77"/>
      <c r="T12" s="77"/>
      <c r="U12" s="77"/>
      <c r="V12" s="77"/>
      <c r="W12" s="77"/>
      <c r="X12" s="77"/>
      <c r="Y12" s="77"/>
      <c r="Z12" s="77"/>
    </row>
    <row r="13" spans="1:26" ht="14" customHeight="1">
      <c r="A13" s="676"/>
      <c r="B13" s="10" t="str">
        <f t="shared" si="0"/>
        <v>A12</v>
      </c>
      <c r="C13" s="260" t="s">
        <v>266</v>
      </c>
      <c r="D13" s="1">
        <v>12</v>
      </c>
      <c r="E13" s="10" t="s">
        <v>234</v>
      </c>
      <c r="F13" s="4" t="s">
        <v>370</v>
      </c>
      <c r="G13" s="589"/>
      <c r="H13" s="10"/>
      <c r="I13" s="262">
        <f>INDEX(Weekly!F:F,MATCH($F13,Weekly!$E:$E,0))</f>
        <v>-13.846103896103891</v>
      </c>
      <c r="J13" s="286">
        <f>INDEX(Weekly!G:G,MATCH($F13,Weekly!$E:$E,0))</f>
        <v>8</v>
      </c>
      <c r="K13" s="128">
        <f>INDEX(Weekly!H:H,MATCH($F13,Weekly!$E:$E,0))</f>
        <v>-7</v>
      </c>
      <c r="L13" s="291">
        <f>INDEX(Weekly!I:I,MATCH($F13,Weekly!$E:$E,0))</f>
        <v>0</v>
      </c>
      <c r="M13" s="267">
        <f>INDEX(Prizes!F:F,MATCH($B13,Prizes!A:A,0))</f>
        <v>0</v>
      </c>
      <c r="N13" s="466">
        <f>INDEX(Weekly!J:J,MATCH($F13,Weekly!$E:$E,0))</f>
        <v>0</v>
      </c>
      <c r="O13" s="267">
        <f>INDEX(Weekly!K:K,MATCH($F13,Weekly!$E:$E,0))</f>
        <v>0</v>
      </c>
      <c r="P13" s="649">
        <f>INDEX(Weekly!M:M,MATCH($F13,Weekly!$E:$E,0))</f>
        <v>0</v>
      </c>
      <c r="Q13" s="77"/>
      <c r="R13" s="77"/>
      <c r="S13" s="77"/>
      <c r="T13" s="77"/>
      <c r="U13" s="77"/>
      <c r="V13" s="77"/>
      <c r="W13" s="77"/>
      <c r="X13" s="77"/>
      <c r="Y13" s="77"/>
      <c r="Z13" s="77"/>
    </row>
    <row r="14" spans="1:26" ht="14" customHeight="1">
      <c r="A14" s="676"/>
      <c r="B14" s="1" t="str">
        <f t="shared" si="0"/>
        <v>A13</v>
      </c>
      <c r="C14" s="259" t="s">
        <v>266</v>
      </c>
      <c r="D14" s="1">
        <v>13</v>
      </c>
      <c r="E14" s="10" t="s">
        <v>234</v>
      </c>
      <c r="F14" s="4" t="s">
        <v>372</v>
      </c>
      <c r="G14" s="589"/>
      <c r="H14" s="10"/>
      <c r="I14" s="262">
        <f>INDEX(Weekly!F:F,MATCH($F14,Weekly!$E:$E,0))</f>
        <v>-15.889318181818179</v>
      </c>
      <c r="J14" s="286">
        <f>INDEX(Weekly!G:G,MATCH($F14,Weekly!$E:$E,0))</f>
        <v>8</v>
      </c>
      <c r="K14" s="128">
        <f>INDEX(Weekly!H:H,MATCH($F14,Weekly!$E:$E,0))</f>
        <v>1.2925000000000004</v>
      </c>
      <c r="L14" s="291">
        <f>INDEX(Weekly!I:I,MATCH($F14,Weekly!$E:$E,0))</f>
        <v>2</v>
      </c>
      <c r="M14" s="267">
        <f>INDEX(Prizes!F:F,MATCH($B14,Prizes!A:A,0))</f>
        <v>0</v>
      </c>
      <c r="N14" s="466">
        <f>INDEX(Weekly!J:J,MATCH($F14,Weekly!$E:$E,0))</f>
        <v>0</v>
      </c>
      <c r="O14" s="267">
        <f>INDEX(Weekly!K:K,MATCH($F14,Weekly!$E:$E,0))</f>
        <v>0</v>
      </c>
      <c r="P14" s="649">
        <f>INDEX(Weekly!M:M,MATCH($F14,Weekly!$E:$E,0))</f>
        <v>0</v>
      </c>
      <c r="Q14" s="77"/>
      <c r="R14" s="77"/>
      <c r="S14" s="77"/>
      <c r="T14" s="77"/>
      <c r="U14" s="77"/>
      <c r="V14" s="77"/>
      <c r="W14" s="77"/>
      <c r="X14" s="77"/>
      <c r="Y14" s="77"/>
      <c r="Z14" s="77"/>
    </row>
    <row r="15" spans="1:26" ht="14" customHeight="1">
      <c r="A15" s="676"/>
      <c r="B15" s="1" t="str">
        <f t="shared" si="0"/>
        <v>A14</v>
      </c>
      <c r="C15" s="259" t="s">
        <v>266</v>
      </c>
      <c r="D15" s="1">
        <v>14</v>
      </c>
      <c r="E15" s="10" t="s">
        <v>234</v>
      </c>
      <c r="F15" s="4" t="s">
        <v>302</v>
      </c>
      <c r="G15" s="589"/>
      <c r="H15" s="10"/>
      <c r="I15" s="262">
        <f>INDEX(Weekly!F:F,MATCH($F15,Weekly!$E:$E,0))</f>
        <v>-17.817803030303025</v>
      </c>
      <c r="J15" s="286">
        <f>INDEX(Weekly!G:G,MATCH($F15,Weekly!$E:$E,0))</f>
        <v>8</v>
      </c>
      <c r="K15" s="128">
        <f>INDEX(Weekly!H:H,MATCH($F15,Weekly!$E:$E,0))</f>
        <v>2.2708333333333339</v>
      </c>
      <c r="L15" s="291">
        <f>INDEX(Weekly!I:I,MATCH($F15,Weekly!$E:$E,0))</f>
        <v>2</v>
      </c>
      <c r="M15" s="267">
        <f>INDEX(Prizes!F:F,MATCH($B15,Prizes!A:A,0))</f>
        <v>0</v>
      </c>
      <c r="N15" s="466">
        <f>INDEX(Weekly!J:J,MATCH($F15,Weekly!$E:$E,0))</f>
        <v>0</v>
      </c>
      <c r="O15" s="267">
        <f>INDEX(Weekly!K:K,MATCH($F15,Weekly!$E:$E,0))</f>
        <v>0</v>
      </c>
      <c r="P15" s="649">
        <f>INDEX(Weekly!M:M,MATCH($F15,Weekly!$E:$E,0))</f>
        <v>0</v>
      </c>
      <c r="Q15" s="77"/>
      <c r="R15" s="77"/>
      <c r="S15" s="77"/>
      <c r="T15" s="77"/>
      <c r="U15" s="77"/>
      <c r="V15" s="77"/>
      <c r="W15" s="77"/>
      <c r="X15" s="77"/>
      <c r="Y15" s="77"/>
      <c r="Z15" s="77"/>
    </row>
    <row r="16" spans="1:26" ht="14" customHeight="1">
      <c r="A16" s="676"/>
      <c r="B16" s="1" t="str">
        <f t="shared" si="0"/>
        <v>A15</v>
      </c>
      <c r="C16" s="259" t="s">
        <v>266</v>
      </c>
      <c r="D16" s="1">
        <v>15</v>
      </c>
      <c r="E16" s="10" t="s">
        <v>234</v>
      </c>
      <c r="F16" s="4" t="s">
        <v>283</v>
      </c>
      <c r="G16" s="589"/>
      <c r="H16" s="10"/>
      <c r="I16" s="262">
        <f>INDEX(Weekly!F:F,MATCH($F16,Weekly!$E:$E,0))</f>
        <v>-17.825919913419909</v>
      </c>
      <c r="J16" s="286">
        <f>INDEX(Weekly!G:G,MATCH($F16,Weekly!$E:$E,0))</f>
        <v>10</v>
      </c>
      <c r="K16" s="128">
        <f>INDEX(Weekly!H:H,MATCH($F16,Weekly!$E:$E,0))</f>
        <v>0.4375</v>
      </c>
      <c r="L16" s="291">
        <f>INDEX(Weekly!I:I,MATCH($F16,Weekly!$E:$E,0))</f>
        <v>2</v>
      </c>
      <c r="M16" s="267">
        <f>INDEX(Prizes!F:F,MATCH($B16,Prizes!A:A,0))</f>
        <v>0</v>
      </c>
      <c r="N16" s="466">
        <f>INDEX(Weekly!J:J,MATCH($F16,Weekly!$E:$E,0))</f>
        <v>0</v>
      </c>
      <c r="O16" s="267">
        <f>INDEX(Weekly!K:K,MATCH($F16,Weekly!$E:$E,0))</f>
        <v>0</v>
      </c>
      <c r="P16" s="649">
        <f>INDEX(Weekly!M:M,MATCH($F16,Weekly!$E:$E,0))</f>
        <v>0</v>
      </c>
      <c r="Q16" s="77"/>
      <c r="R16" s="77"/>
      <c r="S16" s="77"/>
      <c r="T16" s="77"/>
      <c r="U16" s="77"/>
      <c r="V16" s="77"/>
      <c r="W16" s="77"/>
      <c r="X16" s="77"/>
      <c r="Y16" s="77"/>
      <c r="Z16" s="77"/>
    </row>
    <row r="17" spans="1:26" ht="14" customHeight="1" thickBot="1">
      <c r="A17" s="676"/>
      <c r="B17" s="1" t="str">
        <f t="shared" si="0"/>
        <v>A16</v>
      </c>
      <c r="C17" s="261" t="s">
        <v>266</v>
      </c>
      <c r="D17" s="255">
        <v>16</v>
      </c>
      <c r="E17" s="586" t="s">
        <v>234</v>
      </c>
      <c r="F17" s="256" t="s">
        <v>369</v>
      </c>
      <c r="G17" s="591"/>
      <c r="H17" s="586"/>
      <c r="I17" s="264">
        <f>INDEX(Weekly!F:F,MATCH($F17,Weekly!$E:$E,0))</f>
        <v>-29.904166666666665</v>
      </c>
      <c r="J17" s="288">
        <f>INDEX(Weekly!G:G,MATCH($F17,Weekly!$E:$E,0))</f>
        <v>7</v>
      </c>
      <c r="K17" s="146">
        <f>INDEX(Weekly!H:H,MATCH($F17,Weekly!$E:$E,0))</f>
        <v>1.0625</v>
      </c>
      <c r="L17" s="293">
        <f>INDEX(Weekly!I:I,MATCH($F17,Weekly!$E:$E,0))</f>
        <v>2</v>
      </c>
      <c r="M17" s="270">
        <f>INDEX(Prizes!F:F,MATCH($B17,Prizes!A:A,0))</f>
        <v>0</v>
      </c>
      <c r="N17" s="271">
        <f>INDEX(Weekly!J:J,MATCH($F17,Weekly!$E:$E,0))</f>
        <v>0</v>
      </c>
      <c r="O17" s="270">
        <f>INDEX(Weekly!K:K,MATCH($F17,Weekly!$E:$E,0))</f>
        <v>0</v>
      </c>
      <c r="P17" s="651">
        <f>INDEX(Weekly!M:M,MATCH($F17,Weekly!$E:$E,0))</f>
        <v>0</v>
      </c>
      <c r="Q17" s="77"/>
      <c r="R17" s="77"/>
      <c r="S17" s="77"/>
      <c r="T17" s="77"/>
      <c r="U17" s="77"/>
      <c r="V17" s="77"/>
      <c r="W17" s="77"/>
      <c r="X17" s="77"/>
      <c r="Y17" s="77"/>
      <c r="Z17" s="77"/>
    </row>
    <row r="18" spans="1:26" ht="14" customHeight="1">
      <c r="A18" s="675" t="s">
        <v>227</v>
      </c>
      <c r="B18" s="1" t="str">
        <f t="shared" si="0"/>
        <v>B1</v>
      </c>
      <c r="C18" s="258" t="s">
        <v>267</v>
      </c>
      <c r="D18" s="1">
        <v>1</v>
      </c>
      <c r="E18" s="10" t="s">
        <v>235</v>
      </c>
      <c r="F18" s="4" t="s">
        <v>516</v>
      </c>
      <c r="G18" s="589"/>
      <c r="H18" s="10"/>
      <c r="I18" s="262">
        <f>INDEX(Weekly!F:F,MATCH($F18,Weekly!$E:$E,0))</f>
        <v>119.43312499999999</v>
      </c>
      <c r="J18" s="286">
        <f>INDEX(Weekly!G:G,MATCH($F18,Weekly!$E:$E,0))</f>
        <v>11</v>
      </c>
      <c r="K18" s="128">
        <f>INDEX(Weekly!H:H,MATCH($F18,Weekly!$E:$E,0))</f>
        <v>36.263124999999995</v>
      </c>
      <c r="L18" s="291">
        <f>INDEX(Weekly!I:I,MATCH($F18,Weekly!$E:$E,0))</f>
        <v>3</v>
      </c>
      <c r="M18" s="267">
        <f>INDEX(Prizes!F:F,MATCH($B18,Prizes!A:A,0))</f>
        <v>70.349999999999994</v>
      </c>
      <c r="N18" s="466">
        <f>INDEX(Weekly!J:J,MATCH($F18,Weekly!$E:$E,0))</f>
        <v>20</v>
      </c>
      <c r="O18" s="267">
        <f>INDEX(Weekly!K:K,MATCH($F18,Weekly!$E:$E,0))</f>
        <v>0</v>
      </c>
      <c r="P18" s="649">
        <f>INDEX(Weekly!M:M,MATCH($F18,Weekly!$E:$E,0))</f>
        <v>90.35</v>
      </c>
      <c r="Q18" s="77"/>
      <c r="R18" s="77"/>
      <c r="S18" s="77"/>
      <c r="T18" s="77"/>
      <c r="U18" s="77"/>
      <c r="V18" s="77"/>
      <c r="W18" s="77"/>
      <c r="X18" s="77"/>
      <c r="Y18" s="77"/>
      <c r="Z18" s="77"/>
    </row>
    <row r="19" spans="1:26" ht="14" customHeight="1">
      <c r="A19" s="676"/>
      <c r="B19" s="1" t="str">
        <f t="shared" si="0"/>
        <v>B2</v>
      </c>
      <c r="C19" s="257" t="s">
        <v>267</v>
      </c>
      <c r="D19" s="1">
        <v>2</v>
      </c>
      <c r="E19" s="10" t="s">
        <v>235</v>
      </c>
      <c r="F19" s="4" t="s">
        <v>282</v>
      </c>
      <c r="G19" s="589"/>
      <c r="H19" s="10"/>
      <c r="I19" s="262">
        <f>INDEX(Weekly!F:F,MATCH($F19,Weekly!$E:$E,0))</f>
        <v>29.96329545454546</v>
      </c>
      <c r="J19" s="286">
        <f>INDEX(Weekly!G:G,MATCH($F19,Weekly!$E:$E,0))</f>
        <v>10</v>
      </c>
      <c r="K19" s="128">
        <f>INDEX(Weekly!H:H,MATCH($F19,Weekly!$E:$E,0))</f>
        <v>-4.75</v>
      </c>
      <c r="L19" s="291">
        <f>INDEX(Weekly!I:I,MATCH($F19,Weekly!$E:$E,0))</f>
        <v>1</v>
      </c>
      <c r="M19" s="267">
        <f>INDEX(Prizes!F:F,MATCH($B19,Prizes!A:A,0))</f>
        <v>50.25</v>
      </c>
      <c r="N19" s="466">
        <f>INDEX(Weekly!J:J,MATCH($F19,Weekly!$E:$E,0))</f>
        <v>15</v>
      </c>
      <c r="O19" s="267">
        <f>INDEX(Weekly!K:K,MATCH($F19,Weekly!$E:$E,0))</f>
        <v>0</v>
      </c>
      <c r="P19" s="649">
        <f>INDEX(Weekly!M:M,MATCH($F19,Weekly!$E:$E,0))</f>
        <v>65.25</v>
      </c>
      <c r="Q19" s="77"/>
      <c r="R19" s="77"/>
      <c r="S19" s="77"/>
      <c r="T19" s="77"/>
      <c r="U19" s="77"/>
      <c r="V19" s="77"/>
      <c r="W19" s="77"/>
      <c r="X19" s="77"/>
      <c r="Y19" s="77"/>
      <c r="Z19" s="77"/>
    </row>
    <row r="20" spans="1:26" ht="14" customHeight="1">
      <c r="A20" s="676"/>
      <c r="B20" s="1" t="str">
        <f t="shared" si="0"/>
        <v>B3</v>
      </c>
      <c r="C20" s="257" t="s">
        <v>267</v>
      </c>
      <c r="D20" s="1">
        <v>3</v>
      </c>
      <c r="E20" s="10" t="s">
        <v>235</v>
      </c>
      <c r="F20" s="14" t="s">
        <v>314</v>
      </c>
      <c r="G20" s="589"/>
      <c r="H20" s="10"/>
      <c r="I20" s="263">
        <f>INDEX(Weekly!F:F,MATCH($F20,Weekly!$E:$E,0))</f>
        <v>28.219999999999992</v>
      </c>
      <c r="J20" s="287">
        <f>INDEX(Weekly!G:G,MATCH($F20,Weekly!$E:$E,0))</f>
        <v>7</v>
      </c>
      <c r="K20" s="129">
        <f>INDEX(Weekly!H:H,MATCH($F20,Weekly!$E:$E,0))</f>
        <v>-4.8499999999999996</v>
      </c>
      <c r="L20" s="292">
        <f>INDEX(Weekly!I:I,MATCH($F20,Weekly!$E:$E,0))</f>
        <v>1</v>
      </c>
      <c r="M20" s="267">
        <f>INDEX(Prizes!F:F,MATCH($B20,Prizes!A:A,0))</f>
        <v>36.18</v>
      </c>
      <c r="N20" s="466">
        <f>INDEX(Weekly!J:J,MATCH($F20,Weekly!$E:$E,0))</f>
        <v>5</v>
      </c>
      <c r="O20" s="267">
        <f>INDEX(Weekly!K:K,MATCH($F20,Weekly!$E:$E,0))</f>
        <v>0</v>
      </c>
      <c r="P20" s="649">
        <f>INDEX(Weekly!M:M,MATCH($F20,Weekly!$E:$E,0))</f>
        <v>41.18</v>
      </c>
      <c r="Q20" s="77"/>
      <c r="R20" s="77"/>
      <c r="S20" s="77"/>
      <c r="T20" s="77"/>
      <c r="U20" s="77"/>
      <c r="V20" s="77"/>
      <c r="W20" s="77"/>
      <c r="X20" s="77"/>
      <c r="Y20" s="77"/>
      <c r="Z20" s="77"/>
    </row>
    <row r="21" spans="1:26" ht="14" customHeight="1">
      <c r="A21" s="676"/>
      <c r="B21" s="1" t="str">
        <f t="shared" si="0"/>
        <v>B4</v>
      </c>
      <c r="C21" s="257" t="s">
        <v>267</v>
      </c>
      <c r="D21" s="1">
        <v>4</v>
      </c>
      <c r="E21" s="10" t="s">
        <v>235</v>
      </c>
      <c r="F21" s="4" t="s">
        <v>301</v>
      </c>
      <c r="G21" s="589"/>
      <c r="H21" s="10"/>
      <c r="I21" s="262">
        <f>INDEX(Weekly!F:F,MATCH($F21,Weekly!$E:$E,0))</f>
        <v>26.608441558441559</v>
      </c>
      <c r="J21" s="286">
        <f>INDEX(Weekly!G:G,MATCH($F21,Weekly!$E:$E,0))</f>
        <v>12</v>
      </c>
      <c r="K21" s="128">
        <f>INDEX(Weekly!H:H,MATCH($F21,Weekly!$E:$E,0))</f>
        <v>36.625</v>
      </c>
      <c r="L21" s="291">
        <f>INDEX(Weekly!I:I,MATCH($F21,Weekly!$E:$E,0))</f>
        <v>3</v>
      </c>
      <c r="M21" s="267">
        <f>INDEX(Prizes!F:F,MATCH($B21,Prizes!A:A,0))</f>
        <v>24.12</v>
      </c>
      <c r="N21" s="466">
        <f>INDEX(Weekly!J:J,MATCH($F21,Weekly!$E:$E,0))</f>
        <v>5</v>
      </c>
      <c r="O21" s="267">
        <f>INDEX(Weekly!K:K,MATCH($F21,Weekly!$E:$E,0))</f>
        <v>0</v>
      </c>
      <c r="P21" s="649">
        <f>INDEX(Weekly!M:M,MATCH($F21,Weekly!$E:$E,0))</f>
        <v>29.12</v>
      </c>
      <c r="Q21" s="77"/>
      <c r="R21" s="77"/>
      <c r="S21" s="77"/>
      <c r="T21" s="77"/>
      <c r="U21" s="77"/>
      <c r="V21" s="77"/>
      <c r="W21" s="77"/>
      <c r="X21" s="77"/>
      <c r="Y21" s="77"/>
      <c r="Z21" s="77"/>
    </row>
    <row r="22" spans="1:26" ht="14" customHeight="1">
      <c r="A22" s="676"/>
      <c r="B22" s="1" t="str">
        <f t="shared" si="0"/>
        <v>B5</v>
      </c>
      <c r="C22" s="257" t="s">
        <v>267</v>
      </c>
      <c r="D22" s="1">
        <v>5</v>
      </c>
      <c r="E22" s="10" t="s">
        <v>235</v>
      </c>
      <c r="F22" s="4" t="s">
        <v>371</v>
      </c>
      <c r="G22" s="589"/>
      <c r="H22" s="10"/>
      <c r="I22" s="262">
        <f>INDEX(Weekly!F:F,MATCH($F22,Weekly!$E:$E,0))</f>
        <v>24.800000000000004</v>
      </c>
      <c r="J22" s="286">
        <f>INDEX(Weekly!G:G,MATCH($F22,Weekly!$E:$E,0))</f>
        <v>6</v>
      </c>
      <c r="K22" s="128">
        <f>INDEX(Weekly!H:H,MATCH($F22,Weekly!$E:$E,0))</f>
        <v>-4.625</v>
      </c>
      <c r="L22" s="291">
        <f>INDEX(Weekly!I:I,MATCH($F22,Weekly!$E:$E,0))</f>
        <v>1</v>
      </c>
      <c r="M22" s="267">
        <f>INDEX(Prizes!F:F,MATCH($B22,Prizes!A:A,0))</f>
        <v>14.07</v>
      </c>
      <c r="N22" s="466">
        <f>INDEX(Weekly!J:J,MATCH($F22,Weekly!$E:$E,0))</f>
        <v>10</v>
      </c>
      <c r="O22" s="267">
        <f>INDEX(Weekly!K:K,MATCH($F22,Weekly!$E:$E,0))</f>
        <v>0</v>
      </c>
      <c r="P22" s="649">
        <f>INDEX(Weekly!M:M,MATCH($F22,Weekly!$E:$E,0))</f>
        <v>24.07</v>
      </c>
      <c r="Q22" s="77"/>
      <c r="R22" s="77"/>
      <c r="S22" s="77"/>
      <c r="T22" s="77"/>
      <c r="U22" s="77"/>
      <c r="V22" s="77"/>
      <c r="W22" s="77"/>
      <c r="X22" s="77"/>
      <c r="Y22" s="77"/>
      <c r="Z22" s="77"/>
    </row>
    <row r="23" spans="1:26" ht="14" customHeight="1">
      <c r="A23" s="676"/>
      <c r="B23" s="10" t="str">
        <f t="shared" si="0"/>
        <v>B6</v>
      </c>
      <c r="C23" s="337" t="s">
        <v>267</v>
      </c>
      <c r="D23" s="355">
        <v>6</v>
      </c>
      <c r="E23" s="587" t="s">
        <v>235</v>
      </c>
      <c r="F23" s="338" t="s">
        <v>279</v>
      </c>
      <c r="G23" s="592"/>
      <c r="H23" s="587"/>
      <c r="I23" s="339">
        <f>INDEX(Weekly!F:F,MATCH($F23,Weekly!$E:$E,0))</f>
        <v>12.720714285714283</v>
      </c>
      <c r="J23" s="340">
        <f>INDEX(Weekly!G:G,MATCH($F23,Weekly!$E:$E,0))</f>
        <v>10</v>
      </c>
      <c r="K23" s="341">
        <f>INDEX(Weekly!H:H,MATCH($F23,Weekly!$E:$E,0))</f>
        <v>10.059999999999999</v>
      </c>
      <c r="L23" s="342">
        <f>INDEX(Weekly!I:I,MATCH($F23,Weekly!$E:$E,0))</f>
        <v>2</v>
      </c>
      <c r="M23" s="344">
        <f>INDEX(Prizes!F:F,MATCH($B23,Prizes!A:A,0))</f>
        <v>6.03</v>
      </c>
      <c r="N23" s="344">
        <f>INDEX(Weekly!J:J,MATCH($F23,Weekly!$E:$E,0))</f>
        <v>5</v>
      </c>
      <c r="O23" s="344">
        <f>INDEX(Weekly!K:K,MATCH($F23,Weekly!$E:$E,0))</f>
        <v>0</v>
      </c>
      <c r="P23" s="652">
        <f>INDEX(Weekly!M:M,MATCH($F23,Weekly!$E:$E,0))</f>
        <v>11.030000000000001</v>
      </c>
      <c r="Q23" s="77"/>
      <c r="R23" s="77"/>
      <c r="S23" s="77"/>
      <c r="T23" s="77"/>
      <c r="U23" s="77"/>
      <c r="V23" s="77"/>
      <c r="W23" s="77"/>
      <c r="X23" s="77"/>
      <c r="Y23" s="77"/>
      <c r="Z23" s="77"/>
    </row>
    <row r="24" spans="1:26" ht="14" customHeight="1">
      <c r="A24" s="676"/>
      <c r="B24" s="1" t="str">
        <f t="shared" si="0"/>
        <v>B7</v>
      </c>
      <c r="C24" s="484" t="s">
        <v>265</v>
      </c>
      <c r="D24" s="1">
        <v>7</v>
      </c>
      <c r="E24" s="10" t="s">
        <v>235</v>
      </c>
      <c r="F24" s="4" t="s">
        <v>308</v>
      </c>
      <c r="G24" s="592"/>
      <c r="H24" s="10"/>
      <c r="I24" s="262">
        <f>INDEX(Weekly!F:F,MATCH($F24,Weekly!$E:$E,0))</f>
        <v>5.1136363636379301E-3</v>
      </c>
      <c r="J24" s="286">
        <f>INDEX(Weekly!G:G,MATCH($F24,Weekly!$E:$E,0))</f>
        <v>12</v>
      </c>
      <c r="K24" s="128">
        <f>INDEX(Weekly!H:H,MATCH($F24,Weekly!$E:$E,0))</f>
        <v>1.454545454545455</v>
      </c>
      <c r="L24" s="291">
        <f>INDEX(Weekly!I:I,MATCH($F24,Weekly!$E:$E,0))</f>
        <v>2</v>
      </c>
      <c r="M24" s="267">
        <f>INDEX(Prizes!F:F,MATCH($B24,Prizes!A:A,0))</f>
        <v>0</v>
      </c>
      <c r="N24" s="466">
        <f>INDEX(Weekly!J:J,MATCH($F24,Weekly!$E:$E,0))</f>
        <v>5</v>
      </c>
      <c r="O24" s="267">
        <f>INDEX(Weekly!K:K,MATCH($F24,Weekly!$E:$E,0))</f>
        <v>0</v>
      </c>
      <c r="P24" s="649">
        <f>INDEX(Weekly!M:M,MATCH($F24,Weekly!$E:$E,0))</f>
        <v>5</v>
      </c>
      <c r="Q24" s="77"/>
      <c r="R24" s="77"/>
      <c r="S24" s="77"/>
      <c r="T24" s="77"/>
      <c r="U24" s="77"/>
      <c r="V24" s="77"/>
      <c r="W24" s="77"/>
      <c r="X24" s="77"/>
      <c r="Y24" s="77"/>
      <c r="Z24" s="77"/>
    </row>
    <row r="25" spans="1:26" ht="14" customHeight="1">
      <c r="A25" s="676"/>
      <c r="B25" s="1" t="str">
        <f t="shared" si="0"/>
        <v>B8</v>
      </c>
      <c r="C25" s="484" t="s">
        <v>265</v>
      </c>
      <c r="D25" s="1">
        <v>8</v>
      </c>
      <c r="E25" s="10" t="s">
        <v>235</v>
      </c>
      <c r="F25" s="4" t="s">
        <v>291</v>
      </c>
      <c r="G25" s="589"/>
      <c r="H25" s="10"/>
      <c r="I25" s="262">
        <f>INDEX(Weekly!F:F,MATCH($F25,Weekly!$E:$E,0))</f>
        <v>-2.8674999999999979</v>
      </c>
      <c r="J25" s="286">
        <f>INDEX(Weekly!G:G,MATCH($F25,Weekly!$E:$E,0))</f>
        <v>10</v>
      </c>
      <c r="K25" s="128">
        <f>INDEX(Weekly!H:H,MATCH($F25,Weekly!$E:$E,0))</f>
        <v>-7</v>
      </c>
      <c r="L25" s="291">
        <f>INDEX(Weekly!I:I,MATCH($F25,Weekly!$E:$E,0))</f>
        <v>0</v>
      </c>
      <c r="M25" s="267">
        <f>INDEX(Prizes!F:F,MATCH($B25,Prizes!A:A,0))</f>
        <v>0</v>
      </c>
      <c r="N25" s="466">
        <f>INDEX(Weekly!J:J,MATCH($F25,Weekly!$E:$E,0))</f>
        <v>10</v>
      </c>
      <c r="O25" s="267">
        <f>INDEX(Weekly!K:K,MATCH($F25,Weekly!$E:$E,0))</f>
        <v>0</v>
      </c>
      <c r="P25" s="649">
        <f>INDEX(Weekly!M:M,MATCH($F25,Weekly!$E:$E,0))</f>
        <v>10</v>
      </c>
      <c r="Q25" s="77"/>
      <c r="R25" s="77"/>
      <c r="S25" s="77"/>
      <c r="T25" s="77"/>
      <c r="U25" s="77"/>
      <c r="V25" s="77"/>
      <c r="W25" s="77"/>
      <c r="X25" s="77"/>
      <c r="Y25" s="77"/>
      <c r="Z25" s="77"/>
    </row>
    <row r="26" spans="1:26" ht="14" customHeight="1">
      <c r="A26" s="676"/>
      <c r="B26" s="1" t="str">
        <f t="shared" si="0"/>
        <v>B9</v>
      </c>
      <c r="C26" s="275" t="s">
        <v>265</v>
      </c>
      <c r="D26" s="10">
        <v>9</v>
      </c>
      <c r="E26" s="10" t="s">
        <v>235</v>
      </c>
      <c r="F26" s="4" t="s">
        <v>306</v>
      </c>
      <c r="G26" s="589"/>
      <c r="H26" s="10"/>
      <c r="I26" s="262">
        <f>INDEX(Weekly!F:F,MATCH($F26,Weekly!$E:$E,0))</f>
        <v>-8.7450505050505036</v>
      </c>
      <c r="J26" s="286">
        <f>INDEX(Weekly!G:G,MATCH($F26,Weekly!$E:$E,0))</f>
        <v>10</v>
      </c>
      <c r="K26" s="128">
        <f>INDEX(Weekly!H:H,MATCH($F26,Weekly!$E:$E,0))</f>
        <v>8.1616161616161627</v>
      </c>
      <c r="L26" s="291">
        <f>INDEX(Weekly!I:I,MATCH($F26,Weekly!$E:$E,0))</f>
        <v>3</v>
      </c>
      <c r="M26" s="267">
        <f>INDEX(Prizes!F:F,MATCH($B26,Prizes!A:A,0))</f>
        <v>0</v>
      </c>
      <c r="N26" s="466">
        <f>INDEX(Weekly!J:J,MATCH($F26,Weekly!$E:$E,0))</f>
        <v>0</v>
      </c>
      <c r="O26" s="267">
        <f>INDEX(Weekly!K:K,MATCH($F26,Weekly!$E:$E,0))</f>
        <v>0</v>
      </c>
      <c r="P26" s="653">
        <f>INDEX(Weekly!M:M,MATCH($F26,Weekly!$E:$E,0))</f>
        <v>0</v>
      </c>
      <c r="Q26" s="77"/>
      <c r="R26" s="77"/>
      <c r="S26" s="77"/>
      <c r="T26" s="77"/>
      <c r="U26" s="77"/>
      <c r="V26" s="77"/>
      <c r="W26" s="77"/>
      <c r="X26" s="77"/>
      <c r="Y26" s="77"/>
      <c r="Z26" s="77"/>
    </row>
    <row r="27" spans="1:26" ht="14" customHeight="1">
      <c r="A27" s="676"/>
      <c r="B27" s="1" t="str">
        <f t="shared" si="0"/>
        <v>B10</v>
      </c>
      <c r="C27" s="275" t="s">
        <v>265</v>
      </c>
      <c r="D27" s="1">
        <v>10</v>
      </c>
      <c r="E27" s="10" t="s">
        <v>235</v>
      </c>
      <c r="F27" s="4" t="s">
        <v>373</v>
      </c>
      <c r="G27" s="589"/>
      <c r="H27" s="10"/>
      <c r="I27" s="262">
        <f>INDEX(Weekly!F:F,MATCH($F27,Weekly!$E:$E,0))</f>
        <v>-10.074242424242424</v>
      </c>
      <c r="J27" s="286">
        <f>INDEX(Weekly!G:G,MATCH($F27,Weekly!$E:$E,0))</f>
        <v>7</v>
      </c>
      <c r="K27" s="128">
        <f>INDEX(Weekly!H:H,MATCH($F27,Weekly!$E:$E,0))</f>
        <v>-7</v>
      </c>
      <c r="L27" s="291">
        <f>INDEX(Weekly!I:I,MATCH($F27,Weekly!$E:$E,0))</f>
        <v>0</v>
      </c>
      <c r="M27" s="267">
        <f>INDEX(Prizes!F:F,MATCH($B27,Prizes!A:A,0))</f>
        <v>0</v>
      </c>
      <c r="N27" s="466">
        <f>INDEX(Weekly!J:J,MATCH($F27,Weekly!$E:$E,0))</f>
        <v>5</v>
      </c>
      <c r="O27" s="267">
        <f>INDEX(Weekly!K:K,MATCH($F27,Weekly!$E:$E,0))</f>
        <v>0</v>
      </c>
      <c r="P27" s="649">
        <f>INDEX(Weekly!M:M,MATCH($F27,Weekly!$E:$E,0))</f>
        <v>5</v>
      </c>
      <c r="Q27" s="77"/>
      <c r="R27" s="77"/>
      <c r="S27" s="77"/>
      <c r="T27" s="77"/>
      <c r="U27" s="77"/>
      <c r="V27" s="77"/>
      <c r="W27" s="77"/>
      <c r="X27" s="77"/>
      <c r="Y27" s="77"/>
      <c r="Z27" s="77"/>
    </row>
    <row r="28" spans="1:26" ht="14" customHeight="1">
      <c r="A28" s="676"/>
      <c r="B28" s="10" t="str">
        <f t="shared" si="0"/>
        <v>B11</v>
      </c>
      <c r="C28" s="260" t="s">
        <v>266</v>
      </c>
      <c r="D28" s="353">
        <v>11</v>
      </c>
      <c r="E28" s="585" t="s">
        <v>235</v>
      </c>
      <c r="F28" s="345" t="s">
        <v>323</v>
      </c>
      <c r="G28" s="589"/>
      <c r="H28" s="585"/>
      <c r="I28" s="346">
        <f>INDEX(Weekly!F:F,MATCH($F28,Weekly!$E:$E,0))</f>
        <v>-18.337575757575756</v>
      </c>
      <c r="J28" s="347">
        <f>INDEX(Weekly!G:G,MATCH($F28,Weekly!$E:$E,0))</f>
        <v>9</v>
      </c>
      <c r="K28" s="348">
        <f>INDEX(Weekly!H:H,MATCH($F28,Weekly!$E:$E,0))</f>
        <v>3.6099999999999994</v>
      </c>
      <c r="L28" s="349">
        <f>INDEX(Weekly!I:I,MATCH($F28,Weekly!$E:$E,0))</f>
        <v>2</v>
      </c>
      <c r="M28" s="350">
        <f>INDEX(Prizes!F:F,MATCH($B28,Prizes!A:A,0))</f>
        <v>0</v>
      </c>
      <c r="N28" s="351">
        <f>INDEX(Weekly!J:J,MATCH($F28,Weekly!$E:$E,0))</f>
        <v>0</v>
      </c>
      <c r="O28" s="350">
        <f>INDEX(Weekly!K:K,MATCH($F28,Weekly!$E:$E,0))</f>
        <v>0</v>
      </c>
      <c r="P28" s="650">
        <f>INDEX(Weekly!M:M,MATCH($F28,Weekly!$E:$E,0))</f>
        <v>0</v>
      </c>
      <c r="Q28" s="77"/>
      <c r="R28" s="77"/>
      <c r="S28" s="77"/>
      <c r="T28" s="77"/>
      <c r="U28" s="77"/>
      <c r="V28" s="77"/>
      <c r="W28" s="77"/>
      <c r="X28" s="77"/>
      <c r="Y28" s="77"/>
      <c r="Z28" s="77"/>
    </row>
    <row r="29" spans="1:26" ht="14" customHeight="1">
      <c r="A29" s="676"/>
      <c r="B29" s="1" t="str">
        <f t="shared" si="0"/>
        <v>B12</v>
      </c>
      <c r="C29" s="259" t="s">
        <v>266</v>
      </c>
      <c r="D29" s="1">
        <v>12</v>
      </c>
      <c r="E29" s="10" t="s">
        <v>235</v>
      </c>
      <c r="F29" s="4" t="s">
        <v>368</v>
      </c>
      <c r="G29" s="589"/>
      <c r="H29" s="10"/>
      <c r="I29" s="262">
        <f>INDEX(Weekly!F:F,MATCH($F29,Weekly!$E:$E,0))</f>
        <v>-24.6</v>
      </c>
      <c r="J29" s="286">
        <f>INDEX(Weekly!G:G,MATCH($F29,Weekly!$E:$E,0))</f>
        <v>7</v>
      </c>
      <c r="K29" s="128">
        <f>INDEX(Weekly!H:H,MATCH($F29,Weekly!$E:$E,0))</f>
        <v>-0.125</v>
      </c>
      <c r="L29" s="291">
        <f>INDEX(Weekly!I:I,MATCH($F29,Weekly!$E:$E,0))</f>
        <v>2</v>
      </c>
      <c r="M29" s="267">
        <f>INDEX(Prizes!F:F,MATCH($B29,Prizes!A:A,0))</f>
        <v>0</v>
      </c>
      <c r="N29" s="466">
        <f>INDEX(Weekly!J:J,MATCH($F29,Weekly!$E:$E,0))</f>
        <v>0</v>
      </c>
      <c r="O29" s="267">
        <f>INDEX(Weekly!K:K,MATCH($F29,Weekly!$E:$E,0))</f>
        <v>0</v>
      </c>
      <c r="P29" s="649">
        <f>INDEX(Weekly!M:M,MATCH($F29,Weekly!$E:$E,0))</f>
        <v>0</v>
      </c>
      <c r="Q29" s="77"/>
      <c r="R29" s="77"/>
      <c r="S29" s="77"/>
      <c r="T29" s="77"/>
      <c r="U29" s="77"/>
      <c r="V29" s="77"/>
      <c r="W29" s="77"/>
      <c r="X29" s="77"/>
      <c r="Y29" s="77"/>
      <c r="Z29" s="77"/>
    </row>
    <row r="30" spans="1:26" ht="14" customHeight="1">
      <c r="A30" s="676"/>
      <c r="B30" s="1" t="str">
        <f t="shared" si="0"/>
        <v>B13</v>
      </c>
      <c r="C30" s="259" t="s">
        <v>266</v>
      </c>
      <c r="D30" s="1">
        <v>13</v>
      </c>
      <c r="E30" s="732" t="s">
        <v>235</v>
      </c>
      <c r="F30" s="734" t="s">
        <v>298</v>
      </c>
      <c r="G30" s="589"/>
      <c r="H30" s="732"/>
      <c r="I30" s="263">
        <f>INDEX(Weekly!F:F,MATCH($F30,Weekly!$E:$E,0))</f>
        <v>-26.6</v>
      </c>
      <c r="J30" s="737">
        <f>INDEX(Weekly!G:G,MATCH($F30,Weekly!$E:$E,0))</f>
        <v>5</v>
      </c>
      <c r="K30" s="739">
        <f>INDEX(Weekly!H:H,MATCH($F30,Weekly!$E:$E,0))</f>
        <v>-4.75</v>
      </c>
      <c r="L30" s="292">
        <f>INDEX(Weekly!I:I,MATCH($F30,Weekly!$E:$E,0))</f>
        <v>1</v>
      </c>
      <c r="M30" s="267">
        <f>INDEX(Prizes!F:F,MATCH($B30,Prizes!A:A,0))</f>
        <v>0</v>
      </c>
      <c r="N30" s="466">
        <f>INDEX(Weekly!J:J,MATCH($F30,Weekly!$E:$E,0))</f>
        <v>0</v>
      </c>
      <c r="O30" s="267">
        <f>INDEX(Weekly!K:K,MATCH($F30,Weekly!$E:$E,0))</f>
        <v>0</v>
      </c>
      <c r="P30" s="649">
        <f>INDEX(Weekly!M:M,MATCH($F30,Weekly!$E:$E,0))</f>
        <v>0</v>
      </c>
      <c r="Q30" s="77"/>
      <c r="R30" s="77"/>
      <c r="S30" s="77"/>
      <c r="T30" s="77"/>
      <c r="U30" s="77"/>
      <c r="V30" s="77"/>
      <c r="W30" s="77"/>
      <c r="X30" s="77"/>
      <c r="Y30" s="77"/>
      <c r="Z30" s="77"/>
    </row>
    <row r="31" spans="1:26" ht="14" customHeight="1">
      <c r="A31" s="676"/>
      <c r="B31" s="1" t="str">
        <f t="shared" si="0"/>
        <v>B14</v>
      </c>
      <c r="C31" s="259" t="s">
        <v>266</v>
      </c>
      <c r="D31" s="1">
        <v>14</v>
      </c>
      <c r="E31" s="10" t="s">
        <v>235</v>
      </c>
      <c r="F31" s="4" t="s">
        <v>303</v>
      </c>
      <c r="G31" s="589"/>
      <c r="H31" s="10"/>
      <c r="I31" s="262">
        <f>INDEX(Weekly!F:F,MATCH($F31,Weekly!$E:$E,0))</f>
        <v>-28.694391164391167</v>
      </c>
      <c r="J31" s="286">
        <f>INDEX(Weekly!G:G,MATCH($F31,Weekly!$E:$E,0))</f>
        <v>9</v>
      </c>
      <c r="K31" s="128">
        <f>INDEX(Weekly!H:H,MATCH($F31,Weekly!$E:$E,0))</f>
        <v>-5.7777777777777777</v>
      </c>
      <c r="L31" s="291">
        <f>INDEX(Weekly!I:I,MATCH($F31,Weekly!$E:$E,0))</f>
        <v>1</v>
      </c>
      <c r="M31" s="267">
        <f>INDEX(Prizes!F:F,MATCH($B31,Prizes!A:A,0))</f>
        <v>0</v>
      </c>
      <c r="N31" s="466">
        <f>INDEX(Weekly!J:J,MATCH($F31,Weekly!$E:$E,0))</f>
        <v>0</v>
      </c>
      <c r="O31" s="267">
        <f>INDEX(Weekly!K:K,MATCH($F31,Weekly!$E:$E,0))</f>
        <v>0</v>
      </c>
      <c r="P31" s="649">
        <f>INDEX(Weekly!M:M,MATCH($F31,Weekly!$E:$E,0))</f>
        <v>0</v>
      </c>
      <c r="Q31" s="77"/>
      <c r="R31" s="77"/>
      <c r="S31" s="77"/>
      <c r="T31" s="77"/>
      <c r="U31" s="77"/>
      <c r="V31" s="77"/>
      <c r="W31" s="77"/>
      <c r="X31" s="77"/>
      <c r="Y31" s="77"/>
      <c r="Z31" s="77"/>
    </row>
    <row r="32" spans="1:26" ht="14" customHeight="1">
      <c r="A32" s="676"/>
      <c r="B32" s="1" t="str">
        <f t="shared" si="0"/>
        <v>B15</v>
      </c>
      <c r="C32" s="259" t="s">
        <v>266</v>
      </c>
      <c r="D32" s="10">
        <v>15</v>
      </c>
      <c r="E32" s="10" t="s">
        <v>235</v>
      </c>
      <c r="F32" s="4" t="s">
        <v>294</v>
      </c>
      <c r="G32" s="589"/>
      <c r="H32" s="10"/>
      <c r="I32" s="262">
        <f>INDEX(Weekly!F:F,MATCH($F32,Weekly!$E:$E,0))</f>
        <v>-31.616666666666671</v>
      </c>
      <c r="J32" s="286">
        <f>INDEX(Weekly!G:G,MATCH($F32,Weekly!$E:$E,0))</f>
        <v>6</v>
      </c>
      <c r="K32" s="128">
        <f>INDEX(Weekly!H:H,MATCH($F32,Weekly!$E:$E,0))</f>
        <v>0.92500000000000071</v>
      </c>
      <c r="L32" s="291">
        <f>INDEX(Weekly!I:I,MATCH($F32,Weekly!$E:$E,0))</f>
        <v>2</v>
      </c>
      <c r="M32" s="267">
        <f>INDEX(Prizes!F:F,MATCH($B32,Prizes!A:A,0))</f>
        <v>0</v>
      </c>
      <c r="N32" s="466">
        <f>INDEX(Weekly!J:J,MATCH($F32,Weekly!$E:$E,0))</f>
        <v>0</v>
      </c>
      <c r="O32" s="267">
        <f>INDEX(Weekly!K:K,MATCH($F32,Weekly!$E:$E,0))</f>
        <v>0</v>
      </c>
      <c r="P32" s="649">
        <f>INDEX(Weekly!M:M,MATCH($F32,Weekly!$E:$E,0))</f>
        <v>0</v>
      </c>
      <c r="Q32" s="77"/>
      <c r="R32" s="77"/>
      <c r="S32" s="77"/>
      <c r="T32" s="77"/>
      <c r="U32" s="77"/>
      <c r="V32" s="77"/>
      <c r="W32" s="77"/>
      <c r="X32" s="77"/>
      <c r="Y32" s="77"/>
      <c r="Z32" s="77"/>
    </row>
    <row r="33" spans="1:26" ht="14" customHeight="1" thickBot="1">
      <c r="A33" s="676"/>
      <c r="B33" s="1" t="str">
        <f t="shared" si="0"/>
        <v>B16</v>
      </c>
      <c r="C33" s="261" t="s">
        <v>266</v>
      </c>
      <c r="D33" s="255">
        <v>16</v>
      </c>
      <c r="E33" s="586" t="s">
        <v>235</v>
      </c>
      <c r="F33" s="256" t="s">
        <v>377</v>
      </c>
      <c r="G33" s="591"/>
      <c r="H33" s="586"/>
      <c r="I33" s="264">
        <f>INDEX(Weekly!F:F,MATCH($F33,Weekly!$E:$E,0))</f>
        <v>-35.972222222222221</v>
      </c>
      <c r="J33" s="288">
        <f>INDEX(Weekly!G:G,MATCH($F33,Weekly!$E:$E,0))</f>
        <v>5</v>
      </c>
      <c r="K33" s="146">
        <f>INDEX(Weekly!H:H,MATCH($F33,Weekly!$E:$E,0))</f>
        <v>-1.8888888888888884</v>
      </c>
      <c r="L33" s="293">
        <f>INDEX(Weekly!I:I,MATCH($F33,Weekly!$E:$E,0))</f>
        <v>2</v>
      </c>
      <c r="M33" s="271">
        <f>INDEX(Prizes!F:F,MATCH($B33,Prizes!A:A,0))</f>
        <v>0</v>
      </c>
      <c r="N33" s="271">
        <f>INDEX(Weekly!J:J,MATCH($F33,Weekly!$E:$E,0))</f>
        <v>0</v>
      </c>
      <c r="O33" s="271">
        <f>INDEX(Weekly!K:K,MATCH($F33,Weekly!$E:$E,0))</f>
        <v>0</v>
      </c>
      <c r="P33" s="654">
        <f>INDEX(Weekly!M:M,MATCH($F33,Weekly!$E:$E,0))</f>
        <v>0</v>
      </c>
      <c r="Q33" s="77"/>
      <c r="R33" s="77"/>
      <c r="S33" s="77"/>
      <c r="T33" s="77"/>
      <c r="U33" s="77"/>
      <c r="V33" s="77"/>
      <c r="W33" s="77"/>
      <c r="X33" s="77"/>
      <c r="Y33" s="77"/>
      <c r="Z33" s="77"/>
    </row>
    <row r="34" spans="1:26" ht="14" customHeight="1">
      <c r="A34" s="675" t="s">
        <v>228</v>
      </c>
      <c r="B34" s="1" t="str">
        <f t="shared" ref="B34:B59" si="1">CONCATENATE(E34,D34)</f>
        <v>C1</v>
      </c>
      <c r="C34" s="257" t="s">
        <v>267</v>
      </c>
      <c r="D34" s="1">
        <v>1</v>
      </c>
      <c r="E34" s="10" t="s">
        <v>236</v>
      </c>
      <c r="F34" s="4" t="s">
        <v>288</v>
      </c>
      <c r="G34" s="589"/>
      <c r="H34" s="10"/>
      <c r="I34" s="262">
        <f>INDEX(Weekly!F:F,MATCH($F34,Weekly!$E:$E,0))</f>
        <v>44.762</v>
      </c>
      <c r="J34" s="286">
        <f>INDEX(Weekly!G:G,MATCH($F34,Weekly!$E:$E,0))</f>
        <v>8</v>
      </c>
      <c r="K34" s="128">
        <f>INDEX(Weekly!H:H,MATCH($F34,Weekly!$E:$E,0))</f>
        <v>5.5</v>
      </c>
      <c r="L34" s="291">
        <f>INDEX(Weekly!I:I,MATCH($F34,Weekly!$E:$E,0))</f>
        <v>2</v>
      </c>
      <c r="M34" s="267">
        <f>INDEX(Prizes!F:F,MATCH($B34,Prizes!A:A,0))</f>
        <v>35.174999999999997</v>
      </c>
      <c r="N34" s="466">
        <f>INDEX(Weekly!J:J,MATCH($F34,Weekly!$E:$E,0))</f>
        <v>5</v>
      </c>
      <c r="O34" s="267">
        <f>INDEX(Weekly!K:K,MATCH($F34,Weekly!$E:$E,0))</f>
        <v>0</v>
      </c>
      <c r="P34" s="649">
        <f>INDEX(Weekly!M:M,MATCH($F34,Weekly!$E:$E,0))</f>
        <v>40.174999999999997</v>
      </c>
      <c r="Q34" s="77"/>
      <c r="R34" s="77"/>
      <c r="S34" s="77"/>
      <c r="T34" s="77"/>
      <c r="U34" s="77"/>
      <c r="V34" s="77"/>
      <c r="W34" s="77"/>
      <c r="X34" s="77"/>
      <c r="Y34" s="77"/>
      <c r="Z34" s="77"/>
    </row>
    <row r="35" spans="1:26" ht="14" customHeight="1">
      <c r="A35" s="676"/>
      <c r="B35" s="1" t="str">
        <f t="shared" si="1"/>
        <v>C2</v>
      </c>
      <c r="C35" s="257" t="s">
        <v>267</v>
      </c>
      <c r="D35" s="1">
        <v>2</v>
      </c>
      <c r="E35" s="10" t="s">
        <v>236</v>
      </c>
      <c r="F35" s="4" t="s">
        <v>292</v>
      </c>
      <c r="G35" s="589"/>
      <c r="H35" s="10"/>
      <c r="I35" s="262">
        <f>INDEX(Weekly!F:F,MATCH($F35,Weekly!$E:$E,0))</f>
        <v>34.578969237832879</v>
      </c>
      <c r="J35" s="286">
        <f>INDEX(Weekly!G:G,MATCH($F35,Weekly!$E:$E,0))</f>
        <v>12</v>
      </c>
      <c r="K35" s="128">
        <f>INDEX(Weekly!H:H,MATCH($F35,Weekly!$E:$E,0))</f>
        <v>-4.625</v>
      </c>
      <c r="L35" s="291">
        <f>INDEX(Weekly!I:I,MATCH($F35,Weekly!$E:$E,0))</f>
        <v>1</v>
      </c>
      <c r="M35" s="267">
        <f>INDEX(Prizes!F:F,MATCH($B35,Prizes!A:A,0))</f>
        <v>25.125</v>
      </c>
      <c r="N35" s="466">
        <f>INDEX(Weekly!J:J,MATCH($F35,Weekly!$E:$E,0))</f>
        <v>5</v>
      </c>
      <c r="O35" s="267">
        <f>INDEX(Weekly!K:K,MATCH($F35,Weekly!$E:$E,0))</f>
        <v>0</v>
      </c>
      <c r="P35" s="649">
        <f>INDEX(Weekly!M:M,MATCH($F35,Weekly!$E:$E,0))</f>
        <v>30.125</v>
      </c>
      <c r="Q35" s="77"/>
      <c r="R35" s="77"/>
      <c r="S35" s="77"/>
      <c r="T35" s="77"/>
      <c r="U35" s="77"/>
      <c r="V35" s="77"/>
      <c r="W35" s="77"/>
      <c r="X35" s="77"/>
      <c r="Y35" s="77"/>
      <c r="Z35" s="77"/>
    </row>
    <row r="36" spans="1:26" ht="14" customHeight="1">
      <c r="A36" s="676"/>
      <c r="B36" s="10" t="str">
        <f t="shared" si="1"/>
        <v>C3</v>
      </c>
      <c r="C36" s="258" t="s">
        <v>267</v>
      </c>
      <c r="D36" s="1">
        <v>3</v>
      </c>
      <c r="E36" s="10" t="s">
        <v>236</v>
      </c>
      <c r="F36" s="4" t="s">
        <v>299</v>
      </c>
      <c r="G36" s="589"/>
      <c r="H36" s="10"/>
      <c r="I36" s="262">
        <f>INDEX(Weekly!F:F,MATCH($F36,Weekly!$E:$E,0))</f>
        <v>19.866035353535352</v>
      </c>
      <c r="J36" s="286">
        <f>INDEX(Weekly!G:G,MATCH($F36,Weekly!$E:$E,0))</f>
        <v>11</v>
      </c>
      <c r="K36" s="128">
        <f>INDEX(Weekly!H:H,MATCH($F36,Weekly!$E:$E,0))</f>
        <v>1.5625</v>
      </c>
      <c r="L36" s="291">
        <f>INDEX(Weekly!I:I,MATCH($F36,Weekly!$E:$E,0))</f>
        <v>2</v>
      </c>
      <c r="M36" s="267">
        <f>INDEX(Prizes!F:F,MATCH($B36,Prizes!A:A,0))</f>
        <v>18.09</v>
      </c>
      <c r="N36" s="466">
        <f>INDEX(Weekly!J:J,MATCH($F36,Weekly!$E:$E,0))</f>
        <v>5</v>
      </c>
      <c r="O36" s="267">
        <f>INDEX(Weekly!K:K,MATCH($F36,Weekly!$E:$E,0))</f>
        <v>0</v>
      </c>
      <c r="P36" s="653">
        <f>INDEX(Weekly!M:M,MATCH($F36,Weekly!$E:$E,0))</f>
        <v>23.09</v>
      </c>
      <c r="Q36" s="77"/>
      <c r="R36" s="77"/>
      <c r="S36" s="77"/>
      <c r="T36" s="77"/>
      <c r="U36" s="77"/>
      <c r="V36" s="77"/>
      <c r="W36" s="77"/>
      <c r="X36" s="77"/>
      <c r="Y36" s="77"/>
      <c r="Z36" s="77"/>
    </row>
    <row r="37" spans="1:26" ht="14" customHeight="1">
      <c r="A37" s="676"/>
      <c r="B37" s="1" t="str">
        <f t="shared" si="1"/>
        <v>C4</v>
      </c>
      <c r="C37" s="257" t="s">
        <v>267</v>
      </c>
      <c r="D37" s="1">
        <v>4</v>
      </c>
      <c r="E37" s="10" t="s">
        <v>236</v>
      </c>
      <c r="F37" s="4" t="s">
        <v>313</v>
      </c>
      <c r="G37" s="589"/>
      <c r="H37" s="10"/>
      <c r="I37" s="262">
        <f>INDEX(Weekly!F:F,MATCH($F37,Weekly!$E:$E,0))</f>
        <v>2.7083333333333268</v>
      </c>
      <c r="J37" s="286">
        <f>INDEX(Weekly!G:G,MATCH($F37,Weekly!$E:$E,0))</f>
        <v>7</v>
      </c>
      <c r="K37" s="128">
        <f>INDEX(Weekly!H:H,MATCH($F37,Weekly!$E:$E,0))</f>
        <v>-7</v>
      </c>
      <c r="L37" s="291">
        <f>INDEX(Weekly!I:I,MATCH($F37,Weekly!$E:$E,0))</f>
        <v>0</v>
      </c>
      <c r="M37" s="267">
        <f>INDEX(Prizes!F:F,MATCH($B37,Prizes!A:A,0))</f>
        <v>12.06</v>
      </c>
      <c r="N37" s="466">
        <f>INDEX(Weekly!J:J,MATCH($F37,Weekly!$E:$E,0))</f>
        <v>0</v>
      </c>
      <c r="O37" s="267">
        <f>INDEX(Weekly!K:K,MATCH($F37,Weekly!$E:$E,0))</f>
        <v>0</v>
      </c>
      <c r="P37" s="649">
        <f>INDEX(Weekly!M:M,MATCH($F37,Weekly!$E:$E,0))</f>
        <v>12.06</v>
      </c>
      <c r="Q37" s="77"/>
      <c r="R37" s="77"/>
      <c r="S37" s="77"/>
      <c r="T37" s="77"/>
      <c r="U37" s="77"/>
      <c r="V37" s="77"/>
      <c r="W37" s="77"/>
      <c r="X37" s="77"/>
      <c r="Y37" s="77"/>
      <c r="Z37" s="77"/>
    </row>
    <row r="38" spans="1:26" ht="14" customHeight="1">
      <c r="A38" s="676"/>
      <c r="B38" s="1" t="str">
        <f t="shared" si="1"/>
        <v>C5</v>
      </c>
      <c r="C38" s="257" t="s">
        <v>267</v>
      </c>
      <c r="D38" s="1">
        <v>5</v>
      </c>
      <c r="E38" s="732" t="s">
        <v>236</v>
      </c>
      <c r="F38" s="734" t="s">
        <v>374</v>
      </c>
      <c r="G38" s="735"/>
      <c r="H38" s="732"/>
      <c r="I38" s="263">
        <f>INDEX(Weekly!F:F,MATCH($F38,Weekly!$E:$E,0))</f>
        <v>1.3868298368298397</v>
      </c>
      <c r="J38" s="737">
        <f>INDEX(Weekly!G:G,MATCH($F38,Weekly!$E:$E,0))</f>
        <v>12</v>
      </c>
      <c r="K38" s="739">
        <f>INDEX(Weekly!H:H,MATCH($F38,Weekly!$E:$E,0))</f>
        <v>-4.8499999999999996</v>
      </c>
      <c r="L38" s="292">
        <f>INDEX(Weekly!I:I,MATCH($F38,Weekly!$E:$E,0))</f>
        <v>1</v>
      </c>
      <c r="M38" s="267">
        <f>INDEX(Prizes!F:F,MATCH($B38,Prizes!A:A,0))</f>
        <v>7.0350000000000001</v>
      </c>
      <c r="N38" s="466">
        <f>INDEX(Weekly!J:J,MATCH($F38,Weekly!$E:$E,0))</f>
        <v>5</v>
      </c>
      <c r="O38" s="267">
        <f>INDEX(Weekly!K:K,MATCH($F38,Weekly!$E:$E,0))</f>
        <v>0</v>
      </c>
      <c r="P38" s="649">
        <f>INDEX(Weekly!M:M,MATCH($F38,Weekly!$E:$E,0))</f>
        <v>12.035</v>
      </c>
      <c r="Q38" s="77"/>
      <c r="R38" s="77"/>
      <c r="S38" s="77"/>
      <c r="T38" s="77"/>
      <c r="U38" s="77"/>
      <c r="V38" s="77"/>
      <c r="W38" s="77"/>
      <c r="X38" s="77"/>
      <c r="Y38" s="77"/>
      <c r="Z38" s="77"/>
    </row>
    <row r="39" spans="1:26" ht="14" customHeight="1">
      <c r="A39" s="676"/>
      <c r="B39" s="1" t="str">
        <f t="shared" si="1"/>
        <v>C6</v>
      </c>
      <c r="C39" s="354" t="s">
        <v>267</v>
      </c>
      <c r="D39" s="355">
        <v>6</v>
      </c>
      <c r="E39" s="587" t="s">
        <v>236</v>
      </c>
      <c r="F39" s="338" t="s">
        <v>315</v>
      </c>
      <c r="G39" s="592"/>
      <c r="H39" s="587"/>
      <c r="I39" s="339">
        <f>INDEX(Weekly!F:F,MATCH($F39,Weekly!$E:$E,0))</f>
        <v>0.9261760461760522</v>
      </c>
      <c r="J39" s="340">
        <f>INDEX(Weekly!G:G,MATCH($F39,Weekly!$E:$E,0))</f>
        <v>10</v>
      </c>
      <c r="K39" s="341">
        <f>INDEX(Weekly!H:H,MATCH($F39,Weekly!$E:$E,0))</f>
        <v>-7</v>
      </c>
      <c r="L39" s="342">
        <f>INDEX(Weekly!I:I,MATCH($F39,Weekly!$E:$E,0))</f>
        <v>0</v>
      </c>
      <c r="M39" s="343">
        <f>INDEX(Prizes!F:F,MATCH($B39,Prizes!A:A,0))</f>
        <v>3.0150000000000001</v>
      </c>
      <c r="N39" s="344">
        <f>INDEX(Weekly!J:J,MATCH($F39,Weekly!$E:$E,0))</f>
        <v>5</v>
      </c>
      <c r="O39" s="343">
        <f>INDEX(Weekly!K:K,MATCH($F39,Weekly!$E:$E,0))</f>
        <v>0</v>
      </c>
      <c r="P39" s="652">
        <f>INDEX(Weekly!M:M,MATCH($F39,Weekly!$E:$E,0))</f>
        <v>8.0150000000000006</v>
      </c>
      <c r="Q39" s="77"/>
      <c r="R39" s="77"/>
      <c r="S39" s="77"/>
      <c r="T39" s="77"/>
      <c r="U39" s="77"/>
      <c r="V39" s="77"/>
      <c r="W39" s="77"/>
      <c r="X39" s="77"/>
      <c r="Y39" s="77"/>
      <c r="Z39" s="77"/>
    </row>
    <row r="40" spans="1:26" ht="14" customHeight="1">
      <c r="A40" s="676"/>
      <c r="B40" s="1" t="str">
        <f t="shared" si="1"/>
        <v>C7</v>
      </c>
      <c r="C40" s="275" t="s">
        <v>265</v>
      </c>
      <c r="D40" s="10">
        <v>7</v>
      </c>
      <c r="E40" s="10" t="s">
        <v>236</v>
      </c>
      <c r="F40" s="4" t="s">
        <v>307</v>
      </c>
      <c r="G40" s="589"/>
      <c r="H40" s="10"/>
      <c r="I40" s="262">
        <f>INDEX(Weekly!F:F,MATCH($F40,Weekly!$E:$E,0))</f>
        <v>-7.7327777777777795</v>
      </c>
      <c r="J40" s="286">
        <f>INDEX(Weekly!G:G,MATCH($F40,Weekly!$E:$E,0))</f>
        <v>10</v>
      </c>
      <c r="K40" s="128">
        <f>INDEX(Weekly!H:H,MATCH($F40,Weekly!$E:$E,0))</f>
        <v>-5.25</v>
      </c>
      <c r="L40" s="291">
        <f>INDEX(Weekly!I:I,MATCH($F40,Weekly!$E:$E,0))</f>
        <v>1</v>
      </c>
      <c r="M40" s="267">
        <f>INDEX(Prizes!F:F,MATCH($B40,Prizes!A:A,0))</f>
        <v>0</v>
      </c>
      <c r="N40" s="466">
        <f>INDEX(Weekly!J:J,MATCH($F40,Weekly!$E:$E,0))</f>
        <v>0</v>
      </c>
      <c r="O40" s="267">
        <f>INDEX(Weekly!K:K,MATCH($F40,Weekly!$E:$E,0))</f>
        <v>0</v>
      </c>
      <c r="P40" s="649">
        <f>INDEX(Weekly!M:M,MATCH($F40,Weekly!$E:$E,0))</f>
        <v>0</v>
      </c>
      <c r="Q40" s="77"/>
      <c r="R40" s="77"/>
      <c r="S40" s="77"/>
      <c r="T40" s="77"/>
      <c r="U40" s="77"/>
      <c r="V40" s="77"/>
      <c r="W40" s="77"/>
      <c r="X40" s="77"/>
      <c r="Y40" s="77"/>
      <c r="Z40" s="77"/>
    </row>
    <row r="41" spans="1:26" ht="14" customHeight="1">
      <c r="A41" s="676"/>
      <c r="B41" s="1" t="str">
        <f t="shared" si="1"/>
        <v>C8</v>
      </c>
      <c r="C41" s="275" t="s">
        <v>265</v>
      </c>
      <c r="D41" s="1">
        <v>8</v>
      </c>
      <c r="E41" s="10" t="s">
        <v>236</v>
      </c>
      <c r="F41" s="4" t="s">
        <v>527</v>
      </c>
      <c r="G41" s="589"/>
      <c r="H41" s="10"/>
      <c r="I41" s="262">
        <f>INDEX(Weekly!F:F,MATCH($F41,Weekly!$E:$E,0))</f>
        <v>-8.9884848484848447</v>
      </c>
      <c r="J41" s="286">
        <f>INDEX(Weekly!G:G,MATCH($F41,Weekly!$E:$E,0))</f>
        <v>7</v>
      </c>
      <c r="K41" s="128">
        <f>INDEX(Weekly!H:H,MATCH($F41,Weekly!$E:$E,0))</f>
        <v>-4.7</v>
      </c>
      <c r="L41" s="291">
        <f>INDEX(Weekly!I:I,MATCH($F41,Weekly!$E:$E,0))</f>
        <v>1</v>
      </c>
      <c r="M41" s="267">
        <f>INDEX(Prizes!F:F,MATCH($B41,Prizes!A:A,0))</f>
        <v>0</v>
      </c>
      <c r="N41" s="466">
        <f>INDEX(Weekly!J:J,MATCH($F41,Weekly!$E:$E,0))</f>
        <v>5</v>
      </c>
      <c r="O41" s="267">
        <f>INDEX(Weekly!K:K,MATCH($F41,Weekly!$E:$E,0))</f>
        <v>0</v>
      </c>
      <c r="P41" s="649">
        <f>INDEX(Weekly!M:M,MATCH($F41,Weekly!$E:$E,0))</f>
        <v>5</v>
      </c>
      <c r="Q41" s="77"/>
      <c r="R41" s="77"/>
      <c r="S41" s="77"/>
      <c r="T41" s="77"/>
      <c r="U41" s="77"/>
      <c r="V41" s="77"/>
      <c r="W41" s="77"/>
      <c r="X41" s="77"/>
      <c r="Y41" s="77"/>
      <c r="Z41" s="77"/>
    </row>
    <row r="42" spans="1:26" ht="14" customHeight="1">
      <c r="A42" s="676"/>
      <c r="B42" s="1" t="str">
        <f t="shared" si="1"/>
        <v>C9</v>
      </c>
      <c r="C42" s="485" t="s">
        <v>265</v>
      </c>
      <c r="D42" s="1">
        <v>9</v>
      </c>
      <c r="E42" s="10" t="s">
        <v>236</v>
      </c>
      <c r="F42" s="4" t="s">
        <v>316</v>
      </c>
      <c r="G42" s="589"/>
      <c r="H42" s="10"/>
      <c r="I42" s="262">
        <f>INDEX(Weekly!F:F,MATCH($F42,Weekly!$E:$E,0))</f>
        <v>-15.349999999999998</v>
      </c>
      <c r="J42" s="286">
        <f>INDEX(Weekly!G:G,MATCH($F42,Weekly!$E:$E,0))</f>
        <v>7</v>
      </c>
      <c r="K42" s="128">
        <f>INDEX(Weekly!H:H,MATCH($F42,Weekly!$E:$E,0))</f>
        <v>-3.8</v>
      </c>
      <c r="L42" s="291">
        <f>INDEX(Weekly!I:I,MATCH($F42,Weekly!$E:$E,0))</f>
        <v>1</v>
      </c>
      <c r="M42" s="267">
        <f>INDEX(Prizes!F:F,MATCH($B42,Prizes!A:A,0))</f>
        <v>0</v>
      </c>
      <c r="N42" s="466">
        <f>INDEX(Weekly!J:J,MATCH($F42,Weekly!$E:$E,0))</f>
        <v>0</v>
      </c>
      <c r="O42" s="267">
        <f>INDEX(Weekly!K:K,MATCH($F42,Weekly!$E:$E,0))</f>
        <v>0</v>
      </c>
      <c r="P42" s="649">
        <f>INDEX(Weekly!M:M,MATCH($F42,Weekly!$E:$E,0))</f>
        <v>0</v>
      </c>
      <c r="Q42" s="77"/>
      <c r="R42" s="77"/>
      <c r="S42" s="77"/>
      <c r="T42" s="77"/>
      <c r="U42" s="77"/>
      <c r="V42" s="77"/>
      <c r="W42" s="77"/>
      <c r="X42" s="77"/>
      <c r="Y42" s="77"/>
      <c r="Z42" s="77"/>
    </row>
    <row r="43" spans="1:26" ht="14" customHeight="1">
      <c r="A43" s="676"/>
      <c r="B43" s="1" t="str">
        <f t="shared" si="1"/>
        <v>C10</v>
      </c>
      <c r="C43" s="485" t="s">
        <v>265</v>
      </c>
      <c r="D43" s="1">
        <v>10</v>
      </c>
      <c r="E43" s="10" t="s">
        <v>236</v>
      </c>
      <c r="F43" s="4" t="s">
        <v>280</v>
      </c>
      <c r="G43" s="589"/>
      <c r="H43" s="10"/>
      <c r="I43" s="262">
        <f>INDEX(Weekly!F:F,MATCH($F43,Weekly!$E:$E,0))</f>
        <v>-15.374242424242425</v>
      </c>
      <c r="J43" s="286">
        <f>INDEX(Weekly!G:G,MATCH($F43,Weekly!$E:$E,0))</f>
        <v>10</v>
      </c>
      <c r="K43" s="128">
        <f>INDEX(Weekly!H:H,MATCH($F43,Weekly!$E:$E,0))</f>
        <v>2.2375000000000007</v>
      </c>
      <c r="L43" s="291">
        <f>INDEX(Weekly!I:I,MATCH($F43,Weekly!$E:$E,0))</f>
        <v>2</v>
      </c>
      <c r="M43" s="267">
        <f>INDEX(Prizes!F:F,MATCH($B43,Prizes!A:A,0))</f>
        <v>0</v>
      </c>
      <c r="N43" s="466">
        <f>INDEX(Weekly!J:J,MATCH($F43,Weekly!$E:$E,0))</f>
        <v>0</v>
      </c>
      <c r="O43" s="267">
        <f>INDEX(Weekly!K:K,MATCH($F43,Weekly!$E:$E,0))</f>
        <v>0</v>
      </c>
      <c r="P43" s="649">
        <f>INDEX(Weekly!M:M,MATCH($F43,Weekly!$E:$E,0))</f>
        <v>0</v>
      </c>
      <c r="Q43" s="77"/>
      <c r="R43" s="77"/>
      <c r="S43" s="77"/>
      <c r="T43" s="77"/>
      <c r="U43" s="77"/>
      <c r="V43" s="77"/>
      <c r="W43" s="77"/>
      <c r="X43" s="77"/>
      <c r="Y43" s="77"/>
      <c r="Z43" s="77"/>
    </row>
    <row r="44" spans="1:26" ht="14" customHeight="1">
      <c r="A44" s="676"/>
      <c r="B44" s="1" t="str">
        <f t="shared" si="1"/>
        <v>C11</v>
      </c>
      <c r="C44" s="356" t="s">
        <v>266</v>
      </c>
      <c r="D44" s="353">
        <v>11</v>
      </c>
      <c r="E44" s="585" t="s">
        <v>236</v>
      </c>
      <c r="F44" s="345" t="s">
        <v>310</v>
      </c>
      <c r="G44" s="590"/>
      <c r="H44" s="585"/>
      <c r="I44" s="346">
        <f>INDEX(Weekly!F:F,MATCH($F44,Weekly!$E:$E,0))</f>
        <v>-17.98</v>
      </c>
      <c r="J44" s="347">
        <f>INDEX(Weekly!G:G,MATCH($F44,Weekly!$E:$E,0))</f>
        <v>4</v>
      </c>
      <c r="K44" s="348">
        <f>INDEX(Weekly!H:H,MATCH($F44,Weekly!$E:$E,0))</f>
        <v>-3.4</v>
      </c>
      <c r="L44" s="349">
        <f>INDEX(Weekly!I:I,MATCH($F44,Weekly!$E:$E,0))</f>
        <v>1</v>
      </c>
      <c r="M44" s="350">
        <f>INDEX(Prizes!F:F,MATCH($B44,Prizes!A:A,0))</f>
        <v>0</v>
      </c>
      <c r="N44" s="351">
        <f>INDEX(Weekly!J:J,MATCH($F44,Weekly!$E:$E,0))</f>
        <v>5</v>
      </c>
      <c r="O44" s="350">
        <f>INDEX(Weekly!K:K,MATCH($F44,Weekly!$E:$E,0))</f>
        <v>0</v>
      </c>
      <c r="P44" s="650">
        <f>INDEX(Weekly!M:M,MATCH($F44,Weekly!$E:$E,0))</f>
        <v>5</v>
      </c>
      <c r="Q44" s="77"/>
      <c r="R44" s="77"/>
      <c r="S44" s="77"/>
      <c r="T44" s="77"/>
      <c r="U44" s="77"/>
      <c r="V44" s="77"/>
      <c r="W44" s="77"/>
      <c r="X44" s="77"/>
      <c r="Y44" s="77"/>
      <c r="Z44" s="77"/>
    </row>
    <row r="45" spans="1:26" ht="14" customHeight="1">
      <c r="A45" s="676"/>
      <c r="B45" s="1" t="str">
        <f t="shared" si="1"/>
        <v>C12</v>
      </c>
      <c r="C45" s="259" t="s">
        <v>266</v>
      </c>
      <c r="D45" s="1">
        <v>12</v>
      </c>
      <c r="E45" s="732" t="s">
        <v>236</v>
      </c>
      <c r="F45" s="733" t="s">
        <v>518</v>
      </c>
      <c r="G45" s="735"/>
      <c r="H45" s="732"/>
      <c r="I45" s="262">
        <f>INDEX(Weekly!F:F,MATCH($F45,Weekly!$E:$E,0))</f>
        <v>-18.099999999999998</v>
      </c>
      <c r="J45" s="736">
        <f>INDEX(Weekly!G:G,MATCH($F45,Weekly!$E:$E,0))</f>
        <v>6</v>
      </c>
      <c r="K45" s="738">
        <f>INDEX(Weekly!H:H,MATCH($F45,Weekly!$E:$E,0))</f>
        <v>-3.75</v>
      </c>
      <c r="L45" s="291">
        <f>INDEX(Weekly!I:I,MATCH($F45,Weekly!$E:$E,0))</f>
        <v>1</v>
      </c>
      <c r="M45" s="267">
        <f>INDEX(Prizes!F:F,MATCH($B45,Prizes!A:A,0))</f>
        <v>0</v>
      </c>
      <c r="N45" s="466">
        <f>INDEX(Weekly!J:J,MATCH($F45,Weekly!$E:$E,0))</f>
        <v>0</v>
      </c>
      <c r="O45" s="267">
        <f>INDEX(Weekly!K:K,MATCH($F45,Weekly!$E:$E,0))</f>
        <v>0</v>
      </c>
      <c r="P45" s="649">
        <f>INDEX(Weekly!M:M,MATCH($F45,Weekly!$E:$E,0))</f>
        <v>0</v>
      </c>
      <c r="Q45" s="77"/>
      <c r="R45" s="77"/>
      <c r="S45" s="77"/>
      <c r="T45" s="77"/>
      <c r="U45" s="77"/>
      <c r="V45" s="77"/>
      <c r="W45" s="77"/>
      <c r="X45" s="77"/>
      <c r="Y45" s="77"/>
      <c r="Z45" s="77"/>
    </row>
    <row r="46" spans="1:26" ht="14" customHeight="1">
      <c r="A46" s="676"/>
      <c r="B46" s="1" t="str">
        <f t="shared" si="1"/>
        <v>C13</v>
      </c>
      <c r="C46" s="259" t="s">
        <v>266</v>
      </c>
      <c r="D46" s="1">
        <v>13</v>
      </c>
      <c r="E46" s="10" t="s">
        <v>236</v>
      </c>
      <c r="F46" s="4" t="s">
        <v>443</v>
      </c>
      <c r="G46" s="589"/>
      <c r="H46" s="10"/>
      <c r="I46" s="262">
        <f>INDEX(Weekly!F:F,MATCH($F46,Weekly!$E:$E,0))</f>
        <v>-19.230833333333329</v>
      </c>
      <c r="J46" s="286">
        <f>INDEX(Weekly!G:G,MATCH($F46,Weekly!$E:$E,0))</f>
        <v>8</v>
      </c>
      <c r="K46" s="128">
        <f>INDEX(Weekly!H:H,MATCH($F46,Weekly!$E:$E,0))</f>
        <v>-5.2</v>
      </c>
      <c r="L46" s="291">
        <f>INDEX(Weekly!I:I,MATCH($F46,Weekly!$E:$E,0))</f>
        <v>1</v>
      </c>
      <c r="M46" s="466">
        <f>INDEX(Prizes!F:F,MATCH($B46,Prizes!A:A,0))</f>
        <v>0</v>
      </c>
      <c r="N46" s="466">
        <f>INDEX(Weekly!J:J,MATCH($F46,Weekly!$E:$E,0))</f>
        <v>0</v>
      </c>
      <c r="O46" s="466">
        <f>INDEX(Weekly!K:K,MATCH($F46,Weekly!$E:$E,0))</f>
        <v>0</v>
      </c>
      <c r="P46" s="649">
        <f>INDEX(Weekly!M:M,MATCH($F46,Weekly!$E:$E,0))</f>
        <v>0</v>
      </c>
      <c r="Q46" s="77"/>
      <c r="R46" s="77"/>
      <c r="S46" s="77"/>
      <c r="T46" s="77"/>
      <c r="U46" s="77"/>
      <c r="V46" s="77"/>
      <c r="W46" s="77"/>
      <c r="X46" s="77"/>
      <c r="Y46" s="77"/>
      <c r="Z46" s="77"/>
    </row>
    <row r="47" spans="1:26" ht="14" customHeight="1">
      <c r="A47" s="676"/>
      <c r="B47" s="1" t="str">
        <f t="shared" si="1"/>
        <v>C14</v>
      </c>
      <c r="C47" s="259" t="s">
        <v>266</v>
      </c>
      <c r="D47" s="1">
        <v>14</v>
      </c>
      <c r="E47" s="10" t="s">
        <v>236</v>
      </c>
      <c r="F47" s="4" t="s">
        <v>286</v>
      </c>
      <c r="G47" s="589"/>
      <c r="H47" s="10"/>
      <c r="I47" s="262">
        <f>INDEX(Weekly!F:F,MATCH($F47,Weekly!$E:$E,0))</f>
        <v>-30.274999999999999</v>
      </c>
      <c r="J47" s="286">
        <f>INDEX(Weekly!G:G,MATCH($F47,Weekly!$E:$E,0))</f>
        <v>7</v>
      </c>
      <c r="K47" s="128">
        <f>INDEX(Weekly!H:H,MATCH($F47,Weekly!$E:$E,0))</f>
        <v>-0.91666666666666607</v>
      </c>
      <c r="L47" s="291">
        <f>INDEX(Weekly!I:I,MATCH($F47,Weekly!$E:$E,0))</f>
        <v>2</v>
      </c>
      <c r="M47" s="267">
        <f>INDEX(Prizes!F:F,MATCH($B47,Prizes!A:A,0))</f>
        <v>0</v>
      </c>
      <c r="N47" s="466">
        <f>INDEX(Weekly!J:J,MATCH($F47,Weekly!$E:$E,0))</f>
        <v>0</v>
      </c>
      <c r="O47" s="267">
        <f>INDEX(Weekly!K:K,MATCH($F47,Weekly!$E:$E,0))</f>
        <v>0</v>
      </c>
      <c r="P47" s="653">
        <f>INDEX(Weekly!M:M,MATCH($F47,Weekly!$E:$E,0))</f>
        <v>0</v>
      </c>
      <c r="Q47" s="77"/>
      <c r="R47" s="77"/>
      <c r="S47" s="77"/>
      <c r="T47" s="77"/>
      <c r="U47" s="77"/>
      <c r="V47" s="77"/>
      <c r="W47" s="77"/>
      <c r="X47" s="77"/>
      <c r="Y47" s="77"/>
      <c r="Z47" s="77"/>
    </row>
    <row r="48" spans="1:26" ht="14" customHeight="1">
      <c r="A48" s="676"/>
      <c r="B48" s="1" t="str">
        <f t="shared" si="1"/>
        <v>C15</v>
      </c>
      <c r="C48" s="259" t="s">
        <v>266</v>
      </c>
      <c r="D48" s="10">
        <v>15</v>
      </c>
      <c r="E48" s="10" t="s">
        <v>236</v>
      </c>
      <c r="F48" s="4" t="s">
        <v>517</v>
      </c>
      <c r="G48" s="589"/>
      <c r="H48" s="10"/>
      <c r="I48" s="262">
        <f>INDEX(Weekly!F:F,MATCH($F48,Weekly!$E:$E,0))</f>
        <v>-32.659090909090907</v>
      </c>
      <c r="J48" s="286">
        <f>INDEX(Weekly!G:G,MATCH($F48,Weekly!$E:$E,0))</f>
        <v>5</v>
      </c>
      <c r="K48" s="128">
        <f>INDEX(Weekly!H:H,MATCH($F48,Weekly!$E:$E,0))</f>
        <v>-7</v>
      </c>
      <c r="L48" s="291">
        <f>INDEX(Weekly!I:I,MATCH($F48,Weekly!$E:$E,0))</f>
        <v>0</v>
      </c>
      <c r="M48" s="267">
        <f>INDEX(Prizes!F:F,MATCH($B48,Prizes!A:A,0))</f>
        <v>0</v>
      </c>
      <c r="N48" s="466">
        <f>INDEX(Weekly!J:J,MATCH($F48,Weekly!$E:$E,0))</f>
        <v>0</v>
      </c>
      <c r="O48" s="267">
        <f>INDEX(Weekly!K:K,MATCH($F48,Weekly!$E:$E,0))</f>
        <v>0</v>
      </c>
      <c r="P48" s="649">
        <f>INDEX(Weekly!M:M,MATCH($F48,Weekly!$E:$E,0))</f>
        <v>0</v>
      </c>
      <c r="Q48" s="77"/>
      <c r="R48" s="77"/>
      <c r="S48" s="77"/>
      <c r="T48" s="77"/>
      <c r="U48" s="77"/>
      <c r="V48" s="77"/>
      <c r="W48" s="77"/>
      <c r="X48" s="77"/>
      <c r="Y48" s="77"/>
      <c r="Z48" s="77"/>
    </row>
    <row r="49" spans="1:26" ht="14" customHeight="1" thickBot="1">
      <c r="A49" s="677"/>
      <c r="B49" s="1" t="str">
        <f t="shared" si="1"/>
        <v>C16</v>
      </c>
      <c r="C49" s="261" t="s">
        <v>266</v>
      </c>
      <c r="D49" s="255">
        <v>16</v>
      </c>
      <c r="E49" s="586" t="s">
        <v>236</v>
      </c>
      <c r="F49" s="256" t="s">
        <v>296</v>
      </c>
      <c r="G49" s="591"/>
      <c r="H49" s="586"/>
      <c r="I49" s="264">
        <f>INDEX(Weekly!F:F,MATCH($F49,Weekly!$E:$E,0))</f>
        <v>-36.659090909090907</v>
      </c>
      <c r="J49" s="288">
        <f>INDEX(Weekly!G:G,MATCH($F49,Weekly!$E:$E,0))</f>
        <v>5</v>
      </c>
      <c r="K49" s="146">
        <f>INDEX(Weekly!H:H,MATCH($F49,Weekly!$E:$E,0))</f>
        <v>-7</v>
      </c>
      <c r="L49" s="293">
        <f>INDEX(Weekly!I:I,MATCH($F49,Weekly!$E:$E,0))</f>
        <v>0</v>
      </c>
      <c r="M49" s="270">
        <f>INDEX(Prizes!F:F,MATCH($B49,Prizes!A:A,0))</f>
        <v>0</v>
      </c>
      <c r="N49" s="271">
        <f>INDEX(Weekly!J:J,MATCH($F49,Weekly!$E:$E,0))</f>
        <v>0</v>
      </c>
      <c r="O49" s="270">
        <f>INDEX(Weekly!K:K,MATCH($F49,Weekly!$E:$E,0))</f>
        <v>0</v>
      </c>
      <c r="P49" s="651">
        <f>INDEX(Weekly!M:M,MATCH($F49,Weekly!$E:$E,0))</f>
        <v>0</v>
      </c>
      <c r="Q49" s="77"/>
      <c r="R49" s="77"/>
      <c r="S49" s="77"/>
      <c r="T49" s="77"/>
      <c r="U49" s="77"/>
      <c r="V49" s="77"/>
      <c r="W49" s="77"/>
      <c r="X49" s="77"/>
      <c r="Y49" s="77"/>
      <c r="Z49" s="77"/>
    </row>
    <row r="50" spans="1:26" ht="14" customHeight="1">
      <c r="A50" s="678" t="s">
        <v>229</v>
      </c>
      <c r="B50" s="1" t="str">
        <f t="shared" si="1"/>
        <v>D1</v>
      </c>
      <c r="C50" s="257" t="s">
        <v>267</v>
      </c>
      <c r="D50" s="1">
        <v>1</v>
      </c>
      <c r="E50" s="10" t="s">
        <v>237</v>
      </c>
      <c r="F50" s="4" t="s">
        <v>376</v>
      </c>
      <c r="G50" s="589"/>
      <c r="H50" s="10"/>
      <c r="I50" s="262">
        <f>INDEX(Weekly!F:F,MATCH($F50,Weekly!$E:$E,0))</f>
        <v>128.95999999999995</v>
      </c>
      <c r="J50" s="286">
        <f>INDEX(Weekly!G:G,MATCH($F50,Weekly!$E:$E,0))</f>
        <v>9</v>
      </c>
      <c r="K50" s="128">
        <f>INDEX(Weekly!H:H,MATCH($F50,Weekly!$E:$E,0))</f>
        <v>-3.8</v>
      </c>
      <c r="L50" s="291">
        <f>INDEX(Weekly!I:I,MATCH($F50,Weekly!$E:$E,0))</f>
        <v>1</v>
      </c>
      <c r="M50" s="267">
        <f>INDEX(Prizes!F:F,MATCH($B50,Prizes!A:A,0))</f>
        <v>23.45</v>
      </c>
      <c r="N50" s="466">
        <f>INDEX(Weekly!J:J,MATCH($F50,Weekly!$E:$E,0))</f>
        <v>10</v>
      </c>
      <c r="O50" s="267">
        <f>INDEX(Weekly!K:K,MATCH($F50,Weekly!$E:$E,0))</f>
        <v>0</v>
      </c>
      <c r="P50" s="649">
        <f>INDEX(Weekly!M:M,MATCH($F50,Weekly!$E:$E,0))</f>
        <v>33.450000000000003</v>
      </c>
      <c r="Q50" s="77"/>
      <c r="R50" s="77"/>
      <c r="S50" s="77"/>
      <c r="T50" s="77"/>
      <c r="U50" s="77"/>
      <c r="V50" s="77"/>
      <c r="W50" s="77"/>
      <c r="X50" s="77"/>
      <c r="Y50" s="77"/>
      <c r="Z50" s="77"/>
    </row>
    <row r="51" spans="1:26" ht="14" customHeight="1">
      <c r="A51" s="679"/>
      <c r="B51" s="1" t="str">
        <f t="shared" si="1"/>
        <v>D2</v>
      </c>
      <c r="C51" s="257" t="s">
        <v>267</v>
      </c>
      <c r="D51" s="1">
        <v>2</v>
      </c>
      <c r="E51" s="10" t="s">
        <v>237</v>
      </c>
      <c r="F51" s="4" t="s">
        <v>444</v>
      </c>
      <c r="G51" s="589"/>
      <c r="H51" s="10"/>
      <c r="I51" s="262">
        <f>INDEX(Weekly!F:F,MATCH($F51,Weekly!$E:$E,0))</f>
        <v>-2.7776623376623339</v>
      </c>
      <c r="J51" s="286">
        <f>INDEX(Weekly!G:G,MATCH($F51,Weekly!$E:$E,0))</f>
        <v>10</v>
      </c>
      <c r="K51" s="128">
        <f>INDEX(Weekly!H:H,MATCH($F51,Weekly!$E:$E,0))</f>
        <v>-4.75</v>
      </c>
      <c r="L51" s="291">
        <f>INDEX(Weekly!I:I,MATCH($F51,Weekly!$E:$E,0))</f>
        <v>1</v>
      </c>
      <c r="M51" s="267">
        <f>INDEX(Prizes!F:F,MATCH($B51,Prizes!A:A,0))</f>
        <v>16.75</v>
      </c>
      <c r="N51" s="466">
        <f>INDEX(Weekly!J:J,MATCH($F51,Weekly!$E:$E,0))</f>
        <v>0</v>
      </c>
      <c r="O51" s="267">
        <f>INDEX(Weekly!K:K,MATCH($F51,Weekly!$E:$E,0))</f>
        <v>0</v>
      </c>
      <c r="P51" s="649">
        <f>INDEX(Weekly!M:M,MATCH($F51,Weekly!$E:$E,0))</f>
        <v>16.75</v>
      </c>
      <c r="Q51" s="77"/>
      <c r="R51" s="77"/>
      <c r="S51" s="77"/>
      <c r="T51" s="77"/>
      <c r="U51" s="77"/>
      <c r="V51" s="77"/>
      <c r="W51" s="77"/>
      <c r="X51" s="77"/>
      <c r="Y51" s="77"/>
      <c r="Z51" s="77"/>
    </row>
    <row r="52" spans="1:26" ht="14" customHeight="1">
      <c r="A52" s="679"/>
      <c r="B52" s="1" t="str">
        <f t="shared" si="1"/>
        <v>D3</v>
      </c>
      <c r="C52" s="257" t="s">
        <v>267</v>
      </c>
      <c r="D52" s="1">
        <v>3</v>
      </c>
      <c r="E52" s="10" t="s">
        <v>237</v>
      </c>
      <c r="F52" s="4" t="s">
        <v>297</v>
      </c>
      <c r="G52" s="589"/>
      <c r="H52" s="10"/>
      <c r="I52" s="262">
        <f>INDEX(Weekly!F:F,MATCH($F52,Weekly!$E:$E,0))</f>
        <v>-5.45</v>
      </c>
      <c r="J52" s="286">
        <f>INDEX(Weekly!G:G,MATCH($F52,Weekly!$E:$E,0))</f>
        <v>8</v>
      </c>
      <c r="K52" s="128">
        <f>INDEX(Weekly!H:H,MATCH($F52,Weekly!$E:$E,0))</f>
        <v>-7</v>
      </c>
      <c r="L52" s="291">
        <f>INDEX(Weekly!I:I,MATCH($F52,Weekly!$E:$E,0))</f>
        <v>0</v>
      </c>
      <c r="M52" s="267">
        <f>INDEX(Prizes!F:F,MATCH($B52,Prizes!A:A,0))</f>
        <v>12.06</v>
      </c>
      <c r="N52" s="466">
        <f>INDEX(Weekly!J:J,MATCH($F52,Weekly!$E:$E,0))</f>
        <v>0</v>
      </c>
      <c r="O52" s="267">
        <f>INDEX(Weekly!K:K,MATCH($F52,Weekly!$E:$E,0))</f>
        <v>0</v>
      </c>
      <c r="P52" s="649">
        <f>INDEX(Weekly!M:M,MATCH($F52,Weekly!$E:$E,0))</f>
        <v>12.06</v>
      </c>
      <c r="Q52" s="77"/>
      <c r="R52" s="77"/>
      <c r="S52" s="77"/>
      <c r="T52" s="77"/>
      <c r="U52" s="77"/>
      <c r="V52" s="77"/>
      <c r="W52" s="77"/>
      <c r="X52" s="77"/>
      <c r="Y52" s="77"/>
      <c r="Z52" s="77"/>
    </row>
    <row r="53" spans="1:26" ht="14" customHeight="1">
      <c r="A53" s="679"/>
      <c r="B53" s="1" t="str">
        <f t="shared" si="1"/>
        <v>D4</v>
      </c>
      <c r="C53" s="257" t="s">
        <v>267</v>
      </c>
      <c r="D53" s="1">
        <v>4</v>
      </c>
      <c r="E53" s="10" t="s">
        <v>237</v>
      </c>
      <c r="F53" s="4" t="s">
        <v>367</v>
      </c>
      <c r="G53" s="589"/>
      <c r="H53" s="10"/>
      <c r="I53" s="262">
        <f>INDEX(Weekly!F:F,MATCH($F53,Weekly!$E:$E,0))</f>
        <v>-5.6451515151515146</v>
      </c>
      <c r="J53" s="286">
        <f>INDEX(Weekly!G:G,MATCH($F53,Weekly!$E:$E,0))</f>
        <v>8</v>
      </c>
      <c r="K53" s="128">
        <f>INDEX(Weekly!H:H,MATCH($F53,Weekly!$E:$E,0))</f>
        <v>10.919999999999998</v>
      </c>
      <c r="L53" s="291">
        <f>INDEX(Weekly!I:I,MATCH($F53,Weekly!$E:$E,0))</f>
        <v>2</v>
      </c>
      <c r="M53" s="267">
        <f>INDEX(Prizes!F:F,MATCH($B53,Prizes!A:A,0))</f>
        <v>8.0399999999999991</v>
      </c>
      <c r="N53" s="466">
        <f>INDEX(Weekly!J:J,MATCH($F53,Weekly!$E:$E,0))</f>
        <v>0</v>
      </c>
      <c r="O53" s="267">
        <f>INDEX(Weekly!K:K,MATCH($F53,Weekly!$E:$E,0))</f>
        <v>0</v>
      </c>
      <c r="P53" s="649">
        <f>INDEX(Weekly!M:M,MATCH($F53,Weekly!$E:$E,0))</f>
        <v>8.0399999999999991</v>
      </c>
      <c r="Q53" s="77"/>
      <c r="R53" s="77"/>
      <c r="S53" s="77"/>
      <c r="T53" s="77"/>
      <c r="U53" s="77"/>
      <c r="V53" s="77"/>
      <c r="W53" s="77"/>
      <c r="X53" s="77"/>
      <c r="Y53" s="77"/>
      <c r="Z53" s="77"/>
    </row>
    <row r="54" spans="1:26" ht="14" customHeight="1">
      <c r="A54" s="679"/>
      <c r="B54" s="10" t="str">
        <f t="shared" si="1"/>
        <v>D5</v>
      </c>
      <c r="C54" s="258" t="s">
        <v>267</v>
      </c>
      <c r="D54" s="1">
        <v>5</v>
      </c>
      <c r="E54" s="10" t="s">
        <v>237</v>
      </c>
      <c r="F54" s="4" t="s">
        <v>567</v>
      </c>
      <c r="G54" s="589"/>
      <c r="H54" s="10"/>
      <c r="I54" s="262">
        <f>INDEX(Weekly!F:F,MATCH($F54,Weekly!$E:$E,0))</f>
        <v>-9.7043876262626263</v>
      </c>
      <c r="J54" s="286">
        <f>INDEX(Weekly!G:G,MATCH($F54,Weekly!$E:$E,0))</f>
        <v>8</v>
      </c>
      <c r="K54" s="128">
        <f>INDEX(Weekly!H:H,MATCH($F54,Weekly!$E:$E,0))</f>
        <v>3.1111111111111107</v>
      </c>
      <c r="L54" s="291">
        <f>INDEX(Weekly!I:I,MATCH($F54,Weekly!$E:$E,0))</f>
        <v>2</v>
      </c>
      <c r="M54" s="267">
        <f>INDEX(Prizes!F:F,MATCH($B54,Prizes!A:A,0))</f>
        <v>4.6900000000000004</v>
      </c>
      <c r="N54" s="466">
        <f>INDEX(Weekly!J:J,MATCH($F54,Weekly!$E:$E,0))</f>
        <v>0</v>
      </c>
      <c r="O54" s="267">
        <f>INDEX(Weekly!K:K,MATCH($F54,Weekly!$E:$E,0))</f>
        <v>0</v>
      </c>
      <c r="P54" s="649">
        <f>INDEX(Weekly!M:M,MATCH($F54,Weekly!$E:$E,0))</f>
        <v>4.6900000000000004</v>
      </c>
      <c r="Q54" s="77"/>
      <c r="R54" s="77"/>
      <c r="S54" s="77"/>
      <c r="T54" s="77"/>
      <c r="U54" s="77"/>
      <c r="V54" s="77"/>
      <c r="W54" s="77"/>
      <c r="X54" s="77"/>
      <c r="Y54" s="77"/>
      <c r="Z54" s="77"/>
    </row>
    <row r="55" spans="1:26" ht="14" customHeight="1">
      <c r="A55" s="679"/>
      <c r="B55" s="1" t="str">
        <f t="shared" si="1"/>
        <v>D6</v>
      </c>
      <c r="C55" s="258" t="s">
        <v>267</v>
      </c>
      <c r="D55" s="10">
        <v>6</v>
      </c>
      <c r="E55" s="10" t="s">
        <v>237</v>
      </c>
      <c r="F55" s="4" t="s">
        <v>305</v>
      </c>
      <c r="G55" s="589"/>
      <c r="H55" s="10"/>
      <c r="I55" s="262">
        <f>INDEX(Weekly!F:F,MATCH($F55,Weekly!$E:$E,0))</f>
        <v>-15.379999999999999</v>
      </c>
      <c r="J55" s="286">
        <f>INDEX(Weekly!G:G,MATCH($F55,Weekly!$E:$E,0))</f>
        <v>5</v>
      </c>
      <c r="K55" s="128">
        <f>INDEX(Weekly!H:H,MATCH($F55,Weekly!$E:$E,0))</f>
        <v>-2.8</v>
      </c>
      <c r="L55" s="291">
        <f>INDEX(Weekly!I:I,MATCH($F55,Weekly!$E:$E,0))</f>
        <v>1</v>
      </c>
      <c r="M55" s="267">
        <f>INDEX(Prizes!F:F,MATCH($B55,Prizes!A:A,0))</f>
        <v>2.0099999999999998</v>
      </c>
      <c r="N55" s="466">
        <f>INDEX(Weekly!J:J,MATCH($F55,Weekly!$E:$E,0))</f>
        <v>0</v>
      </c>
      <c r="O55" s="267">
        <f>INDEX(Weekly!K:K,MATCH($F55,Weekly!$E:$E,0))</f>
        <v>0</v>
      </c>
      <c r="P55" s="649">
        <f>INDEX(Weekly!M:M,MATCH($F55,Weekly!$E:$E,0))</f>
        <v>2.0099999999999998</v>
      </c>
      <c r="Q55" s="77"/>
      <c r="R55" s="77"/>
      <c r="S55" s="77"/>
      <c r="T55" s="77"/>
      <c r="U55" s="77"/>
      <c r="V55" s="77"/>
      <c r="W55" s="77"/>
      <c r="X55" s="77"/>
      <c r="Y55" s="77"/>
      <c r="Z55" s="77"/>
    </row>
    <row r="56" spans="1:26" ht="14" customHeight="1">
      <c r="A56" s="679"/>
      <c r="B56" s="1" t="str">
        <f t="shared" si="1"/>
        <v>D7</v>
      </c>
      <c r="C56" s="655" t="s">
        <v>265</v>
      </c>
      <c r="D56" s="656">
        <v>7</v>
      </c>
      <c r="E56" s="657" t="s">
        <v>237</v>
      </c>
      <c r="F56" s="658" t="s">
        <v>300</v>
      </c>
      <c r="G56" s="659"/>
      <c r="H56" s="657"/>
      <c r="I56" s="671">
        <f>INDEX(Weekly!F:F,MATCH($F56,Weekly!$E:$E,0))</f>
        <v>-16.001249999999999</v>
      </c>
      <c r="J56" s="672">
        <f>INDEX(Weekly!G:G,MATCH($F56,Weekly!$E:$E,0))</f>
        <v>8</v>
      </c>
      <c r="K56" s="673">
        <f>INDEX(Weekly!H:H,MATCH($F56,Weekly!$E:$E,0))</f>
        <v>1.96875</v>
      </c>
      <c r="L56" s="674">
        <f>INDEX(Weekly!I:I,MATCH($F56,Weekly!$E:$E,0))</f>
        <v>2</v>
      </c>
      <c r="M56" s="660">
        <f>INDEX(Prizes!F:F,MATCH($B56,Prizes!A:A,0))</f>
        <v>0</v>
      </c>
      <c r="N56" s="661">
        <f>INDEX(Weekly!J:J,MATCH($F56,Weekly!$E:$E,0))</f>
        <v>0</v>
      </c>
      <c r="O56" s="660">
        <f>INDEX(Weekly!K:K,MATCH($F56,Weekly!$E:$E,0))</f>
        <v>0</v>
      </c>
      <c r="P56" s="662">
        <f>INDEX(Weekly!M:M,MATCH($F56,Weekly!$E:$E,0))</f>
        <v>0</v>
      </c>
      <c r="Q56" s="77"/>
      <c r="R56" s="77"/>
      <c r="S56" s="77"/>
      <c r="T56" s="77"/>
      <c r="U56" s="77"/>
      <c r="V56" s="77"/>
      <c r="W56" s="77"/>
      <c r="X56" s="77"/>
      <c r="Y56" s="77"/>
      <c r="Z56" s="77"/>
    </row>
    <row r="57" spans="1:26" ht="14" customHeight="1">
      <c r="A57" s="679"/>
      <c r="B57" s="1" t="str">
        <f t="shared" si="1"/>
        <v>D8</v>
      </c>
      <c r="C57" s="485" t="s">
        <v>265</v>
      </c>
      <c r="D57" s="1">
        <v>8</v>
      </c>
      <c r="E57" s="10" t="s">
        <v>237</v>
      </c>
      <c r="F57" s="4" t="s">
        <v>375</v>
      </c>
      <c r="G57" s="589"/>
      <c r="H57" s="10"/>
      <c r="I57" s="263">
        <f>INDEX(Weekly!F:F,MATCH($F57,Weekly!$E:$E,0))</f>
        <v>-24.643035714285713</v>
      </c>
      <c r="J57" s="287">
        <f>INDEX(Weekly!G:G,MATCH($F57,Weekly!$E:$E,0))</f>
        <v>6</v>
      </c>
      <c r="K57" s="129">
        <f>INDEX(Weekly!H:H,MATCH($F57,Weekly!$E:$E,0))</f>
        <v>1.96875</v>
      </c>
      <c r="L57" s="292">
        <f>INDEX(Weekly!I:I,MATCH($F57,Weekly!$E:$E,0))</f>
        <v>2</v>
      </c>
      <c r="M57" s="466">
        <f>INDEX(Prizes!F:F,MATCH($B57,Prizes!A:A,0))</f>
        <v>0</v>
      </c>
      <c r="N57" s="466">
        <f>INDEX(Weekly!J:J,MATCH($F57,Weekly!$E:$E,0))</f>
        <v>0</v>
      </c>
      <c r="O57" s="466">
        <f>INDEX(Weekly!K:K,MATCH($F57,Weekly!$E:$E,0))</f>
        <v>0</v>
      </c>
      <c r="P57" s="649">
        <f>INDEX(Weekly!M:M,MATCH($F57,Weekly!$E:$E,0))</f>
        <v>0</v>
      </c>
      <c r="Q57" s="77"/>
      <c r="R57" s="77"/>
      <c r="S57" s="77"/>
      <c r="T57" s="77"/>
      <c r="U57" s="77"/>
      <c r="V57" s="77"/>
      <c r="W57" s="77"/>
      <c r="X57" s="77"/>
      <c r="Y57" s="77"/>
      <c r="Z57" s="77"/>
    </row>
    <row r="58" spans="1:26" ht="14" customHeight="1">
      <c r="A58" s="679"/>
      <c r="B58" s="1" t="str">
        <f t="shared" si="1"/>
        <v>D9</v>
      </c>
      <c r="C58" s="272" t="s">
        <v>526</v>
      </c>
      <c r="D58" s="10">
        <v>9</v>
      </c>
      <c r="E58" s="10" t="s">
        <v>237</v>
      </c>
      <c r="F58" s="4" t="s">
        <v>520</v>
      </c>
      <c r="G58" s="589"/>
      <c r="H58" s="10"/>
      <c r="I58" s="262">
        <f>INDEX(Weekly!F:F,MATCH($F58,Weekly!$E:$E,0))</f>
        <v>-24.695</v>
      </c>
      <c r="J58" s="286">
        <f>INDEX(Weekly!G:G,MATCH($F58,Weekly!$E:$E,0))</f>
        <v>8</v>
      </c>
      <c r="K58" s="128">
        <f>INDEX(Weekly!H:H,MATCH($F58,Weekly!$E:$E,0))</f>
        <v>-0.91666666666666607</v>
      </c>
      <c r="L58" s="291">
        <f>INDEX(Weekly!I:I,MATCH($F58,Weekly!$E:$E,0))</f>
        <v>2</v>
      </c>
      <c r="M58" s="267">
        <f>INDEX(Prizes!F:F,MATCH($B58,Prizes!A:A,0))</f>
        <v>0</v>
      </c>
      <c r="N58" s="466">
        <f>INDEX(Weekly!J:J,MATCH($F58,Weekly!$E:$E,0))</f>
        <v>0</v>
      </c>
      <c r="O58" s="267">
        <f>INDEX(Weekly!K:K,MATCH($F58,Weekly!$E:$E,0))</f>
        <v>0</v>
      </c>
      <c r="P58" s="649">
        <f>INDEX(Weekly!M:M,MATCH($F58,Weekly!$E:$E,0))</f>
        <v>0</v>
      </c>
      <c r="Q58" s="77"/>
      <c r="R58" s="77"/>
      <c r="S58" s="77"/>
      <c r="T58" s="77"/>
      <c r="U58" s="77"/>
      <c r="V58" s="77"/>
      <c r="W58" s="77"/>
      <c r="X58" s="77"/>
      <c r="Y58" s="77"/>
      <c r="Z58" s="77"/>
    </row>
    <row r="59" spans="1:26" ht="14" customHeight="1">
      <c r="A59" s="679"/>
      <c r="B59" s="10" t="str">
        <f t="shared" si="1"/>
        <v>D10</v>
      </c>
      <c r="C59" s="273" t="s">
        <v>526</v>
      </c>
      <c r="D59" s="1">
        <v>10</v>
      </c>
      <c r="E59" s="10" t="s">
        <v>237</v>
      </c>
      <c r="F59" s="14" t="s">
        <v>566</v>
      </c>
      <c r="G59" s="589"/>
      <c r="H59" s="10"/>
      <c r="I59" s="262">
        <f>INDEX(Weekly!F:F,MATCH($F59,Weekly!$E:$E,0))</f>
        <v>-29.85</v>
      </c>
      <c r="J59" s="286">
        <f>INDEX(Weekly!G:G,MATCH($F59,Weekly!$E:$E,0))</f>
        <v>5</v>
      </c>
      <c r="K59" s="128">
        <f>INDEX(Weekly!H:H,MATCH($F59,Weekly!$E:$E,0))</f>
        <v>-1.25</v>
      </c>
      <c r="L59" s="291">
        <f>INDEX(Weekly!I:I,MATCH($F59,Weekly!$E:$E,0))</f>
        <v>2</v>
      </c>
      <c r="M59" s="466">
        <f>INDEX(Prizes!F:F,MATCH($B59,Prizes!A:A,0))</f>
        <v>0</v>
      </c>
      <c r="N59" s="466">
        <f>INDEX(Weekly!J:J,MATCH($F59,Weekly!$E:$E,0))</f>
        <v>0</v>
      </c>
      <c r="O59" s="466">
        <f>INDEX(Weekly!K:K,MATCH($F59,Weekly!$E:$E,0))</f>
        <v>0</v>
      </c>
      <c r="P59" s="649">
        <f>INDEX(Weekly!M:M,MATCH($F59,Weekly!$E:$E,0))</f>
        <v>0</v>
      </c>
      <c r="Q59" s="77"/>
      <c r="R59" s="77"/>
      <c r="S59" s="77"/>
      <c r="T59" s="77"/>
      <c r="U59" s="77"/>
      <c r="V59" s="77"/>
      <c r="W59" s="77"/>
      <c r="X59" s="77"/>
      <c r="Y59" s="77"/>
      <c r="Z59" s="77"/>
    </row>
    <row r="60" spans="1:26" ht="14" customHeight="1">
      <c r="A60" s="679"/>
      <c r="B60" s="10" t="s">
        <v>419</v>
      </c>
      <c r="C60" s="273" t="s">
        <v>526</v>
      </c>
      <c r="D60" s="1">
        <v>11</v>
      </c>
      <c r="E60" s="10" t="s">
        <v>237</v>
      </c>
      <c r="F60" s="4" t="s">
        <v>289</v>
      </c>
      <c r="G60" s="589"/>
      <c r="H60" s="10"/>
      <c r="I60" s="262">
        <f>INDEX(Weekly!F:F,MATCH($F60,Weekly!$E:$E,0))</f>
        <v>-33.540909090909089</v>
      </c>
      <c r="J60" s="286">
        <f>INDEX(Weekly!G:G,MATCH($F60,Weekly!$E:$E,0))</f>
        <v>6</v>
      </c>
      <c r="K60" s="128">
        <f>INDEX(Weekly!H:H,MATCH($F60,Weekly!$E:$E,0))</f>
        <v>0.2424242424242431</v>
      </c>
      <c r="L60" s="291">
        <f>INDEX(Weekly!I:I,MATCH($F60,Weekly!$E:$E,0))</f>
        <v>2</v>
      </c>
      <c r="M60" s="466">
        <f>INDEX(Prizes!F:F,MATCH($B60,Prizes!A:A,0))</f>
        <v>0</v>
      </c>
      <c r="N60" s="466">
        <f>INDEX(Weekly!J:J,MATCH($F60,Weekly!$E:$E,0))</f>
        <v>0</v>
      </c>
      <c r="O60" s="466">
        <f>INDEX(Weekly!K:K,MATCH($F60,Weekly!$E:$E,0))</f>
        <v>0</v>
      </c>
      <c r="P60" s="649">
        <f>INDEX(Weekly!M:M,MATCH($F60,Weekly!$E:$E,0))</f>
        <v>0</v>
      </c>
      <c r="Q60" s="77"/>
      <c r="R60" s="77"/>
      <c r="S60" s="77"/>
      <c r="T60" s="77"/>
      <c r="U60" s="77"/>
      <c r="V60" s="77"/>
      <c r="W60" s="77"/>
      <c r="X60" s="77"/>
      <c r="Y60" s="77"/>
      <c r="Z60" s="77"/>
    </row>
    <row r="61" spans="1:26" ht="14" customHeight="1">
      <c r="A61" s="679"/>
      <c r="B61" s="10" t="s">
        <v>420</v>
      </c>
      <c r="C61" s="273" t="s">
        <v>526</v>
      </c>
      <c r="D61" s="1">
        <v>12</v>
      </c>
      <c r="E61" s="10" t="s">
        <v>237</v>
      </c>
      <c r="F61" s="4" t="s">
        <v>324</v>
      </c>
      <c r="G61" s="589"/>
      <c r="H61" s="10"/>
      <c r="I61" s="262">
        <f>INDEX(Weekly!F:F,MATCH($F61,Weekly!$E:$E,0))</f>
        <v>-49</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9">
        <f>INDEX(Weekly!M:M,MATCH($F61,Weekly!$E:$E,0))</f>
        <v>0</v>
      </c>
      <c r="Q61" s="77"/>
      <c r="R61" s="77"/>
      <c r="S61" s="77"/>
      <c r="T61" s="77"/>
      <c r="U61" s="77"/>
      <c r="V61" s="77"/>
      <c r="W61" s="77"/>
      <c r="X61" s="77"/>
      <c r="Y61" s="77"/>
      <c r="Z61" s="77"/>
    </row>
    <row r="62" spans="1:26" ht="14" customHeight="1">
      <c r="A62" s="679"/>
      <c r="B62" s="10" t="s">
        <v>421</v>
      </c>
      <c r="C62" s="273" t="s">
        <v>526</v>
      </c>
      <c r="D62" s="1">
        <v>13</v>
      </c>
      <c r="E62" s="10" t="s">
        <v>237</v>
      </c>
      <c r="F62" s="14" t="s">
        <v>366</v>
      </c>
      <c r="G62" s="589"/>
      <c r="H62" s="10"/>
      <c r="I62" s="263">
        <f>INDEX(Weekly!F:F,MATCH($F62,Weekly!$E:$E,0))</f>
        <v>-49</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9">
        <f>INDEX(Weekly!M:M,MATCH($F62,Weekly!$E:$E,0))</f>
        <v>0</v>
      </c>
      <c r="Q62" s="77"/>
      <c r="R62" s="77"/>
      <c r="S62" s="77"/>
      <c r="T62" s="77"/>
      <c r="U62" s="77"/>
      <c r="V62" s="77"/>
      <c r="W62" s="77"/>
      <c r="X62" s="77"/>
      <c r="Y62" s="77"/>
      <c r="Z62" s="77"/>
    </row>
    <row r="63" spans="1:26" ht="14" customHeight="1" thickBot="1">
      <c r="A63" s="679"/>
      <c r="B63" s="410"/>
      <c r="C63" s="274"/>
      <c r="D63" s="255"/>
      <c r="E63" s="586"/>
      <c r="F63" s="256"/>
      <c r="G63" s="591"/>
      <c r="H63" s="586"/>
      <c r="I63" s="264"/>
      <c r="J63" s="288"/>
      <c r="K63" s="146"/>
      <c r="L63" s="293"/>
      <c r="M63" s="270"/>
      <c r="N63" s="271"/>
      <c r="O63" s="270"/>
      <c r="P63" s="654"/>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175</v>
      </c>
      <c r="O65" s="268">
        <f>SUM(O2:O63)</f>
        <v>0</v>
      </c>
      <c r="P65" s="268">
        <f>SUM(P2:P63)</f>
        <v>844.99999999999989</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Y2" activePane="bottomRight" state="frozen"/>
      <selection pane="topRight" activeCell="G1" sqref="G1"/>
      <selection pane="bottomLeft" activeCell="A2" sqref="A2"/>
      <selection pane="bottomRight" activeCell="AH44" sqref="AH44"/>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353</v>
      </c>
      <c r="D1" s="316" t="s">
        <v>230</v>
      </c>
      <c r="E1" s="317" t="s">
        <v>16</v>
      </c>
      <c r="F1" s="432" t="s">
        <v>425</v>
      </c>
      <c r="G1" s="433" t="s">
        <v>276</v>
      </c>
      <c r="H1" s="432" t="s">
        <v>126</v>
      </c>
      <c r="I1" s="434" t="s">
        <v>426</v>
      </c>
      <c r="J1" s="319" t="s">
        <v>233</v>
      </c>
      <c r="K1" s="320" t="s">
        <v>169</v>
      </c>
      <c r="L1" s="320" t="s">
        <v>427</v>
      </c>
      <c r="M1" s="318" t="s">
        <v>239</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v>
      </c>
      <c r="B2" s="252">
        <f t="shared" ref="B2:B59" si="1">_xlfn.RANK.EQ(H2,thisweekscore,0)</f>
        <v>3</v>
      </c>
      <c r="C2" s="252">
        <v>2</v>
      </c>
      <c r="D2" s="296" t="str">
        <f>INDEX(Table!E:E,MATCH(E2,Table!F:F,0))</f>
        <v>B</v>
      </c>
      <c r="E2" s="238" t="s">
        <v>516</v>
      </c>
      <c r="F2" s="250">
        <f t="shared" ref="F2:F33" si="2">+N2+Q2+T2+W2+Z2+AC2+AF2+AI2+AL2+AO2+AR2+AU2+AX2+BA2+BD2+BG2+BJ2+BM2+BP2+BS2</f>
        <v>119.43312499999999</v>
      </c>
      <c r="G2" s="55">
        <f t="shared" ref="G2:G33" si="3">+O2+R2+U2+X2+AA2+AD2+AG2+AJ2+AM2+AP2+AS2+AV2+AY2+BB2+BE2+BH2+BK2+BN2+BQ2+BT2</f>
        <v>11</v>
      </c>
      <c r="H2" s="668">
        <v>36.263124999999995</v>
      </c>
      <c r="I2" s="669">
        <v>3</v>
      </c>
      <c r="J2" s="240">
        <f>P2+S2+V2+Y2+AB2+AE2+AH2+AK2+AN2+AQ2+AT2+AW2+AZ2+BC2+BF2+BI2+BL2+BO2+BR2+BU2</f>
        <v>20</v>
      </c>
      <c r="K2" s="241"/>
      <c r="L2" s="241">
        <f>INDEX(Table!M:M,MATCH(E2,Table!F:F,0))</f>
        <v>70.349999999999994</v>
      </c>
      <c r="M2" s="240">
        <f>K2+J2+L2</f>
        <v>90.35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v>36.263124999999995</v>
      </c>
      <c r="AG2" s="248">
        <v>3</v>
      </c>
      <c r="AH2" s="244">
        <v>5</v>
      </c>
      <c r="AI2" s="245"/>
      <c r="AJ2" s="246"/>
      <c r="AK2" s="247"/>
      <c r="AL2" s="242"/>
      <c r="AM2" s="248"/>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119.43312499999999</v>
      </c>
      <c r="BW2" s="246">
        <f t="shared" ref="BW2:BW33" si="5">BT2+BQ2+BN2+BK2+BH2+BE2+BB2+AY2+AV2+AS2+AP2+AM2+AJ2+AG2+AD2+AA2+X2+U2+R2+O2</f>
        <v>11</v>
      </c>
      <c r="BX2" s="247">
        <f t="shared" ref="BX2:BX33" si="6">BU2+BR2+BO2+BL2+BI2+BF2+BC2+AZ2+AW2+AT2+AQ2+AN2+AK2+AH2+AE2+AB2+Y2+V2+S2+P2</f>
        <v>20</v>
      </c>
      <c r="BY2" s="49"/>
      <c r="DX2" s="50"/>
      <c r="DY2" s="50"/>
      <c r="EF2" s="47"/>
      <c r="EG2" s="47"/>
    </row>
    <row r="3" spans="1:137">
      <c r="A3" s="252">
        <f t="shared" si="0"/>
        <v>27</v>
      </c>
      <c r="B3" s="252">
        <f t="shared" si="1"/>
        <v>50</v>
      </c>
      <c r="C3" s="252">
        <v>25</v>
      </c>
      <c r="D3" s="296" t="str">
        <f>INDEX(Table!E:E,MATCH(E3,Table!F:F,0))</f>
        <v>D</v>
      </c>
      <c r="E3" s="238" t="s">
        <v>297</v>
      </c>
      <c r="F3" s="250">
        <f t="shared" si="2"/>
        <v>-5.45</v>
      </c>
      <c r="G3" s="55">
        <f t="shared" si="3"/>
        <v>8</v>
      </c>
      <c r="H3" s="668">
        <v>-7</v>
      </c>
      <c r="I3" s="669">
        <v>0</v>
      </c>
      <c r="J3" s="240">
        <f t="shared" ref="J3:J59" si="7">P3+S3+V3+Y3+AB3+AE3+AH3+AK3+AN3+AQ3+AT3+AW3+AZ3+BC3+BF3+BI3+BL3+BO3+BR3+BU3</f>
        <v>0</v>
      </c>
      <c r="K3" s="241"/>
      <c r="L3" s="241">
        <f>INDEX(Table!M:M,MATCH(E3,Table!F:F,0))</f>
        <v>12.06</v>
      </c>
      <c r="M3" s="240">
        <f t="shared" ref="M3:M59" si="8">K3+J3+L3</f>
        <v>12.06</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v>-7</v>
      </c>
      <c r="AG3" s="248">
        <v>0</v>
      </c>
      <c r="AH3" s="244"/>
      <c r="AI3" s="245"/>
      <c r="AJ3" s="246"/>
      <c r="AK3" s="247"/>
      <c r="AL3" s="242"/>
      <c r="AM3" s="248"/>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-5.4499999999999993</v>
      </c>
      <c r="BW3" s="246">
        <f t="shared" si="5"/>
        <v>8</v>
      </c>
      <c r="BX3" s="247">
        <f t="shared" si="6"/>
        <v>0</v>
      </c>
      <c r="BY3" s="49"/>
      <c r="DX3" s="50"/>
      <c r="DY3" s="50"/>
      <c r="EF3" s="47"/>
      <c r="EG3" s="47"/>
    </row>
    <row r="4" spans="1:137">
      <c r="A4" s="252">
        <f t="shared" si="0"/>
        <v>25</v>
      </c>
      <c r="B4" s="252">
        <f t="shared" si="1"/>
        <v>41</v>
      </c>
      <c r="C4" s="252">
        <v>24</v>
      </c>
      <c r="D4" s="296" t="str">
        <f>INDEX(Table!E:E,MATCH(E4,Table!F:F,0))</f>
        <v>D</v>
      </c>
      <c r="E4" s="238" t="s">
        <v>444</v>
      </c>
      <c r="F4" s="250">
        <f t="shared" si="2"/>
        <v>-2.7776623376623339</v>
      </c>
      <c r="G4" s="55">
        <f t="shared" si="3"/>
        <v>10</v>
      </c>
      <c r="H4" s="668">
        <v>-4.75</v>
      </c>
      <c r="I4" s="669">
        <v>1</v>
      </c>
      <c r="J4" s="240">
        <f t="shared" si="7"/>
        <v>0</v>
      </c>
      <c r="K4" s="241"/>
      <c r="L4" s="241">
        <f>INDEX(Table!M:M,MATCH(E4,Table!F:F,0))</f>
        <v>16.75</v>
      </c>
      <c r="M4" s="240">
        <f t="shared" si="8"/>
        <v>16.75</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v>-4.75</v>
      </c>
      <c r="AG4" s="248">
        <v>1</v>
      </c>
      <c r="AH4" s="244"/>
      <c r="AI4" s="245"/>
      <c r="AJ4" s="246"/>
      <c r="AK4" s="247"/>
      <c r="AL4" s="242"/>
      <c r="AM4" s="248"/>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-2.7776623376623339</v>
      </c>
      <c r="BW4" s="246">
        <f t="shared" si="5"/>
        <v>10</v>
      </c>
      <c r="BX4" s="247">
        <f t="shared" si="6"/>
        <v>0</v>
      </c>
      <c r="BY4" s="49"/>
      <c r="DX4" s="50"/>
      <c r="DY4" s="50"/>
      <c r="EF4" s="47"/>
      <c r="EG4" s="47"/>
    </row>
    <row r="5" spans="1:137">
      <c r="A5" s="252">
        <f t="shared" si="0"/>
        <v>33</v>
      </c>
      <c r="B5" s="252">
        <f t="shared" si="1"/>
        <v>14</v>
      </c>
      <c r="C5" s="252">
        <v>35</v>
      </c>
      <c r="D5" s="296" t="str">
        <f>INDEX(Table!E:E,MATCH(E5,Table!F:F,0))</f>
        <v>D</v>
      </c>
      <c r="E5" s="238" t="s">
        <v>567</v>
      </c>
      <c r="F5" s="250">
        <f t="shared" si="2"/>
        <v>-9.7043876262626263</v>
      </c>
      <c r="G5" s="55">
        <f t="shared" si="3"/>
        <v>8</v>
      </c>
      <c r="H5" s="668">
        <v>3.1111111111111107</v>
      </c>
      <c r="I5" s="669">
        <v>2</v>
      </c>
      <c r="J5" s="240">
        <f t="shared" si="7"/>
        <v>0</v>
      </c>
      <c r="K5" s="241"/>
      <c r="L5" s="241">
        <f>INDEX(Table!M:M,MATCH(E5,Table!F:F,0))</f>
        <v>4.6900000000000004</v>
      </c>
      <c r="M5" s="240">
        <f t="shared" si="8"/>
        <v>4.6900000000000004</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v>3.1111111111111107</v>
      </c>
      <c r="AG5" s="248">
        <v>2</v>
      </c>
      <c r="AH5" s="244"/>
      <c r="AI5" s="245"/>
      <c r="AJ5" s="246"/>
      <c r="AK5" s="247"/>
      <c r="AL5" s="242"/>
      <c r="AM5" s="248"/>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-9.7043876262626263</v>
      </c>
      <c r="BW5" s="246">
        <f t="shared" si="5"/>
        <v>8</v>
      </c>
      <c r="BX5" s="247">
        <f t="shared" si="6"/>
        <v>0</v>
      </c>
      <c r="BY5" s="49"/>
      <c r="DX5" s="50"/>
      <c r="DY5" s="50"/>
      <c r="EF5" s="47"/>
      <c r="EG5" s="47"/>
    </row>
    <row r="6" spans="1:137">
      <c r="A6" s="252">
        <f t="shared" si="0"/>
        <v>48</v>
      </c>
      <c r="B6" s="252">
        <f t="shared" si="1"/>
        <v>17</v>
      </c>
      <c r="C6" s="252">
        <v>52</v>
      </c>
      <c r="D6" s="296" t="str">
        <f>INDEX(Table!E:E,MATCH(E6,Table!F:F,0))</f>
        <v>D</v>
      </c>
      <c r="E6" s="238" t="s">
        <v>375</v>
      </c>
      <c r="F6" s="250">
        <f t="shared" si="2"/>
        <v>-24.643035714285713</v>
      </c>
      <c r="G6" s="55">
        <f t="shared" si="3"/>
        <v>6</v>
      </c>
      <c r="H6" s="668">
        <v>1.96875</v>
      </c>
      <c r="I6" s="669">
        <v>2</v>
      </c>
      <c r="J6" s="240">
        <f t="shared" si="7"/>
        <v>0</v>
      </c>
      <c r="K6" s="241"/>
      <c r="L6" s="241">
        <f>INDEX(Table!M:M,MATCH(E6,Table!F:F,0))</f>
        <v>0</v>
      </c>
      <c r="M6" s="240">
        <f t="shared" si="8"/>
        <v>0</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v>1.96875</v>
      </c>
      <c r="AG6" s="248">
        <v>2</v>
      </c>
      <c r="AH6" s="244"/>
      <c r="AI6" s="245"/>
      <c r="AJ6" s="246"/>
      <c r="AK6" s="247"/>
      <c r="AL6" s="242"/>
      <c r="AM6" s="248"/>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-24.643035714285716</v>
      </c>
      <c r="BW6" s="246">
        <f t="shared" si="5"/>
        <v>6</v>
      </c>
      <c r="BX6" s="247">
        <f t="shared" si="6"/>
        <v>0</v>
      </c>
      <c r="BY6" s="49"/>
      <c r="DX6" s="50"/>
      <c r="DY6" s="50"/>
      <c r="EF6" s="47"/>
      <c r="EG6" s="47"/>
    </row>
    <row r="7" spans="1:137">
      <c r="A7" s="252">
        <f t="shared" si="0"/>
        <v>36</v>
      </c>
      <c r="B7" s="252">
        <f t="shared" si="1"/>
        <v>35</v>
      </c>
      <c r="C7" s="252">
        <v>33</v>
      </c>
      <c r="D7" s="296" t="str">
        <f>INDEX(Table!E:E,MATCH(E7,Table!F:F,0))</f>
        <v>C</v>
      </c>
      <c r="E7" s="238" t="s">
        <v>316</v>
      </c>
      <c r="F7" s="250">
        <f t="shared" si="2"/>
        <v>-15.349999999999998</v>
      </c>
      <c r="G7" s="55">
        <f t="shared" si="3"/>
        <v>7</v>
      </c>
      <c r="H7" s="668">
        <v>-3.8</v>
      </c>
      <c r="I7" s="669">
        <v>1</v>
      </c>
      <c r="J7" s="240">
        <f t="shared" si="7"/>
        <v>0</v>
      </c>
      <c r="K7" s="241"/>
      <c r="L7" s="241">
        <f>INDEX(Table!M:M,MATCH(E7,Table!F:F,0))</f>
        <v>0</v>
      </c>
      <c r="M7" s="240">
        <f t="shared" si="8"/>
        <v>0</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v>-3.8</v>
      </c>
      <c r="AG7" s="248">
        <v>1</v>
      </c>
      <c r="AH7" s="244"/>
      <c r="AI7" s="245"/>
      <c r="AJ7" s="246"/>
      <c r="AK7" s="247"/>
      <c r="AL7" s="242"/>
      <c r="AM7" s="248"/>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-15.35</v>
      </c>
      <c r="BW7" s="246">
        <f t="shared" si="5"/>
        <v>7</v>
      </c>
      <c r="BX7" s="247">
        <f t="shared" si="6"/>
        <v>0</v>
      </c>
      <c r="BY7" s="49"/>
      <c r="DX7" s="50"/>
      <c r="DY7" s="50"/>
      <c r="EF7" s="47"/>
      <c r="EG7" s="47"/>
    </row>
    <row r="8" spans="1:137">
      <c r="A8" s="252">
        <f t="shared" si="0"/>
        <v>8</v>
      </c>
      <c r="B8" s="252">
        <f t="shared" si="1"/>
        <v>37</v>
      </c>
      <c r="C8" s="252">
        <v>6</v>
      </c>
      <c r="D8" s="296" t="str">
        <f>INDEX(Table!E:E,MATCH(E8,Table!F:F,0))</f>
        <v>C</v>
      </c>
      <c r="E8" s="238" t="s">
        <v>292</v>
      </c>
      <c r="F8" s="250">
        <f t="shared" si="2"/>
        <v>34.578969237832879</v>
      </c>
      <c r="G8" s="55">
        <f t="shared" si="3"/>
        <v>12</v>
      </c>
      <c r="H8" s="668">
        <v>-4.625</v>
      </c>
      <c r="I8" s="669">
        <v>1</v>
      </c>
      <c r="J8" s="240">
        <f t="shared" si="7"/>
        <v>5</v>
      </c>
      <c r="K8" s="241"/>
      <c r="L8" s="241">
        <f>INDEX(Table!M:M,MATCH(E8,Table!F:F,0))</f>
        <v>25.125</v>
      </c>
      <c r="M8" s="240">
        <f t="shared" si="8"/>
        <v>30.125</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v>-4.625</v>
      </c>
      <c r="AG8" s="248">
        <v>1</v>
      </c>
      <c r="AH8" s="244"/>
      <c r="AI8" s="245"/>
      <c r="AJ8" s="246"/>
      <c r="AK8" s="247"/>
      <c r="AL8" s="242"/>
      <c r="AM8" s="248"/>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34.578969237832879</v>
      </c>
      <c r="BW8" s="246">
        <f t="shared" si="5"/>
        <v>12</v>
      </c>
      <c r="BX8" s="247">
        <f t="shared" si="6"/>
        <v>5</v>
      </c>
      <c r="BY8" s="49"/>
      <c r="DX8" s="50"/>
      <c r="DY8" s="50"/>
      <c r="EF8" s="47"/>
      <c r="EG8" s="47"/>
    </row>
    <row r="9" spans="1:137">
      <c r="A9" s="252">
        <f t="shared" si="0"/>
        <v>9</v>
      </c>
      <c r="B9" s="252">
        <f t="shared" si="1"/>
        <v>46</v>
      </c>
      <c r="C9" s="252">
        <v>7</v>
      </c>
      <c r="D9" s="296" t="str">
        <f>INDEX(Table!E:E,MATCH(E9,Table!F:F,0))</f>
        <v>A</v>
      </c>
      <c r="E9" s="238" t="s">
        <v>287</v>
      </c>
      <c r="F9" s="250">
        <f t="shared" si="2"/>
        <v>32.387050432206678</v>
      </c>
      <c r="G9" s="55">
        <f t="shared" si="3"/>
        <v>12</v>
      </c>
      <c r="H9" s="668">
        <v>-5.05</v>
      </c>
      <c r="I9" s="669">
        <v>1</v>
      </c>
      <c r="J9" s="240">
        <f t="shared" si="7"/>
        <v>5</v>
      </c>
      <c r="K9" s="241"/>
      <c r="L9" s="241">
        <f>INDEX(Table!M:M,MATCH(E9,Table!F:F,0))</f>
        <v>21.105</v>
      </c>
      <c r="M9" s="240">
        <f t="shared" si="8"/>
        <v>26.105</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v>-5.05</v>
      </c>
      <c r="AG9" s="248">
        <v>1</v>
      </c>
      <c r="AH9" s="244"/>
      <c r="AI9" s="245"/>
      <c r="AJ9" s="246"/>
      <c r="AK9" s="247"/>
      <c r="AL9" s="242"/>
      <c r="AM9" s="248"/>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32.387050432206671</v>
      </c>
      <c r="BW9" s="246">
        <f t="shared" si="5"/>
        <v>12</v>
      </c>
      <c r="BX9" s="247">
        <f t="shared" si="6"/>
        <v>5</v>
      </c>
      <c r="BY9" s="49"/>
      <c r="DX9" s="50"/>
      <c r="DY9" s="50"/>
      <c r="EF9" s="47"/>
      <c r="EG9" s="47"/>
    </row>
    <row r="10" spans="1:137">
      <c r="A10" s="252">
        <f t="shared" si="0"/>
        <v>35</v>
      </c>
      <c r="B10" s="252">
        <f t="shared" si="1"/>
        <v>50</v>
      </c>
      <c r="C10" s="252">
        <v>31</v>
      </c>
      <c r="D10" s="296" t="str">
        <f>INDEX(Table!E:E,MATCH(E10,Table!F:F,0))</f>
        <v>A</v>
      </c>
      <c r="E10" s="238" t="s">
        <v>370</v>
      </c>
      <c r="F10" s="250">
        <f t="shared" si="2"/>
        <v>-13.846103896103891</v>
      </c>
      <c r="G10" s="55">
        <f t="shared" si="3"/>
        <v>8</v>
      </c>
      <c r="H10" s="668">
        <v>-7</v>
      </c>
      <c r="I10" s="669">
        <v>0</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v>-7</v>
      </c>
      <c r="AG10" s="248">
        <v>0</v>
      </c>
      <c r="AH10" s="244"/>
      <c r="AI10" s="245"/>
      <c r="AJ10" s="246"/>
      <c r="AK10" s="247"/>
      <c r="AL10" s="242"/>
      <c r="AM10" s="248"/>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-13.846103896103891</v>
      </c>
      <c r="BW10" s="246">
        <f t="shared" si="5"/>
        <v>8</v>
      </c>
      <c r="BX10" s="247">
        <f t="shared" si="6"/>
        <v>0</v>
      </c>
      <c r="BY10" s="49"/>
      <c r="DX10" s="50"/>
      <c r="DY10" s="50"/>
      <c r="EF10" s="47"/>
      <c r="EG10" s="47"/>
    </row>
    <row r="11" spans="1:137">
      <c r="A11" s="252">
        <f t="shared" si="0"/>
        <v>30</v>
      </c>
      <c r="B11" s="252">
        <f t="shared" si="1"/>
        <v>50</v>
      </c>
      <c r="C11" s="252">
        <v>26</v>
      </c>
      <c r="D11" s="296" t="str">
        <f>INDEX(Table!E:E,MATCH(E11,Table!F:F,0))</f>
        <v>A</v>
      </c>
      <c r="E11" s="238" t="s">
        <v>281</v>
      </c>
      <c r="F11" s="250">
        <f t="shared" si="2"/>
        <v>-7.9176623376623354</v>
      </c>
      <c r="G11" s="55">
        <f t="shared" si="3"/>
        <v>9</v>
      </c>
      <c r="H11" s="668">
        <v>-7</v>
      </c>
      <c r="I11" s="669">
        <v>0</v>
      </c>
      <c r="J11" s="240">
        <f t="shared" si="7"/>
        <v>0</v>
      </c>
      <c r="K11" s="241"/>
      <c r="L11" s="241">
        <f>INDEX(Table!M:M,MATCH(E11,Table!F:F,0))</f>
        <v>0</v>
      </c>
      <c r="M11" s="240">
        <f t="shared" si="8"/>
        <v>0</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v>-7</v>
      </c>
      <c r="AG11" s="248">
        <v>0</v>
      </c>
      <c r="AH11" s="244"/>
      <c r="AI11" s="245"/>
      <c r="AJ11" s="246"/>
      <c r="AK11" s="247"/>
      <c r="AL11" s="242"/>
      <c r="AM11" s="248"/>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-7.917662337662339</v>
      </c>
      <c r="BW11" s="246">
        <f t="shared" si="5"/>
        <v>9</v>
      </c>
      <c r="BX11" s="247">
        <f t="shared" si="6"/>
        <v>0</v>
      </c>
      <c r="BY11" s="49"/>
      <c r="DX11" s="50"/>
      <c r="DY11" s="50"/>
      <c r="EF11" s="47"/>
      <c r="EG11" s="47"/>
    </row>
    <row r="12" spans="1:137">
      <c r="A12" s="252">
        <f t="shared" si="0"/>
        <v>28</v>
      </c>
      <c r="B12" s="252">
        <f t="shared" si="1"/>
        <v>8</v>
      </c>
      <c r="C12" s="252">
        <v>39</v>
      </c>
      <c r="D12" s="296" t="str">
        <f>INDEX(Table!E:E,MATCH(E12,Table!F:F,0))</f>
        <v>D</v>
      </c>
      <c r="E12" s="238" t="s">
        <v>367</v>
      </c>
      <c r="F12" s="250">
        <f t="shared" si="2"/>
        <v>-5.6451515151515146</v>
      </c>
      <c r="G12" s="55">
        <f t="shared" si="3"/>
        <v>8</v>
      </c>
      <c r="H12" s="668">
        <v>10.919999999999998</v>
      </c>
      <c r="I12" s="669">
        <v>2</v>
      </c>
      <c r="J12" s="240">
        <f t="shared" si="7"/>
        <v>0</v>
      </c>
      <c r="K12" s="241"/>
      <c r="L12" s="241">
        <f>INDEX(Table!M:M,MATCH(E12,Table!F:F,0))</f>
        <v>8.0399999999999991</v>
      </c>
      <c r="M12" s="240">
        <f t="shared" si="8"/>
        <v>8.0399999999999991</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v>10.919999999999998</v>
      </c>
      <c r="AG12" s="248">
        <v>2</v>
      </c>
      <c r="AH12" s="244"/>
      <c r="AI12" s="245"/>
      <c r="AJ12" s="246"/>
      <c r="AK12" s="247"/>
      <c r="AL12" s="242"/>
      <c r="AM12" s="248"/>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-5.6451515151515181</v>
      </c>
      <c r="BW12" s="246">
        <f t="shared" si="5"/>
        <v>8</v>
      </c>
      <c r="BX12" s="247">
        <f t="shared" si="6"/>
        <v>0</v>
      </c>
      <c r="BY12" s="49"/>
      <c r="DX12" s="50"/>
      <c r="DY12" s="50"/>
      <c r="EF12" s="47"/>
      <c r="EG12" s="47"/>
    </row>
    <row r="13" spans="1:137">
      <c r="A13" s="252">
        <f t="shared" si="0"/>
        <v>44</v>
      </c>
      <c r="B13" s="252">
        <f t="shared" si="1"/>
        <v>34</v>
      </c>
      <c r="C13" s="252">
        <v>37</v>
      </c>
      <c r="D13" s="296" t="str">
        <f>INDEX(Table!E:E,MATCH(E13,Table!F:F,0))</f>
        <v>C</v>
      </c>
      <c r="E13" s="238" t="s">
        <v>518</v>
      </c>
      <c r="F13" s="250">
        <f t="shared" si="2"/>
        <v>-18.099999999999998</v>
      </c>
      <c r="G13" s="55">
        <f t="shared" si="3"/>
        <v>6</v>
      </c>
      <c r="H13" s="668">
        <v>-3.75</v>
      </c>
      <c r="I13" s="669">
        <v>1</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v>-3.75</v>
      </c>
      <c r="AG13" s="248">
        <v>1</v>
      </c>
      <c r="AH13" s="244"/>
      <c r="AI13" s="245"/>
      <c r="AJ13" s="246"/>
      <c r="AK13" s="247"/>
      <c r="AL13" s="242"/>
      <c r="AM13" s="248"/>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-18.099999999999998</v>
      </c>
      <c r="BW13" s="246">
        <f t="shared" si="5"/>
        <v>6</v>
      </c>
      <c r="BX13" s="247">
        <f t="shared" si="6"/>
        <v>0</v>
      </c>
      <c r="BY13" s="49"/>
      <c r="DX13" s="50"/>
      <c r="DY13" s="50"/>
      <c r="EF13" s="47"/>
      <c r="EG13" s="47"/>
    </row>
    <row r="14" spans="1:137">
      <c r="A14" s="252">
        <f t="shared" si="0"/>
        <v>29</v>
      </c>
      <c r="B14" s="252">
        <f t="shared" si="1"/>
        <v>48</v>
      </c>
      <c r="C14" s="252">
        <v>28</v>
      </c>
      <c r="D14" s="296" t="str">
        <f>INDEX(Table!E:E,MATCH(E14,Table!F:F,0))</f>
        <v>C</v>
      </c>
      <c r="E14" s="238" t="s">
        <v>307</v>
      </c>
      <c r="F14" s="250">
        <f t="shared" si="2"/>
        <v>-7.7327777777777795</v>
      </c>
      <c r="G14" s="55">
        <f t="shared" si="3"/>
        <v>10</v>
      </c>
      <c r="H14" s="668">
        <v>-5.25</v>
      </c>
      <c r="I14" s="669">
        <v>1</v>
      </c>
      <c r="J14" s="240">
        <f t="shared" si="7"/>
        <v>0</v>
      </c>
      <c r="K14" s="241"/>
      <c r="L14" s="241">
        <f>INDEX(Table!M:M,MATCH(E14,Table!F:F,0))</f>
        <v>0</v>
      </c>
      <c r="M14" s="240">
        <f t="shared" si="8"/>
        <v>0</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v>-5.25</v>
      </c>
      <c r="AG14" s="248">
        <v>1</v>
      </c>
      <c r="AH14" s="244"/>
      <c r="AI14" s="245"/>
      <c r="AJ14" s="246"/>
      <c r="AK14" s="247"/>
      <c r="AL14" s="242"/>
      <c r="AM14" s="248"/>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-7.7327777777777804</v>
      </c>
      <c r="BW14" s="246">
        <f t="shared" si="5"/>
        <v>10</v>
      </c>
      <c r="BX14" s="247">
        <f t="shared" si="6"/>
        <v>0</v>
      </c>
      <c r="BY14" s="49"/>
      <c r="DX14" s="50"/>
      <c r="DY14" s="50"/>
      <c r="EF14" s="47"/>
      <c r="EG14" s="47"/>
    </row>
    <row r="15" spans="1:137">
      <c r="A15" s="252">
        <f t="shared" si="0"/>
        <v>19</v>
      </c>
      <c r="B15" s="252">
        <f t="shared" si="1"/>
        <v>50</v>
      </c>
      <c r="C15" s="252">
        <v>17</v>
      </c>
      <c r="D15" s="296" t="str">
        <f>INDEX(Table!E:E,MATCH(E15,Table!F:F,0))</f>
        <v>C</v>
      </c>
      <c r="E15" s="238" t="s">
        <v>313</v>
      </c>
      <c r="F15" s="250">
        <f t="shared" si="2"/>
        <v>2.7083333333333268</v>
      </c>
      <c r="G15" s="55">
        <f t="shared" si="3"/>
        <v>7</v>
      </c>
      <c r="H15" s="668">
        <v>-7</v>
      </c>
      <c r="I15" s="669">
        <v>0</v>
      </c>
      <c r="J15" s="240">
        <f t="shared" si="7"/>
        <v>0</v>
      </c>
      <c r="K15" s="241"/>
      <c r="L15" s="241">
        <f>INDEX(Table!M:M,MATCH(E15,Table!F:F,0))</f>
        <v>12.06</v>
      </c>
      <c r="M15" s="240">
        <f t="shared" si="8"/>
        <v>12.06</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v>-7</v>
      </c>
      <c r="AG15" s="248">
        <v>0</v>
      </c>
      <c r="AH15" s="244"/>
      <c r="AI15" s="245"/>
      <c r="AJ15" s="246"/>
      <c r="AK15" s="247"/>
      <c r="AL15" s="242"/>
      <c r="AM15" s="248"/>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2.7083333333333286</v>
      </c>
      <c r="BW15" s="246">
        <f t="shared" si="5"/>
        <v>7</v>
      </c>
      <c r="BX15" s="247">
        <f t="shared" si="6"/>
        <v>0</v>
      </c>
      <c r="BY15" s="49"/>
      <c r="DX15" s="50"/>
      <c r="DY15" s="50"/>
      <c r="EF15" s="47"/>
      <c r="EG15" s="47"/>
    </row>
    <row r="16" spans="1:137">
      <c r="A16" s="252">
        <f t="shared" si="0"/>
        <v>31</v>
      </c>
      <c r="B16" s="252">
        <f t="shared" si="1"/>
        <v>10</v>
      </c>
      <c r="C16" s="252">
        <v>40</v>
      </c>
      <c r="D16" s="296" t="str">
        <f>INDEX(Table!E:E,MATCH(E16,Table!F:F,0))</f>
        <v>B</v>
      </c>
      <c r="E16" s="238" t="s">
        <v>306</v>
      </c>
      <c r="F16" s="250">
        <f t="shared" si="2"/>
        <v>-8.7450505050505036</v>
      </c>
      <c r="G16" s="55">
        <f t="shared" si="3"/>
        <v>10</v>
      </c>
      <c r="H16" s="668">
        <v>8.1616161616161627</v>
      </c>
      <c r="I16" s="669">
        <v>3</v>
      </c>
      <c r="J16" s="240">
        <f t="shared" si="7"/>
        <v>0</v>
      </c>
      <c r="K16" s="241"/>
      <c r="L16" s="241">
        <f>INDEX(Table!M:M,MATCH(E16,Table!F:F,0))</f>
        <v>0</v>
      </c>
      <c r="M16" s="240">
        <f t="shared" si="8"/>
        <v>0</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v>8.1616161616161627</v>
      </c>
      <c r="AG16" s="248">
        <v>3</v>
      </c>
      <c r="AH16" s="244"/>
      <c r="AI16" s="245"/>
      <c r="AJ16" s="246"/>
      <c r="AK16" s="247"/>
      <c r="AL16" s="242"/>
      <c r="AM16" s="248"/>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-8.7450505050505036</v>
      </c>
      <c r="BW16" s="246">
        <f t="shared" si="5"/>
        <v>10</v>
      </c>
      <c r="BX16" s="247">
        <f t="shared" si="6"/>
        <v>0</v>
      </c>
      <c r="BY16" s="49"/>
      <c r="DX16" s="50"/>
      <c r="DY16" s="50"/>
      <c r="EF16" s="47"/>
      <c r="EG16" s="47"/>
    </row>
    <row r="17" spans="1:137">
      <c r="A17" s="252">
        <f t="shared" si="0"/>
        <v>12</v>
      </c>
      <c r="B17" s="252">
        <f t="shared" si="1"/>
        <v>44</v>
      </c>
      <c r="C17" s="252">
        <v>9</v>
      </c>
      <c r="D17" s="296" t="str">
        <f>INDEX(Table!E:E,MATCH(E17,Table!F:F,0))</f>
        <v>B</v>
      </c>
      <c r="E17" s="238" t="s">
        <v>314</v>
      </c>
      <c r="F17" s="250">
        <f t="shared" si="2"/>
        <v>28.219999999999992</v>
      </c>
      <c r="G17" s="55">
        <f t="shared" si="3"/>
        <v>7</v>
      </c>
      <c r="H17" s="668">
        <v>-4.8499999999999996</v>
      </c>
      <c r="I17" s="669">
        <v>1</v>
      </c>
      <c r="J17" s="240">
        <f t="shared" si="7"/>
        <v>5</v>
      </c>
      <c r="K17" s="241"/>
      <c r="L17" s="241">
        <f>INDEX(Table!M:M,MATCH(E17,Table!F:F,0))</f>
        <v>36.18</v>
      </c>
      <c r="M17" s="240">
        <f t="shared" si="8"/>
        <v>41.18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v>-4.8499999999999996</v>
      </c>
      <c r="AG17" s="248">
        <v>1</v>
      </c>
      <c r="AH17" s="244"/>
      <c r="AI17" s="245"/>
      <c r="AJ17" s="246"/>
      <c r="AK17" s="247"/>
      <c r="AL17" s="242"/>
      <c r="AM17" s="248"/>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28.219999999999992</v>
      </c>
      <c r="BW17" s="246">
        <f t="shared" si="5"/>
        <v>7</v>
      </c>
      <c r="BX17" s="247">
        <f t="shared" si="6"/>
        <v>5</v>
      </c>
      <c r="BY17" s="49"/>
      <c r="DX17" s="50"/>
      <c r="DY17" s="50"/>
      <c r="EF17" s="47"/>
      <c r="EG17" s="47"/>
    </row>
    <row r="18" spans="1:137">
      <c r="A18" s="252">
        <f t="shared" si="0"/>
        <v>43</v>
      </c>
      <c r="B18" s="252">
        <f t="shared" si="1"/>
        <v>33</v>
      </c>
      <c r="C18" s="252">
        <v>38</v>
      </c>
      <c r="D18" s="296" t="str">
        <f>INDEX(Table!E:E,MATCH(E18,Table!F:F,0))</f>
        <v>C</v>
      </c>
      <c r="E18" s="238" t="s">
        <v>310</v>
      </c>
      <c r="F18" s="250">
        <f t="shared" si="2"/>
        <v>-17.98</v>
      </c>
      <c r="G18" s="55">
        <f t="shared" si="3"/>
        <v>4</v>
      </c>
      <c r="H18" s="668">
        <v>-3.4</v>
      </c>
      <c r="I18" s="669">
        <v>1</v>
      </c>
      <c r="J18" s="240">
        <f t="shared" si="7"/>
        <v>5</v>
      </c>
      <c r="K18" s="241"/>
      <c r="L18" s="241">
        <f>INDEX(Table!M:M,MATCH(E18,Table!F:F,0))</f>
        <v>0</v>
      </c>
      <c r="M18" s="240">
        <f t="shared" si="8"/>
        <v>5</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v>-3.4</v>
      </c>
      <c r="AG18" s="248">
        <v>1</v>
      </c>
      <c r="AH18" s="244"/>
      <c r="AI18" s="245"/>
      <c r="AJ18" s="246"/>
      <c r="AK18" s="247"/>
      <c r="AL18" s="242"/>
      <c r="AM18" s="248"/>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-17.98</v>
      </c>
      <c r="BW18" s="246">
        <f t="shared" si="5"/>
        <v>4</v>
      </c>
      <c r="BX18" s="247">
        <f t="shared" si="6"/>
        <v>5</v>
      </c>
      <c r="BY18" s="49"/>
      <c r="DX18" s="50"/>
      <c r="DY18" s="50"/>
      <c r="EF18" s="47"/>
      <c r="EG18" s="47"/>
    </row>
    <row r="19" spans="1:137">
      <c r="A19" s="252">
        <f t="shared" si="0"/>
        <v>4</v>
      </c>
      <c r="B19" s="252">
        <f t="shared" si="1"/>
        <v>6</v>
      </c>
      <c r="C19" s="252">
        <v>3</v>
      </c>
      <c r="D19" s="296" t="str">
        <f>INDEX(Table!E:E,MATCH(E19,Table!F:F,0))</f>
        <v>A</v>
      </c>
      <c r="E19" s="238" t="s">
        <v>519</v>
      </c>
      <c r="F19" s="250">
        <f t="shared" si="2"/>
        <v>77.140060606060601</v>
      </c>
      <c r="G19" s="55">
        <f t="shared" si="3"/>
        <v>10</v>
      </c>
      <c r="H19" s="668">
        <v>12.606060606060606</v>
      </c>
      <c r="I19" s="669">
        <v>3</v>
      </c>
      <c r="J19" s="240">
        <f t="shared" si="7"/>
        <v>10</v>
      </c>
      <c r="K19" s="241"/>
      <c r="L19" s="241">
        <f>INDEX(Table!M:M,MATCH(E19,Table!F:F,0))</f>
        <v>75.375</v>
      </c>
      <c r="M19" s="240">
        <f t="shared" si="8"/>
        <v>85.375</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v>12.606060606060606</v>
      </c>
      <c r="AG19" s="248">
        <v>3</v>
      </c>
      <c r="AH19" s="244"/>
      <c r="AI19" s="245"/>
      <c r="AJ19" s="246"/>
      <c r="AK19" s="247"/>
      <c r="AL19" s="242"/>
      <c r="AM19" s="248"/>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77.140060606060587</v>
      </c>
      <c r="BW19" s="246">
        <f t="shared" si="5"/>
        <v>10</v>
      </c>
      <c r="BX19" s="247">
        <f t="shared" si="6"/>
        <v>10</v>
      </c>
      <c r="BY19" s="49"/>
      <c r="DX19" s="50"/>
      <c r="DY19" s="50"/>
      <c r="EF19" s="47"/>
      <c r="EG19" s="47"/>
    </row>
    <row r="20" spans="1:137">
      <c r="A20" s="252">
        <f t="shared" si="0"/>
        <v>58</v>
      </c>
      <c r="B20" s="252">
        <f t="shared" si="1"/>
        <v>31</v>
      </c>
      <c r="C20" s="252">
        <v>59</v>
      </c>
      <c r="D20" s="296" t="str">
        <f>INDEX(Table!E:E,MATCH(E20,Table!F:F,0))</f>
        <v>B</v>
      </c>
      <c r="E20" s="238" t="s">
        <v>377</v>
      </c>
      <c r="F20" s="250">
        <f t="shared" si="2"/>
        <v>-35.972222222222221</v>
      </c>
      <c r="G20" s="55">
        <f t="shared" si="3"/>
        <v>5</v>
      </c>
      <c r="H20" s="668">
        <v>-1.8888888888888884</v>
      </c>
      <c r="I20" s="669">
        <v>2</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v>-1.8888888888888884</v>
      </c>
      <c r="AG20" s="248">
        <v>2</v>
      </c>
      <c r="AH20" s="244"/>
      <c r="AI20" s="245"/>
      <c r="AJ20" s="246"/>
      <c r="AK20" s="247"/>
      <c r="AL20" s="242"/>
      <c r="AM20" s="248"/>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-35.972222222222221</v>
      </c>
      <c r="BW20" s="246">
        <f t="shared" si="5"/>
        <v>5</v>
      </c>
      <c r="BX20" s="247">
        <f t="shared" si="6"/>
        <v>0</v>
      </c>
      <c r="BY20" s="49"/>
      <c r="DX20" s="50"/>
      <c r="DY20" s="50"/>
      <c r="EF20" s="47"/>
      <c r="EG20" s="47"/>
    </row>
    <row r="21" spans="1:137">
      <c r="A21" s="252">
        <f t="shared" si="0"/>
        <v>47</v>
      </c>
      <c r="B21" s="252">
        <f t="shared" si="1"/>
        <v>27</v>
      </c>
      <c r="C21" s="252">
        <v>50</v>
      </c>
      <c r="D21" s="296" t="str">
        <f>INDEX(Table!E:E,MATCH(E21,Table!F:F,0))</f>
        <v>B</v>
      </c>
      <c r="E21" s="238" t="s">
        <v>368</v>
      </c>
      <c r="F21" s="250">
        <f t="shared" si="2"/>
        <v>-24.6</v>
      </c>
      <c r="G21" s="55">
        <f t="shared" si="3"/>
        <v>7</v>
      </c>
      <c r="H21" s="668">
        <v>-0.125</v>
      </c>
      <c r="I21" s="669">
        <v>2</v>
      </c>
      <c r="J21" s="240">
        <f t="shared" si="7"/>
        <v>0</v>
      </c>
      <c r="K21" s="241"/>
      <c r="L21" s="241">
        <f>INDEX(Table!M:M,MATCH(E21,Table!F:F,0))</f>
        <v>0</v>
      </c>
      <c r="M21" s="240">
        <f t="shared" si="8"/>
        <v>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v>-0.125</v>
      </c>
      <c r="AG21" s="248">
        <v>2</v>
      </c>
      <c r="AH21" s="244"/>
      <c r="AI21" s="245"/>
      <c r="AJ21" s="246"/>
      <c r="AK21" s="247"/>
      <c r="AL21" s="242"/>
      <c r="AM21" s="248"/>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-24.6</v>
      </c>
      <c r="BW21" s="246">
        <f t="shared" si="5"/>
        <v>7</v>
      </c>
      <c r="BX21" s="247">
        <f t="shared" si="6"/>
        <v>0</v>
      </c>
      <c r="BY21" s="49"/>
      <c r="DX21" s="50"/>
      <c r="DY21" s="50"/>
      <c r="EF21" s="47"/>
      <c r="EG21" s="47"/>
    </row>
    <row r="22" spans="1:137">
      <c r="A22" s="252">
        <f t="shared" si="0"/>
        <v>53</v>
      </c>
      <c r="B22" s="252">
        <f t="shared" si="1"/>
        <v>22</v>
      </c>
      <c r="C22" s="252">
        <v>56</v>
      </c>
      <c r="D22" s="296" t="str">
        <f>INDEX(Table!E:E,MATCH(E22,Table!F:F,0))</f>
        <v>A</v>
      </c>
      <c r="E22" s="238" t="s">
        <v>369</v>
      </c>
      <c r="F22" s="250">
        <f t="shared" si="2"/>
        <v>-29.904166666666665</v>
      </c>
      <c r="G22" s="55">
        <f t="shared" si="3"/>
        <v>7</v>
      </c>
      <c r="H22" s="668">
        <v>1.0625</v>
      </c>
      <c r="I22" s="669">
        <v>2</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v>1.0625</v>
      </c>
      <c r="AG22" s="248">
        <v>2</v>
      </c>
      <c r="AH22" s="244"/>
      <c r="AI22" s="245"/>
      <c r="AJ22" s="246"/>
      <c r="AK22" s="247"/>
      <c r="AL22" s="242"/>
      <c r="AM22" s="248"/>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-29.904166666666669</v>
      </c>
      <c r="BW22" s="246">
        <f t="shared" si="5"/>
        <v>7</v>
      </c>
      <c r="BX22" s="247">
        <f t="shared" si="6"/>
        <v>0</v>
      </c>
      <c r="BY22" s="49"/>
      <c r="DX22" s="50"/>
      <c r="DY22" s="50"/>
      <c r="EF22" s="47"/>
      <c r="EG22" s="47"/>
    </row>
    <row r="23" spans="1:137">
      <c r="A23" s="252">
        <f t="shared" si="0"/>
        <v>49</v>
      </c>
      <c r="B23" s="252">
        <f t="shared" si="1"/>
        <v>28</v>
      </c>
      <c r="C23" s="252">
        <v>49</v>
      </c>
      <c r="D23" s="296" t="str">
        <f>INDEX(Table!E:E,MATCH(E23,Table!F:F,0))</f>
        <v>D</v>
      </c>
      <c r="E23" s="238" t="s">
        <v>520</v>
      </c>
      <c r="F23" s="250">
        <f t="shared" si="2"/>
        <v>-24.695</v>
      </c>
      <c r="G23" s="55">
        <f t="shared" si="3"/>
        <v>8</v>
      </c>
      <c r="H23" s="668">
        <v>-0.91666666666666607</v>
      </c>
      <c r="I23" s="669">
        <v>2</v>
      </c>
      <c r="J23" s="240">
        <f t="shared" si="7"/>
        <v>0</v>
      </c>
      <c r="K23" s="241"/>
      <c r="L23" s="241">
        <f>INDEX(Table!M:M,MATCH(E23,Table!F:F,0))</f>
        <v>0</v>
      </c>
      <c r="M23" s="240">
        <f t="shared" si="8"/>
        <v>0</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v>-0.91666666666666607</v>
      </c>
      <c r="AG23" s="248">
        <v>2</v>
      </c>
      <c r="AH23" s="244"/>
      <c r="AI23" s="245"/>
      <c r="AJ23" s="246"/>
      <c r="AK23" s="247"/>
      <c r="AL23" s="242"/>
      <c r="AM23" s="248"/>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-24.695</v>
      </c>
      <c r="BW23" s="246">
        <f t="shared" si="5"/>
        <v>8</v>
      </c>
      <c r="BX23" s="247">
        <f t="shared" si="6"/>
        <v>0</v>
      </c>
      <c r="BY23" s="49"/>
      <c r="DX23" s="50"/>
      <c r="DY23" s="50"/>
      <c r="EF23" s="47"/>
      <c r="EG23" s="47"/>
    </row>
    <row r="24" spans="1:137">
      <c r="A24" s="252">
        <f t="shared" si="0"/>
        <v>46</v>
      </c>
      <c r="B24" s="252">
        <f t="shared" si="1"/>
        <v>47</v>
      </c>
      <c r="C24" s="252">
        <v>36</v>
      </c>
      <c r="D24" s="296" t="str">
        <f>INDEX(Table!E:E,MATCH(E24,Table!F:F,0))</f>
        <v>C</v>
      </c>
      <c r="E24" s="238" t="s">
        <v>443</v>
      </c>
      <c r="F24" s="250">
        <f t="shared" si="2"/>
        <v>-19.230833333333329</v>
      </c>
      <c r="G24" s="55">
        <f t="shared" si="3"/>
        <v>8</v>
      </c>
      <c r="H24" s="668">
        <v>-5.2</v>
      </c>
      <c r="I24" s="669">
        <v>1</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v>-5.2</v>
      </c>
      <c r="AG24" s="248">
        <v>1</v>
      </c>
      <c r="AH24" s="244"/>
      <c r="AI24" s="245"/>
      <c r="AJ24" s="246"/>
      <c r="AK24" s="247"/>
      <c r="AL24" s="242"/>
      <c r="AM24" s="248"/>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-19.230833333333333</v>
      </c>
      <c r="BW24" s="246">
        <f t="shared" si="5"/>
        <v>8</v>
      </c>
      <c r="BX24" s="247">
        <f t="shared" si="6"/>
        <v>0</v>
      </c>
      <c r="BY24" s="49"/>
      <c r="DX24" s="50"/>
      <c r="DY24" s="50"/>
      <c r="EF24" s="47"/>
      <c r="EG24" s="47"/>
    </row>
    <row r="25" spans="1:137">
      <c r="A25" s="252">
        <f t="shared" si="0"/>
        <v>59</v>
      </c>
      <c r="B25" s="252">
        <f t="shared" si="1"/>
        <v>50</v>
      </c>
      <c r="C25" s="252">
        <v>55</v>
      </c>
      <c r="D25" s="296" t="str">
        <f>INDEX(Table!E:E,MATCH(E25,Table!F:F,0))</f>
        <v>C</v>
      </c>
      <c r="E25" s="238" t="s">
        <v>296</v>
      </c>
      <c r="F25" s="250">
        <f t="shared" si="2"/>
        <v>-36.659090909090907</v>
      </c>
      <c r="G25" s="55">
        <f t="shared" si="3"/>
        <v>5</v>
      </c>
      <c r="H25" s="668">
        <v>-7</v>
      </c>
      <c r="I25" s="669">
        <v>0</v>
      </c>
      <c r="J25" s="240">
        <f t="shared" si="7"/>
        <v>0</v>
      </c>
      <c r="K25" s="241"/>
      <c r="L25" s="241">
        <f>INDEX(Table!M:M,MATCH(E25,Table!F:F,0))</f>
        <v>0</v>
      </c>
      <c r="M25" s="240">
        <f t="shared" si="8"/>
        <v>0</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v>-7</v>
      </c>
      <c r="AG25" s="248">
        <v>0</v>
      </c>
      <c r="AH25" s="244"/>
      <c r="AI25" s="245"/>
      <c r="AJ25" s="246"/>
      <c r="AK25" s="247"/>
      <c r="AL25" s="242"/>
      <c r="AM25" s="248"/>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-36.659090909090907</v>
      </c>
      <c r="BW25" s="246">
        <f t="shared" si="5"/>
        <v>5</v>
      </c>
      <c r="BX25" s="247">
        <f t="shared" si="6"/>
        <v>0</v>
      </c>
      <c r="BY25" s="49"/>
      <c r="DX25" s="50"/>
      <c r="DY25" s="50"/>
      <c r="EF25" s="47"/>
      <c r="EG25" s="47"/>
    </row>
    <row r="26" spans="1:137">
      <c r="A26" s="252">
        <f t="shared" si="0"/>
        <v>14</v>
      </c>
      <c r="B26" s="252">
        <f t="shared" si="1"/>
        <v>37</v>
      </c>
      <c r="C26" s="252">
        <v>10</v>
      </c>
      <c r="D26" s="296" t="str">
        <f>INDEX(Table!E:E,MATCH(E26,Table!F:F,0))</f>
        <v>B</v>
      </c>
      <c r="E26" s="238" t="s">
        <v>371</v>
      </c>
      <c r="F26" s="250">
        <f t="shared" si="2"/>
        <v>24.800000000000004</v>
      </c>
      <c r="G26" s="55">
        <f t="shared" si="3"/>
        <v>6</v>
      </c>
      <c r="H26" s="668">
        <v>-4.625</v>
      </c>
      <c r="I26" s="669">
        <v>1</v>
      </c>
      <c r="J26" s="240">
        <f t="shared" si="7"/>
        <v>10</v>
      </c>
      <c r="K26" s="241"/>
      <c r="L26" s="241">
        <f>INDEX(Table!M:M,MATCH(E26,Table!F:F,0))</f>
        <v>14.07</v>
      </c>
      <c r="M26" s="240">
        <f t="shared" si="8"/>
        <v>24.07</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v>-4.625</v>
      </c>
      <c r="AG26" s="248">
        <v>1</v>
      </c>
      <c r="AH26" s="244"/>
      <c r="AI26" s="245"/>
      <c r="AJ26" s="246"/>
      <c r="AK26" s="247"/>
      <c r="AL26" s="242"/>
      <c r="AM26" s="248"/>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24.800000000000004</v>
      </c>
      <c r="BW26" s="246">
        <f t="shared" si="5"/>
        <v>6</v>
      </c>
      <c r="BX26" s="247">
        <f t="shared" si="6"/>
        <v>10</v>
      </c>
      <c r="BY26" s="49"/>
      <c r="DX26" s="50"/>
      <c r="DY26" s="50"/>
      <c r="EF26" s="47"/>
      <c r="EG26" s="47"/>
    </row>
    <row r="27" spans="1:137">
      <c r="A27" s="252">
        <f t="shared" si="0"/>
        <v>24</v>
      </c>
      <c r="B27" s="252">
        <f t="shared" si="1"/>
        <v>37</v>
      </c>
      <c r="C27" s="252">
        <v>21</v>
      </c>
      <c r="D27" s="296" t="str">
        <f>INDEX(Table!E:E,MATCH(E27,Table!F:F,0))</f>
        <v>A</v>
      </c>
      <c r="E27" s="238" t="s">
        <v>284</v>
      </c>
      <c r="F27" s="250">
        <f t="shared" si="2"/>
        <v>-7.9485440828031884E-2</v>
      </c>
      <c r="G27" s="55">
        <f t="shared" si="3"/>
        <v>11</v>
      </c>
      <c r="H27" s="668">
        <v>-4.625</v>
      </c>
      <c r="I27" s="669">
        <v>1</v>
      </c>
      <c r="J27" s="240">
        <f t="shared" si="7"/>
        <v>0</v>
      </c>
      <c r="K27" s="241"/>
      <c r="L27" s="241">
        <f>INDEX(Table!M:M,MATCH(E27,Table!F:F,0))</f>
        <v>0</v>
      </c>
      <c r="M27" s="240">
        <f t="shared" si="8"/>
        <v>0</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v>-4.625</v>
      </c>
      <c r="AG27" s="248">
        <v>1</v>
      </c>
      <c r="AH27" s="244"/>
      <c r="AI27" s="245"/>
      <c r="AJ27" s="246"/>
      <c r="AK27" s="247"/>
      <c r="AL27" s="242"/>
      <c r="AM27" s="248"/>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-7.9485440828031884E-2</v>
      </c>
      <c r="BW27" s="246">
        <f t="shared" si="5"/>
        <v>11</v>
      </c>
      <c r="BX27" s="247">
        <f t="shared" si="6"/>
        <v>0</v>
      </c>
      <c r="BY27" s="49"/>
      <c r="DX27" s="50"/>
      <c r="DY27" s="50"/>
      <c r="EF27" s="47"/>
      <c r="EG27" s="47"/>
    </row>
    <row r="28" spans="1:137">
      <c r="A28" s="252">
        <f t="shared" si="0"/>
        <v>13</v>
      </c>
      <c r="B28" s="252">
        <f t="shared" si="1"/>
        <v>2</v>
      </c>
      <c r="C28" s="252">
        <v>32</v>
      </c>
      <c r="D28" s="296" t="str">
        <f>INDEX(Table!E:E,MATCH(E28,Table!F:F,0))</f>
        <v>B</v>
      </c>
      <c r="E28" s="238" t="s">
        <v>301</v>
      </c>
      <c r="F28" s="250">
        <f t="shared" si="2"/>
        <v>26.608441558441559</v>
      </c>
      <c r="G28" s="55">
        <f t="shared" si="3"/>
        <v>12</v>
      </c>
      <c r="H28" s="668">
        <v>36.625</v>
      </c>
      <c r="I28" s="669">
        <v>3</v>
      </c>
      <c r="J28" s="240">
        <f t="shared" si="7"/>
        <v>5</v>
      </c>
      <c r="K28" s="241"/>
      <c r="L28" s="241">
        <f>INDEX(Table!M:M,MATCH(E28,Table!F:F,0))</f>
        <v>24.12</v>
      </c>
      <c r="M28" s="240">
        <f t="shared" si="8"/>
        <v>29.12</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v>36.625</v>
      </c>
      <c r="AG28" s="248">
        <v>3</v>
      </c>
      <c r="AH28" s="244">
        <v>5</v>
      </c>
      <c r="AI28" s="245"/>
      <c r="AJ28" s="246"/>
      <c r="AK28" s="247"/>
      <c r="AL28" s="242"/>
      <c r="AM28" s="248"/>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26.608441558441559</v>
      </c>
      <c r="BW28" s="246">
        <f t="shared" si="5"/>
        <v>12</v>
      </c>
      <c r="BX28" s="247">
        <f t="shared" si="6"/>
        <v>5</v>
      </c>
      <c r="BY28" s="49"/>
      <c r="DX28" s="50"/>
      <c r="DY28" s="50"/>
      <c r="EF28" s="47"/>
      <c r="EG28" s="47"/>
    </row>
    <row r="29" spans="1:137">
      <c r="A29" s="252">
        <f t="shared" si="0"/>
        <v>1</v>
      </c>
      <c r="B29" s="252">
        <f t="shared" si="1"/>
        <v>35</v>
      </c>
      <c r="C29" s="252">
        <v>1</v>
      </c>
      <c r="D29" s="296" t="str">
        <f>INDEX(Table!E:E,MATCH(E29,Table!F:F,0))</f>
        <v>D</v>
      </c>
      <c r="E29" s="238" t="s">
        <v>376</v>
      </c>
      <c r="F29" s="250">
        <f t="shared" si="2"/>
        <v>128.95999999999995</v>
      </c>
      <c r="G29" s="55">
        <f t="shared" si="3"/>
        <v>9</v>
      </c>
      <c r="H29" s="668">
        <v>-3.8</v>
      </c>
      <c r="I29" s="669">
        <v>1</v>
      </c>
      <c r="J29" s="240">
        <f t="shared" si="7"/>
        <v>10</v>
      </c>
      <c r="K29" s="241"/>
      <c r="L29" s="241">
        <f>INDEX(Table!M:M,MATCH(E29,Table!F:F,0))</f>
        <v>23.45</v>
      </c>
      <c r="M29" s="240">
        <f t="shared" si="8"/>
        <v>33.450000000000003</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v>-3.8</v>
      </c>
      <c r="AG29" s="248">
        <v>1</v>
      </c>
      <c r="AH29" s="244"/>
      <c r="AI29" s="245"/>
      <c r="AJ29" s="246"/>
      <c r="AK29" s="247"/>
      <c r="AL29" s="242"/>
      <c r="AM29" s="248"/>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128.95999999999998</v>
      </c>
      <c r="BW29" s="246">
        <f t="shared" si="5"/>
        <v>9</v>
      </c>
      <c r="BX29" s="247">
        <f t="shared" si="6"/>
        <v>10</v>
      </c>
      <c r="BY29" s="49"/>
      <c r="DX29" s="50"/>
      <c r="DY29" s="50"/>
      <c r="EF29" s="47"/>
      <c r="EG29" s="47"/>
    </row>
    <row r="30" spans="1:137">
      <c r="A30" s="252">
        <f t="shared" si="0"/>
        <v>7</v>
      </c>
      <c r="B30" s="252">
        <f t="shared" si="1"/>
        <v>7</v>
      </c>
      <c r="C30" s="252">
        <v>11</v>
      </c>
      <c r="D30" s="296" t="str">
        <f>INDEX(Table!E:E,MATCH(E30,Table!F:F,0))</f>
        <v>A</v>
      </c>
      <c r="E30" s="238" t="s">
        <v>311</v>
      </c>
      <c r="F30" s="250">
        <f t="shared" si="2"/>
        <v>37.832250000000002</v>
      </c>
      <c r="G30" s="55">
        <f t="shared" si="3"/>
        <v>10</v>
      </c>
      <c r="H30" s="668">
        <v>11.40625</v>
      </c>
      <c r="I30" s="669">
        <v>2</v>
      </c>
      <c r="J30" s="240">
        <f t="shared" si="7"/>
        <v>5</v>
      </c>
      <c r="K30" s="241"/>
      <c r="L30" s="241">
        <f>INDEX(Table!M:M,MATCH(E30,Table!F:F,0))</f>
        <v>36.18</v>
      </c>
      <c r="M30" s="240">
        <f t="shared" si="8"/>
        <v>41.18</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v>11.40625</v>
      </c>
      <c r="AG30" s="248">
        <v>2</v>
      </c>
      <c r="AH30" s="244"/>
      <c r="AI30" s="245"/>
      <c r="AJ30" s="246"/>
      <c r="AK30" s="247"/>
      <c r="AL30" s="242"/>
      <c r="AM30" s="248"/>
      <c r="AN30" s="244"/>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37.832250000000002</v>
      </c>
      <c r="BW30" s="246">
        <f t="shared" si="5"/>
        <v>10</v>
      </c>
      <c r="BX30" s="247">
        <f t="shared" si="6"/>
        <v>5</v>
      </c>
      <c r="BY30" s="49"/>
      <c r="DX30" s="50"/>
      <c r="DY30" s="50"/>
      <c r="EF30" s="47"/>
      <c r="EG30" s="47"/>
    </row>
    <row r="31" spans="1:137">
      <c r="A31" s="252">
        <f t="shared" si="0"/>
        <v>60</v>
      </c>
      <c r="B31" s="252">
        <f t="shared" si="1"/>
        <v>50</v>
      </c>
      <c r="C31" s="252">
        <v>60</v>
      </c>
      <c r="D31" s="296" t="str">
        <f>INDEX(Table!E:E,MATCH(E31,Table!F:F,0))</f>
        <v>D</v>
      </c>
      <c r="E31" s="238" t="s">
        <v>324</v>
      </c>
      <c r="F31" s="250">
        <f t="shared" si="2"/>
        <v>-49</v>
      </c>
      <c r="G31" s="55">
        <f t="shared" si="3"/>
        <v>0</v>
      </c>
      <c r="H31" s="668">
        <v>-7</v>
      </c>
      <c r="I31" s="669">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v>-7</v>
      </c>
      <c r="AG31" s="248">
        <v>0</v>
      </c>
      <c r="AH31" s="244"/>
      <c r="AI31" s="245"/>
      <c r="AJ31" s="246"/>
      <c r="AK31" s="247"/>
      <c r="AL31" s="242"/>
      <c r="AM31" s="248"/>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-49</v>
      </c>
      <c r="BW31" s="246">
        <f t="shared" si="5"/>
        <v>0</v>
      </c>
      <c r="BX31" s="247">
        <f t="shared" si="6"/>
        <v>0</v>
      </c>
      <c r="BY31" s="49"/>
      <c r="DX31" s="50"/>
      <c r="DY31" s="50"/>
      <c r="EF31" s="47"/>
      <c r="EG31" s="47"/>
    </row>
    <row r="32" spans="1:137" ht="13.35" customHeight="1">
      <c r="A32" s="252">
        <f t="shared" si="0"/>
        <v>56</v>
      </c>
      <c r="B32" s="252">
        <f t="shared" si="1"/>
        <v>50</v>
      </c>
      <c r="C32" s="252">
        <v>51</v>
      </c>
      <c r="D32" s="296" t="str">
        <f>INDEX(Table!E:E,MATCH(E32,Table!F:F,0))</f>
        <v>C</v>
      </c>
      <c r="E32" s="238" t="s">
        <v>517</v>
      </c>
      <c r="F32" s="250">
        <f t="shared" si="2"/>
        <v>-32.659090909090907</v>
      </c>
      <c r="G32" s="55">
        <f t="shared" si="3"/>
        <v>5</v>
      </c>
      <c r="H32" s="668">
        <v>-7</v>
      </c>
      <c r="I32" s="669">
        <v>0</v>
      </c>
      <c r="J32" s="240">
        <f t="shared" si="7"/>
        <v>0</v>
      </c>
      <c r="K32" s="241"/>
      <c r="L32" s="241">
        <f>INDEX(Table!M:M,MATCH(E32,Table!F:F,0))</f>
        <v>0</v>
      </c>
      <c r="M32" s="240">
        <f t="shared" si="8"/>
        <v>0</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v>-7</v>
      </c>
      <c r="AG32" s="248">
        <v>0</v>
      </c>
      <c r="AH32" s="244"/>
      <c r="AI32" s="245"/>
      <c r="AJ32" s="246"/>
      <c r="AK32" s="247"/>
      <c r="AL32" s="242"/>
      <c r="AM32" s="248"/>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-32.659090909090907</v>
      </c>
      <c r="BW32" s="246">
        <f t="shared" si="5"/>
        <v>5</v>
      </c>
      <c r="BX32" s="247">
        <f t="shared" si="6"/>
        <v>0</v>
      </c>
      <c r="BY32" s="49"/>
      <c r="DX32" s="50"/>
      <c r="DY32" s="50"/>
      <c r="EF32" s="47"/>
      <c r="EG32" s="47"/>
    </row>
    <row r="33" spans="1:137">
      <c r="A33" s="252">
        <f t="shared" si="0"/>
        <v>39</v>
      </c>
      <c r="B33" s="252">
        <f t="shared" si="1"/>
        <v>21</v>
      </c>
      <c r="C33" s="252">
        <v>41</v>
      </c>
      <c r="D33" s="296" t="str">
        <f>INDEX(Table!E:E,MATCH(E33,Table!F:F,0))</f>
        <v>A</v>
      </c>
      <c r="E33" s="238" t="s">
        <v>372</v>
      </c>
      <c r="F33" s="250">
        <f t="shared" si="2"/>
        <v>-15.889318181818179</v>
      </c>
      <c r="G33" s="55">
        <f t="shared" si="3"/>
        <v>8</v>
      </c>
      <c r="H33" s="668">
        <v>1.2925000000000004</v>
      </c>
      <c r="I33" s="669">
        <v>2</v>
      </c>
      <c r="J33" s="240">
        <f t="shared" si="7"/>
        <v>0</v>
      </c>
      <c r="K33" s="241"/>
      <c r="L33" s="241">
        <f>INDEX(Table!M:M,MATCH(E33,Table!F:F,0))</f>
        <v>0</v>
      </c>
      <c r="M33" s="240">
        <f t="shared" si="8"/>
        <v>0</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v>1.2925000000000004</v>
      </c>
      <c r="AG33" s="248">
        <v>2</v>
      </c>
      <c r="AH33" s="244"/>
      <c r="AI33" s="245"/>
      <c r="AJ33" s="246"/>
      <c r="AK33" s="247"/>
      <c r="AL33" s="242"/>
      <c r="AM33" s="248"/>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-15.889318181818179</v>
      </c>
      <c r="BW33" s="246">
        <f t="shared" si="5"/>
        <v>8</v>
      </c>
      <c r="BX33" s="247">
        <f t="shared" si="6"/>
        <v>0</v>
      </c>
      <c r="BY33" s="49"/>
      <c r="DX33" s="50"/>
      <c r="DY33" s="50"/>
      <c r="EF33" s="47"/>
      <c r="EG33" s="47"/>
    </row>
    <row r="34" spans="1:137">
      <c r="A34" s="252">
        <f t="shared" ref="A34:A59" si="9">_xlfn.RANK.EQ(F34,totalscores,0)</f>
        <v>32</v>
      </c>
      <c r="B34" s="252">
        <f t="shared" si="1"/>
        <v>40</v>
      </c>
      <c r="C34" s="252">
        <v>30</v>
      </c>
      <c r="D34" s="296" t="str">
        <f>INDEX(Table!E:E,MATCH(E34,Table!F:F,0))</f>
        <v>C</v>
      </c>
      <c r="E34" s="238" t="s">
        <v>527</v>
      </c>
      <c r="F34" s="250">
        <f t="shared" ref="F34:F59" si="10">+N34+Q34+T34+W34+Z34+AC34+AF34+AI34+AL34+AO34+AR34+AU34+AX34+BA34+BD34+BG34+BJ34+BM34+BP34+BS34</f>
        <v>-8.9884848484848447</v>
      </c>
      <c r="G34" s="55">
        <f t="shared" ref="G34:G59" si="11">+O34+R34+U34+X34+AA34+AD34+AG34+AJ34+AM34+AP34+AS34+AV34+AY34+BB34+BE34+BH34+BK34+BN34+BQ34+BT34</f>
        <v>7</v>
      </c>
      <c r="H34" s="668">
        <v>-4.7</v>
      </c>
      <c r="I34" s="669">
        <v>1</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v>-4.7</v>
      </c>
      <c r="AG34" s="248">
        <v>1</v>
      </c>
      <c r="AH34" s="244"/>
      <c r="AI34" s="245"/>
      <c r="AJ34" s="246"/>
      <c r="AK34" s="247"/>
      <c r="AL34" s="242"/>
      <c r="AM34" s="248"/>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-8.9884848484848447</v>
      </c>
      <c r="BW34" s="246">
        <f t="shared" ref="BW34:BW59" si="13">BT34+BQ34+BN34+BK34+BH34+BE34+BB34+AY34+AV34+AS34+AP34+AM34+AJ34+AG34+AD34+AA34+X34+U34+R34+O34</f>
        <v>7</v>
      </c>
      <c r="BX34" s="247">
        <f t="shared" ref="BX34:BX59" si="14">BU34+BR34+BO34+BL34+BI34+BF34+BC34+AZ34+AW34+AT34+AQ34+AN34+AK34+AH34+AE34+AB34+Y34+V34+S34+P34</f>
        <v>5</v>
      </c>
      <c r="BY34" s="49"/>
      <c r="DX34" s="50"/>
      <c r="DY34" s="50"/>
      <c r="EF34" s="47"/>
      <c r="EG34" s="47"/>
    </row>
    <row r="35" spans="1:137">
      <c r="A35" s="252">
        <f t="shared" si="9"/>
        <v>55</v>
      </c>
      <c r="B35" s="252">
        <f t="shared" si="1"/>
        <v>23</v>
      </c>
      <c r="C35" s="252">
        <v>57</v>
      </c>
      <c r="D35" s="296" t="str">
        <f>INDEX(Table!E:E,MATCH(E35,Table!F:F,0))</f>
        <v>B</v>
      </c>
      <c r="E35" s="238" t="s">
        <v>294</v>
      </c>
      <c r="F35" s="250">
        <f t="shared" si="10"/>
        <v>-31.616666666666671</v>
      </c>
      <c r="G35" s="55">
        <f t="shared" si="11"/>
        <v>6</v>
      </c>
      <c r="H35" s="668">
        <v>0.92500000000000071</v>
      </c>
      <c r="I35" s="669">
        <v>2</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v>0.92500000000000071</v>
      </c>
      <c r="AG35" s="248">
        <v>2</v>
      </c>
      <c r="AH35" s="244"/>
      <c r="AI35" s="245"/>
      <c r="AJ35" s="246"/>
      <c r="AK35" s="247"/>
      <c r="AL35" s="242"/>
      <c r="AM35" s="248"/>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-31.616666666666667</v>
      </c>
      <c r="BW35" s="246">
        <f t="shared" si="13"/>
        <v>6</v>
      </c>
      <c r="BX35" s="247">
        <f t="shared" si="14"/>
        <v>0</v>
      </c>
      <c r="BY35" s="49"/>
      <c r="DX35" s="50"/>
      <c r="DY35" s="50"/>
      <c r="EF35" s="47"/>
      <c r="EG35" s="47"/>
    </row>
    <row r="36" spans="1:137">
      <c r="A36" s="252">
        <f t="shared" si="9"/>
        <v>41</v>
      </c>
      <c r="B36" s="252">
        <f t="shared" si="1"/>
        <v>15</v>
      </c>
      <c r="C36" s="252">
        <v>45</v>
      </c>
      <c r="D36" s="296" t="str">
        <f>INDEX(Table!E:E,MATCH(E36,Table!F:F,0))</f>
        <v>A</v>
      </c>
      <c r="E36" s="238" t="s">
        <v>302</v>
      </c>
      <c r="F36" s="250">
        <f t="shared" si="10"/>
        <v>-17.817803030303025</v>
      </c>
      <c r="G36" s="55">
        <f t="shared" si="11"/>
        <v>8</v>
      </c>
      <c r="H36" s="668">
        <v>2.2708333333333339</v>
      </c>
      <c r="I36" s="669">
        <v>2</v>
      </c>
      <c r="J36" s="240">
        <f t="shared" si="7"/>
        <v>0</v>
      </c>
      <c r="K36" s="241"/>
      <c r="L36" s="241">
        <f>INDEX(Table!M:M,MATCH(E36,Table!F:F,0))</f>
        <v>0</v>
      </c>
      <c r="M36" s="240">
        <f t="shared" si="8"/>
        <v>0</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v>2.2708333333333339</v>
      </c>
      <c r="AG36" s="248">
        <v>2</v>
      </c>
      <c r="AH36" s="244"/>
      <c r="AI36" s="245"/>
      <c r="AJ36" s="246"/>
      <c r="AK36" s="247"/>
      <c r="AL36" s="242"/>
      <c r="AM36" s="248"/>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-17.817803030303029</v>
      </c>
      <c r="BW36" s="246">
        <f t="shared" si="13"/>
        <v>8</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17</v>
      </c>
      <c r="B37" s="252">
        <f t="shared" si="1"/>
        <v>24</v>
      </c>
      <c r="C37" s="252">
        <v>14</v>
      </c>
      <c r="D37" s="296" t="str">
        <f>INDEX(Table!E:E,MATCH(E37,Table!F:F,0))</f>
        <v>A</v>
      </c>
      <c r="E37" s="238" t="s">
        <v>290</v>
      </c>
      <c r="F37" s="250">
        <f t="shared" si="10"/>
        <v>15.647779165279163</v>
      </c>
      <c r="G37" s="55">
        <f t="shared" si="11"/>
        <v>16</v>
      </c>
      <c r="H37" s="668">
        <v>0.77500000000000036</v>
      </c>
      <c r="I37" s="669">
        <v>2</v>
      </c>
      <c r="J37" s="240">
        <f t="shared" si="7"/>
        <v>0</v>
      </c>
      <c r="K37" s="241"/>
      <c r="L37" s="241">
        <f>INDEX(Table!M:M,MATCH(E37,Table!F:F,0))</f>
        <v>0</v>
      </c>
      <c r="M37" s="240">
        <f t="shared" si="8"/>
        <v>0</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v>0.77500000000000036</v>
      </c>
      <c r="AG37" s="248">
        <v>2</v>
      </c>
      <c r="AH37" s="244"/>
      <c r="AI37" s="245"/>
      <c r="AJ37" s="246"/>
      <c r="AK37" s="247"/>
      <c r="AL37" s="242"/>
      <c r="AM37" s="248"/>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15.647779165279164</v>
      </c>
      <c r="BW37" s="246">
        <f t="shared" si="13"/>
        <v>16</v>
      </c>
      <c r="BX37" s="247">
        <f t="shared" si="14"/>
        <v>0</v>
      </c>
      <c r="BY37" s="49"/>
      <c r="DX37" s="50"/>
      <c r="DY37" s="50"/>
      <c r="EF37" s="47"/>
      <c r="EG37" s="47"/>
    </row>
    <row r="38" spans="1:137">
      <c r="A38" s="252">
        <f t="shared" si="9"/>
        <v>60</v>
      </c>
      <c r="B38" s="252">
        <f t="shared" si="1"/>
        <v>50</v>
      </c>
      <c r="C38" s="252">
        <v>60</v>
      </c>
      <c r="D38" s="296" t="str">
        <f>INDEX(Table!E:E,MATCH(E38,Table!F:F,0))</f>
        <v>D</v>
      </c>
      <c r="E38" s="238" t="s">
        <v>366</v>
      </c>
      <c r="F38" s="250">
        <f t="shared" si="10"/>
        <v>-49</v>
      </c>
      <c r="G38" s="55">
        <f t="shared" si="11"/>
        <v>0</v>
      </c>
      <c r="H38" s="668">
        <v>-7</v>
      </c>
      <c r="I38" s="669">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v>-7</v>
      </c>
      <c r="AG38" s="248">
        <v>0</v>
      </c>
      <c r="AH38" s="244"/>
      <c r="AI38" s="245"/>
      <c r="AJ38" s="246"/>
      <c r="AK38" s="247"/>
      <c r="AL38" s="242"/>
      <c r="AM38" s="248"/>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-49</v>
      </c>
      <c r="BW38" s="246">
        <f t="shared" si="13"/>
        <v>0</v>
      </c>
      <c r="BX38" s="247">
        <f t="shared" si="14"/>
        <v>0</v>
      </c>
      <c r="BY38" s="49"/>
      <c r="DX38" s="50"/>
      <c r="DY38" s="50"/>
      <c r="EF38" s="47"/>
      <c r="EG38" s="47"/>
    </row>
    <row r="39" spans="1:137">
      <c r="A39" s="252">
        <f t="shared" si="9"/>
        <v>50</v>
      </c>
      <c r="B39" s="252">
        <f t="shared" si="1"/>
        <v>41</v>
      </c>
      <c r="C39" s="252">
        <v>46</v>
      </c>
      <c r="D39" s="296" t="str">
        <f>INDEX(Table!E:E,MATCH(E39,Table!F:F,0))</f>
        <v>B</v>
      </c>
      <c r="E39" s="238" t="s">
        <v>298</v>
      </c>
      <c r="F39" s="250">
        <f t="shared" si="10"/>
        <v>-26.6</v>
      </c>
      <c r="G39" s="55">
        <f t="shared" si="11"/>
        <v>5</v>
      </c>
      <c r="H39" s="668">
        <v>-4.75</v>
      </c>
      <c r="I39" s="669">
        <v>1</v>
      </c>
      <c r="J39" s="240">
        <f t="shared" si="7"/>
        <v>0</v>
      </c>
      <c r="K39" s="241"/>
      <c r="L39" s="241">
        <f>INDEX(Table!M:M,MATCH(E39,Table!F:F,0))</f>
        <v>0</v>
      </c>
      <c r="M39" s="240">
        <f t="shared" si="8"/>
        <v>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v>-4.75</v>
      </c>
      <c r="AG39" s="248">
        <v>1</v>
      </c>
      <c r="AH39" s="244"/>
      <c r="AI39" s="245"/>
      <c r="AJ39" s="246"/>
      <c r="AK39" s="247"/>
      <c r="AL39" s="242"/>
      <c r="AM39" s="248"/>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-26.6</v>
      </c>
      <c r="BW39" s="246">
        <f t="shared" si="13"/>
        <v>5</v>
      </c>
      <c r="BX39" s="247">
        <f t="shared" si="14"/>
        <v>0</v>
      </c>
      <c r="BY39" s="49"/>
      <c r="DX39" s="50"/>
      <c r="DY39" s="50"/>
      <c r="EF39" s="47"/>
      <c r="EG39" s="47"/>
    </row>
    <row r="40" spans="1:137">
      <c r="A40" s="252">
        <f t="shared" si="9"/>
        <v>26</v>
      </c>
      <c r="B40" s="252">
        <f t="shared" si="1"/>
        <v>50</v>
      </c>
      <c r="C40" s="252">
        <v>22</v>
      </c>
      <c r="D40" s="296" t="str">
        <f>INDEX(Table!E:E,MATCH(E40,Table!F:F,0))</f>
        <v>B</v>
      </c>
      <c r="E40" s="238" t="s">
        <v>291</v>
      </c>
      <c r="F40" s="250">
        <f t="shared" si="10"/>
        <v>-2.8674999999999979</v>
      </c>
      <c r="G40" s="55">
        <f t="shared" si="11"/>
        <v>10</v>
      </c>
      <c r="H40" s="668">
        <v>-7</v>
      </c>
      <c r="I40" s="669">
        <v>0</v>
      </c>
      <c r="J40" s="240">
        <f t="shared" si="7"/>
        <v>10</v>
      </c>
      <c r="K40" s="241"/>
      <c r="L40" s="241">
        <f>INDEX(Table!M:M,MATCH(E40,Table!F:F,0))</f>
        <v>0</v>
      </c>
      <c r="M40" s="240">
        <f t="shared" si="8"/>
        <v>10</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v>-7</v>
      </c>
      <c r="AG40" s="248">
        <v>0</v>
      </c>
      <c r="AH40" s="244"/>
      <c r="AI40" s="245"/>
      <c r="AJ40" s="246"/>
      <c r="AK40" s="247"/>
      <c r="AL40" s="242"/>
      <c r="AM40" s="248"/>
      <c r="AN40" s="244"/>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-2.8674999999999988</v>
      </c>
      <c r="BW40" s="246">
        <f t="shared" si="13"/>
        <v>10</v>
      </c>
      <c r="BX40" s="247">
        <f t="shared" si="14"/>
        <v>10</v>
      </c>
      <c r="BY40" s="49"/>
      <c r="DX40" s="50"/>
      <c r="DY40" s="50"/>
      <c r="EF40" s="47"/>
      <c r="EG40" s="47"/>
    </row>
    <row r="41" spans="1:137">
      <c r="A41" s="252">
        <f t="shared" si="9"/>
        <v>54</v>
      </c>
      <c r="B41" s="252">
        <f t="shared" si="1"/>
        <v>28</v>
      </c>
      <c r="C41" s="252">
        <v>54</v>
      </c>
      <c r="D41" s="296" t="str">
        <f>INDEX(Table!E:E,MATCH(E41,Table!F:F,0))</f>
        <v>C</v>
      </c>
      <c r="E41" s="238" t="s">
        <v>286</v>
      </c>
      <c r="F41" s="250">
        <f t="shared" si="10"/>
        <v>-30.274999999999999</v>
      </c>
      <c r="G41" s="55">
        <f t="shared" si="11"/>
        <v>7</v>
      </c>
      <c r="H41" s="668">
        <v>-0.91666666666666607</v>
      </c>
      <c r="I41" s="669">
        <v>2</v>
      </c>
      <c r="J41" s="240">
        <f t="shared" si="7"/>
        <v>0</v>
      </c>
      <c r="K41" s="241"/>
      <c r="L41" s="241">
        <f>INDEX(Table!M:M,MATCH(E41,Table!F:F,0))</f>
        <v>0</v>
      </c>
      <c r="M41" s="240">
        <f t="shared" si="8"/>
        <v>0</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v>-0.91666666666666607</v>
      </c>
      <c r="AG41" s="248">
        <v>2</v>
      </c>
      <c r="AH41" s="244"/>
      <c r="AI41" s="245"/>
      <c r="AJ41" s="246"/>
      <c r="AK41" s="247"/>
      <c r="AL41" s="242"/>
      <c r="AM41" s="248"/>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-30.275000000000002</v>
      </c>
      <c r="BW41" s="246">
        <f t="shared" si="13"/>
        <v>7</v>
      </c>
      <c r="BX41" s="247">
        <f t="shared" si="14"/>
        <v>0</v>
      </c>
      <c r="BY41" s="49"/>
      <c r="DX41" s="50"/>
      <c r="DY41" s="50"/>
      <c r="EF41" s="47"/>
      <c r="EG41" s="47"/>
    </row>
    <row r="42" spans="1:137">
      <c r="A42" s="252">
        <f t="shared" si="9"/>
        <v>11</v>
      </c>
      <c r="B42" s="252">
        <f t="shared" si="1"/>
        <v>5</v>
      </c>
      <c r="C42" s="252">
        <v>16</v>
      </c>
      <c r="D42" s="296" t="str">
        <f>INDEX(Table!E:E,MATCH(E42,Table!F:F,0))</f>
        <v>A</v>
      </c>
      <c r="E42" s="238" t="s">
        <v>285</v>
      </c>
      <c r="F42" s="250">
        <f t="shared" si="10"/>
        <v>29.186257329971617</v>
      </c>
      <c r="G42" s="55">
        <f t="shared" si="11"/>
        <v>16</v>
      </c>
      <c r="H42" s="668">
        <v>17.963636363636361</v>
      </c>
      <c r="I42" s="669">
        <v>3</v>
      </c>
      <c r="J42" s="240">
        <f t="shared" si="7"/>
        <v>5</v>
      </c>
      <c r="K42" s="241"/>
      <c r="L42" s="241">
        <f>INDEX(Table!M:M,MATCH(E42,Table!F:F,0))</f>
        <v>9.0449999999999999</v>
      </c>
      <c r="M42" s="240">
        <f t="shared" si="8"/>
        <v>14.045</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v>17.963636363636361</v>
      </c>
      <c r="AG42" s="248">
        <v>3</v>
      </c>
      <c r="AH42" s="244"/>
      <c r="AI42" s="245"/>
      <c r="AJ42" s="246"/>
      <c r="AK42" s="247"/>
      <c r="AL42" s="242"/>
      <c r="AM42" s="248"/>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29.186257329971614</v>
      </c>
      <c r="BW42" s="246">
        <f t="shared" si="13"/>
        <v>16</v>
      </c>
      <c r="BX42" s="247">
        <f t="shared" si="14"/>
        <v>5</v>
      </c>
      <c r="BY42" s="49"/>
      <c r="DX42" s="50"/>
      <c r="DY42" s="50"/>
      <c r="EF42" s="47"/>
      <c r="EG42" s="47"/>
    </row>
    <row r="43" spans="1:137">
      <c r="A43" s="252">
        <f t="shared" si="9"/>
        <v>21</v>
      </c>
      <c r="B43" s="252">
        <f t="shared" si="1"/>
        <v>44</v>
      </c>
      <c r="C43" s="252">
        <v>20</v>
      </c>
      <c r="D43" s="296" t="str">
        <f>INDEX(Table!E:E,MATCH(E43,Table!F:F,0))</f>
        <v>C</v>
      </c>
      <c r="E43" s="238" t="s">
        <v>374</v>
      </c>
      <c r="F43" s="250">
        <f t="shared" si="10"/>
        <v>1.3868298368298397</v>
      </c>
      <c r="G43" s="55">
        <f t="shared" si="11"/>
        <v>12</v>
      </c>
      <c r="H43" s="668">
        <v>-4.8499999999999996</v>
      </c>
      <c r="I43" s="669">
        <v>1</v>
      </c>
      <c r="J43" s="240">
        <f t="shared" si="7"/>
        <v>5</v>
      </c>
      <c r="K43" s="241"/>
      <c r="L43" s="241">
        <f>INDEX(Table!M:M,MATCH(E43,Table!F:F,0))</f>
        <v>7.0350000000000001</v>
      </c>
      <c r="M43" s="240">
        <f t="shared" si="8"/>
        <v>12.035</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v>-4.8499999999999996</v>
      </c>
      <c r="AG43" s="248">
        <v>1</v>
      </c>
      <c r="AH43" s="244"/>
      <c r="AI43" s="245"/>
      <c r="AJ43" s="246"/>
      <c r="AK43" s="247"/>
      <c r="AL43" s="242"/>
      <c r="AM43" s="248"/>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1.3868298368298388</v>
      </c>
      <c r="BW43" s="246">
        <f t="shared" si="13"/>
        <v>12</v>
      </c>
      <c r="BX43" s="247">
        <f t="shared" si="14"/>
        <v>5</v>
      </c>
      <c r="BY43" s="49"/>
      <c r="DX43" s="50"/>
      <c r="DY43" s="50"/>
      <c r="EF43" s="47"/>
      <c r="EG43" s="47"/>
    </row>
    <row r="44" spans="1:137">
      <c r="A44" s="252">
        <f t="shared" si="9"/>
        <v>5</v>
      </c>
      <c r="B44" s="252">
        <f t="shared" si="1"/>
        <v>4</v>
      </c>
      <c r="C44" s="252">
        <v>12</v>
      </c>
      <c r="D44" s="296" t="str">
        <f>INDEX(Table!E:E,MATCH(E44,Table!F:F,0))</f>
        <v>A</v>
      </c>
      <c r="E44" s="238" t="s">
        <v>295</v>
      </c>
      <c r="F44" s="250">
        <f t="shared" si="10"/>
        <v>49.919659090909093</v>
      </c>
      <c r="G44" s="55">
        <f t="shared" si="11"/>
        <v>12</v>
      </c>
      <c r="H44" s="668">
        <v>24.40625</v>
      </c>
      <c r="I44" s="669">
        <v>3</v>
      </c>
      <c r="J44" s="240">
        <f t="shared" si="7"/>
        <v>10</v>
      </c>
      <c r="K44" s="241"/>
      <c r="L44" s="241">
        <f>INDEX(Table!M:M,MATCH(E44,Table!F:F,0))</f>
        <v>54.27</v>
      </c>
      <c r="M44" s="240">
        <f t="shared" si="8"/>
        <v>64.27000000000001</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v>24.40625</v>
      </c>
      <c r="AG44" s="248">
        <v>3</v>
      </c>
      <c r="AH44" s="244">
        <v>5</v>
      </c>
      <c r="AI44" s="245"/>
      <c r="AJ44" s="246"/>
      <c r="AK44" s="247"/>
      <c r="AL44" s="242"/>
      <c r="AM44" s="248"/>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49.919659090909093</v>
      </c>
      <c r="BW44" s="246">
        <f t="shared" si="13"/>
        <v>12</v>
      </c>
      <c r="BX44" s="247">
        <f t="shared" si="14"/>
        <v>10</v>
      </c>
      <c r="BY44" s="49"/>
      <c r="DX44" s="50"/>
      <c r="DY44" s="50"/>
      <c r="EF44" s="47"/>
      <c r="EG44" s="47"/>
    </row>
    <row r="45" spans="1:137">
      <c r="A45" s="252">
        <f t="shared" si="9"/>
        <v>20</v>
      </c>
      <c r="B45" s="252">
        <f t="shared" si="1"/>
        <v>50</v>
      </c>
      <c r="C45" s="252">
        <v>18</v>
      </c>
      <c r="D45" s="296" t="str">
        <f>INDEX(Table!E:E,MATCH(E45,Table!F:F,0))</f>
        <v>A</v>
      </c>
      <c r="E45" s="238" t="s">
        <v>309</v>
      </c>
      <c r="F45" s="250">
        <f t="shared" si="10"/>
        <v>1.4071969696969724</v>
      </c>
      <c r="G45" s="55">
        <f t="shared" si="11"/>
        <v>11</v>
      </c>
      <c r="H45" s="668">
        <v>-7</v>
      </c>
      <c r="I45" s="669">
        <v>0</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v>-7</v>
      </c>
      <c r="AG45" s="248">
        <v>0</v>
      </c>
      <c r="AH45" s="244"/>
      <c r="AI45" s="245"/>
      <c r="AJ45" s="246"/>
      <c r="AK45" s="247"/>
      <c r="AL45" s="242"/>
      <c r="AM45" s="248"/>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1.4071969696969724</v>
      </c>
      <c r="BW45" s="246">
        <f t="shared" si="13"/>
        <v>11</v>
      </c>
      <c r="BX45" s="247">
        <f t="shared" si="14"/>
        <v>0</v>
      </c>
      <c r="BY45" s="49"/>
      <c r="DX45" s="50"/>
      <c r="DY45" s="50"/>
      <c r="EF45" s="47"/>
      <c r="EG45" s="47"/>
    </row>
    <row r="46" spans="1:137">
      <c r="A46" s="252">
        <f t="shared" si="9"/>
        <v>34</v>
      </c>
      <c r="B46" s="252">
        <f t="shared" si="1"/>
        <v>50</v>
      </c>
      <c r="C46" s="252">
        <v>29</v>
      </c>
      <c r="D46" s="296" t="str">
        <f>INDEX(Table!E:E,MATCH(E46,Table!F:F,0))</f>
        <v>B</v>
      </c>
      <c r="E46" s="238" t="s">
        <v>373</v>
      </c>
      <c r="F46" s="250">
        <f t="shared" si="10"/>
        <v>-10.074242424242424</v>
      </c>
      <c r="G46" s="55">
        <f t="shared" si="11"/>
        <v>7</v>
      </c>
      <c r="H46" s="668">
        <v>-7</v>
      </c>
      <c r="I46" s="669">
        <v>0</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v>-7</v>
      </c>
      <c r="AG46" s="248">
        <v>0</v>
      </c>
      <c r="AH46" s="244"/>
      <c r="AI46" s="245"/>
      <c r="AJ46" s="246"/>
      <c r="AK46" s="247"/>
      <c r="AL46" s="242"/>
      <c r="AM46" s="248"/>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-10.074242424242424</v>
      </c>
      <c r="BW46" s="246">
        <f t="shared" si="13"/>
        <v>7</v>
      </c>
      <c r="BX46" s="247">
        <f t="shared" si="14"/>
        <v>5</v>
      </c>
      <c r="BY46" s="49"/>
      <c r="DX46" s="50"/>
      <c r="DY46" s="50"/>
      <c r="EF46" s="47"/>
      <c r="EG46" s="47"/>
    </row>
    <row r="47" spans="1:137">
      <c r="A47" s="252">
        <f t="shared" si="9"/>
        <v>23</v>
      </c>
      <c r="B47" s="252">
        <f t="shared" si="1"/>
        <v>20</v>
      </c>
      <c r="C47" s="252">
        <v>27</v>
      </c>
      <c r="D47" s="296" t="str">
        <f>INDEX(Table!E:E,MATCH(E47,Table!F:F,0))</f>
        <v>B</v>
      </c>
      <c r="E47" s="238" t="s">
        <v>308</v>
      </c>
      <c r="F47" s="250">
        <f t="shared" si="10"/>
        <v>5.1136363636379301E-3</v>
      </c>
      <c r="G47" s="55">
        <f t="shared" si="11"/>
        <v>12</v>
      </c>
      <c r="H47" s="668">
        <v>1.454545454545455</v>
      </c>
      <c r="I47" s="669">
        <v>2</v>
      </c>
      <c r="J47" s="240">
        <f t="shared" si="7"/>
        <v>5</v>
      </c>
      <c r="K47" s="241"/>
      <c r="L47" s="241">
        <f>INDEX(Table!M:M,MATCH(E47,Table!F:F,0))</f>
        <v>0</v>
      </c>
      <c r="M47" s="240">
        <f t="shared" si="8"/>
        <v>5</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v>1.454545454545455</v>
      </c>
      <c r="AG47" s="248">
        <v>2</v>
      </c>
      <c r="AH47" s="244"/>
      <c r="AI47" s="245"/>
      <c r="AJ47" s="246"/>
      <c r="AK47" s="247"/>
      <c r="AL47" s="242"/>
      <c r="AM47" s="248"/>
      <c r="AN47" s="244"/>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5.1136363636379301E-3</v>
      </c>
      <c r="BW47" s="246">
        <f t="shared" si="13"/>
        <v>12</v>
      </c>
      <c r="BX47" s="247">
        <f t="shared" si="14"/>
        <v>5</v>
      </c>
      <c r="BY47" s="49"/>
      <c r="DX47" s="50"/>
      <c r="DY47" s="50"/>
      <c r="EF47" s="47"/>
      <c r="EG47" s="47"/>
    </row>
    <row r="48" spans="1:137">
      <c r="A48" s="252">
        <f t="shared" si="9"/>
        <v>57</v>
      </c>
      <c r="B48" s="252">
        <f t="shared" si="1"/>
        <v>26</v>
      </c>
      <c r="C48" s="252">
        <v>58</v>
      </c>
      <c r="D48" s="296" t="str">
        <f>INDEX(Table!E:E,MATCH(E48,Table!F:F,0))</f>
        <v>D</v>
      </c>
      <c r="E48" s="238" t="s">
        <v>289</v>
      </c>
      <c r="F48" s="250">
        <f t="shared" si="10"/>
        <v>-33.540909090909089</v>
      </c>
      <c r="G48" s="55">
        <f t="shared" si="11"/>
        <v>6</v>
      </c>
      <c r="H48" s="668">
        <v>0.2424242424242431</v>
      </c>
      <c r="I48" s="669">
        <v>2</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v>0.2424242424242431</v>
      </c>
      <c r="AG48" s="248">
        <v>2</v>
      </c>
      <c r="AH48" s="244"/>
      <c r="AI48" s="245"/>
      <c r="AJ48" s="246"/>
      <c r="AK48" s="247"/>
      <c r="AL48" s="242"/>
      <c r="AM48" s="248"/>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-33.540909090909089</v>
      </c>
      <c r="BW48" s="246">
        <f t="shared" si="13"/>
        <v>6</v>
      </c>
      <c r="BX48" s="247">
        <f t="shared" si="14"/>
        <v>0</v>
      </c>
      <c r="BY48" s="49"/>
      <c r="DX48" s="50"/>
      <c r="DY48" s="50"/>
      <c r="EF48" s="47"/>
      <c r="EG48" s="47"/>
    </row>
    <row r="49" spans="1:137" ht="12" customHeight="1">
      <c r="A49" s="252">
        <f t="shared" si="9"/>
        <v>18</v>
      </c>
      <c r="B49" s="252">
        <f t="shared" si="1"/>
        <v>9</v>
      </c>
      <c r="C49" s="252">
        <v>23</v>
      </c>
      <c r="D49" s="296" t="str">
        <f>INDEX(Table!E:E,MATCH(E49,Table!F:F,0))</f>
        <v>B</v>
      </c>
      <c r="E49" s="238" t="s">
        <v>279</v>
      </c>
      <c r="F49" s="250">
        <f t="shared" si="10"/>
        <v>12.720714285714283</v>
      </c>
      <c r="G49" s="55">
        <f t="shared" si="11"/>
        <v>10</v>
      </c>
      <c r="H49" s="668">
        <v>10.059999999999999</v>
      </c>
      <c r="I49" s="669">
        <v>2</v>
      </c>
      <c r="J49" s="240">
        <f t="shared" si="7"/>
        <v>5</v>
      </c>
      <c r="K49" s="241"/>
      <c r="L49" s="241">
        <f>INDEX(Table!M:M,MATCH(E49,Table!F:F,0))</f>
        <v>6.03</v>
      </c>
      <c r="M49" s="240">
        <f t="shared" si="8"/>
        <v>11.030000000000001</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v>10.059999999999999</v>
      </c>
      <c r="AG49" s="248">
        <v>2</v>
      </c>
      <c r="AH49" s="244"/>
      <c r="AI49" s="245"/>
      <c r="AJ49" s="246"/>
      <c r="AK49" s="247"/>
      <c r="AL49" s="242"/>
      <c r="AM49" s="248"/>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12.720714285714283</v>
      </c>
      <c r="BW49" s="246">
        <f t="shared" si="13"/>
        <v>10</v>
      </c>
      <c r="BX49" s="247">
        <f t="shared" si="14"/>
        <v>5</v>
      </c>
      <c r="BY49" s="49"/>
      <c r="DX49" s="50"/>
      <c r="DY49" s="50"/>
      <c r="EF49" s="47"/>
      <c r="EG49" s="47"/>
    </row>
    <row r="50" spans="1:137">
      <c r="A50" s="252">
        <f t="shared" si="9"/>
        <v>40</v>
      </c>
      <c r="B50" s="252">
        <f t="shared" si="1"/>
        <v>17</v>
      </c>
      <c r="C50" s="252">
        <v>43</v>
      </c>
      <c r="D50" s="296" t="str">
        <f>INDEX(Table!E:E,MATCH(E50,Table!F:F,0))</f>
        <v>D</v>
      </c>
      <c r="E50" s="238" t="s">
        <v>300</v>
      </c>
      <c r="F50" s="250">
        <f t="shared" si="10"/>
        <v>-16.001249999999999</v>
      </c>
      <c r="G50" s="55">
        <f t="shared" si="11"/>
        <v>8</v>
      </c>
      <c r="H50" s="668">
        <v>1.96875</v>
      </c>
      <c r="I50" s="669">
        <v>2</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v>1.96875</v>
      </c>
      <c r="AG50" s="248">
        <v>2</v>
      </c>
      <c r="AH50" s="244"/>
      <c r="AI50" s="245"/>
      <c r="AJ50" s="246"/>
      <c r="AK50" s="247"/>
      <c r="AL50" s="242"/>
      <c r="AM50" s="248"/>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-16.001249999999999</v>
      </c>
      <c r="BW50" s="246">
        <f t="shared" si="13"/>
        <v>8</v>
      </c>
      <c r="BX50" s="247">
        <f t="shared" si="14"/>
        <v>0</v>
      </c>
      <c r="BY50" s="49"/>
      <c r="DX50" s="50"/>
      <c r="DY50" s="50"/>
      <c r="EF50" s="47"/>
      <c r="EG50" s="47"/>
    </row>
    <row r="51" spans="1:137">
      <c r="A51" s="252">
        <f t="shared" si="9"/>
        <v>52</v>
      </c>
      <c r="B51" s="252">
        <f t="shared" si="1"/>
        <v>30</v>
      </c>
      <c r="C51" s="252">
        <v>53</v>
      </c>
      <c r="D51" s="296" t="str">
        <f>INDEX(Table!E:E,MATCH(E51,Table!F:F,0))</f>
        <v>D</v>
      </c>
      <c r="E51" s="238" t="s">
        <v>566</v>
      </c>
      <c r="F51" s="250">
        <f t="shared" si="10"/>
        <v>-29.85</v>
      </c>
      <c r="G51" s="55">
        <f t="shared" si="11"/>
        <v>5</v>
      </c>
      <c r="H51" s="668">
        <v>-1.25</v>
      </c>
      <c r="I51" s="669">
        <v>2</v>
      </c>
      <c r="J51" s="240">
        <f t="shared" si="7"/>
        <v>0</v>
      </c>
      <c r="K51" s="241"/>
      <c r="L51" s="241">
        <f>INDEX(Table!M:M,MATCH(E51,Table!F:F,0))</f>
        <v>0</v>
      </c>
      <c r="M51" s="240">
        <f t="shared" si="8"/>
        <v>0</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v>-1.25</v>
      </c>
      <c r="AG51" s="248">
        <v>2</v>
      </c>
      <c r="AH51" s="244"/>
      <c r="AI51" s="245"/>
      <c r="AJ51" s="246"/>
      <c r="AK51" s="247"/>
      <c r="AL51" s="242"/>
      <c r="AM51" s="248"/>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-29.85</v>
      </c>
      <c r="BW51" s="246">
        <f t="shared" si="13"/>
        <v>5</v>
      </c>
      <c r="BX51" s="247">
        <f t="shared" si="14"/>
        <v>0</v>
      </c>
      <c r="BY51" s="49"/>
      <c r="DX51" s="50"/>
      <c r="DY51" s="50"/>
      <c r="EF51" s="47"/>
      <c r="EG51" s="47"/>
    </row>
    <row r="52" spans="1:137">
      <c r="A52" s="252">
        <f t="shared" si="9"/>
        <v>16</v>
      </c>
      <c r="B52" s="252">
        <f t="shared" si="1"/>
        <v>12</v>
      </c>
      <c r="C52" s="252">
        <v>15</v>
      </c>
      <c r="D52" s="296" t="str">
        <f>INDEX(Table!E:E,MATCH(E52,Table!F:F,0))</f>
        <v>A</v>
      </c>
      <c r="E52" s="238" t="s">
        <v>304</v>
      </c>
      <c r="F52" s="250">
        <f t="shared" si="10"/>
        <v>18.33636363636364</v>
      </c>
      <c r="G52" s="55">
        <f t="shared" si="11"/>
        <v>10</v>
      </c>
      <c r="H52" s="668">
        <v>3.6363636363636367</v>
      </c>
      <c r="I52" s="669">
        <v>2</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v>3.6363636363636367</v>
      </c>
      <c r="AG52" s="248">
        <v>2</v>
      </c>
      <c r="AH52" s="244"/>
      <c r="AI52" s="245"/>
      <c r="AJ52" s="246"/>
      <c r="AK52" s="247"/>
      <c r="AL52" s="242"/>
      <c r="AM52" s="248"/>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18.33636363636364</v>
      </c>
      <c r="BW52" s="246">
        <f t="shared" si="13"/>
        <v>10</v>
      </c>
      <c r="BX52" s="247">
        <f t="shared" si="14"/>
        <v>0</v>
      </c>
      <c r="BY52" s="49"/>
      <c r="DX52" s="50"/>
      <c r="DY52" s="50"/>
      <c r="EF52" s="47"/>
      <c r="EG52" s="47"/>
    </row>
    <row r="53" spans="1:137">
      <c r="A53" s="252">
        <f t="shared" si="9"/>
        <v>42</v>
      </c>
      <c r="B53" s="252">
        <f t="shared" si="1"/>
        <v>25</v>
      </c>
      <c r="C53" s="252">
        <v>44</v>
      </c>
      <c r="D53" s="296" t="str">
        <f>INDEX(Table!E:E,MATCH(E53,Table!F:F,0))</f>
        <v>A</v>
      </c>
      <c r="E53" s="238" t="s">
        <v>283</v>
      </c>
      <c r="F53" s="250">
        <f t="shared" si="10"/>
        <v>-17.825919913419909</v>
      </c>
      <c r="G53" s="55">
        <f t="shared" si="11"/>
        <v>10</v>
      </c>
      <c r="H53" s="668">
        <v>0.4375</v>
      </c>
      <c r="I53" s="669">
        <v>2</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v>0.4375</v>
      </c>
      <c r="AG53" s="248">
        <v>2</v>
      </c>
      <c r="AH53" s="244"/>
      <c r="AI53" s="245"/>
      <c r="AJ53" s="246"/>
      <c r="AK53" s="247"/>
      <c r="AL53" s="242"/>
      <c r="AM53" s="248"/>
      <c r="AN53" s="244"/>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-17.825919913419916</v>
      </c>
      <c r="BW53" s="246">
        <f t="shared" si="13"/>
        <v>10</v>
      </c>
      <c r="BX53" s="247">
        <f t="shared" si="14"/>
        <v>0</v>
      </c>
      <c r="BY53" s="49"/>
      <c r="DX53" s="50"/>
      <c r="DY53" s="50"/>
      <c r="EF53" s="47"/>
      <c r="EG53" s="47"/>
    </row>
    <row r="54" spans="1:137">
      <c r="A54" s="252">
        <f t="shared" si="9"/>
        <v>3</v>
      </c>
      <c r="B54" s="252">
        <f t="shared" si="1"/>
        <v>1</v>
      </c>
      <c r="C54" s="252">
        <v>4</v>
      </c>
      <c r="D54" s="296" t="str">
        <f>INDEX(Table!E:E,MATCH(E54,Table!F:F,0))</f>
        <v>A</v>
      </c>
      <c r="E54" s="238" t="s">
        <v>312</v>
      </c>
      <c r="F54" s="250">
        <f t="shared" si="10"/>
        <v>108.20457954545455</v>
      </c>
      <c r="G54" s="55">
        <f t="shared" si="11"/>
        <v>10</v>
      </c>
      <c r="H54" s="668">
        <v>50.453125</v>
      </c>
      <c r="I54" s="669">
        <v>3</v>
      </c>
      <c r="J54" s="240">
        <f t="shared" si="7"/>
        <v>15</v>
      </c>
      <c r="K54" s="241"/>
      <c r="L54" s="241">
        <f>INDEX(Table!M:M,MATCH(E54,Table!F:F,0))</f>
        <v>105.52500000000001</v>
      </c>
      <c r="M54" s="240">
        <f t="shared" si="8"/>
        <v>120.52500000000001</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v>50.453125</v>
      </c>
      <c r="AG54" s="248">
        <v>3</v>
      </c>
      <c r="AH54" s="244">
        <v>10</v>
      </c>
      <c r="AI54" s="245"/>
      <c r="AJ54" s="246"/>
      <c r="AK54" s="247"/>
      <c r="AL54" s="242"/>
      <c r="AM54" s="248"/>
      <c r="AN54" s="244"/>
      <c r="AO54" s="245"/>
      <c r="AP54" s="246"/>
      <c r="AQ54" s="247"/>
      <c r="AR54" s="242"/>
      <c r="AS54" s="248"/>
      <c r="AT54" s="244"/>
      <c r="AU54" s="245"/>
      <c r="AV54" s="246"/>
      <c r="AW54" s="247"/>
      <c r="AX54" s="242"/>
      <c r="AY54" s="248"/>
      <c r="AZ54" s="244"/>
      <c r="BA54" s="245"/>
      <c r="BB54" s="246"/>
      <c r="BC54" s="247"/>
      <c r="BD54" s="242"/>
      <c r="BE54" s="248"/>
      <c r="BF54" s="244"/>
      <c r="BG54" s="245"/>
      <c r="BH54" s="249"/>
      <c r="BI54" s="247"/>
      <c r="BJ54" s="242"/>
      <c r="BK54" s="248"/>
      <c r="BL54" s="244"/>
      <c r="BM54" s="245"/>
      <c r="BN54" s="249"/>
      <c r="BO54" s="247"/>
      <c r="BP54" s="242"/>
      <c r="BQ54" s="248"/>
      <c r="BR54" s="244"/>
      <c r="BS54" s="245"/>
      <c r="BT54" s="246"/>
      <c r="BU54" s="247"/>
      <c r="BV54" s="245">
        <f t="shared" si="12"/>
        <v>108.20457954545455</v>
      </c>
      <c r="BW54" s="246">
        <f t="shared" si="13"/>
        <v>10</v>
      </c>
      <c r="BX54" s="247">
        <f t="shared" si="14"/>
        <v>15</v>
      </c>
      <c r="BY54" s="49"/>
      <c r="DX54" s="50"/>
      <c r="DY54" s="50"/>
      <c r="EF54" s="47"/>
      <c r="EG54" s="47"/>
    </row>
    <row r="55" spans="1:137">
      <c r="A55" s="252">
        <f t="shared" si="9"/>
        <v>22</v>
      </c>
      <c r="B55" s="252">
        <f t="shared" si="1"/>
        <v>50</v>
      </c>
      <c r="C55" s="252">
        <v>19</v>
      </c>
      <c r="D55" s="296" t="str">
        <f>INDEX(Table!E:E,MATCH(E55,Table!F:F,0))</f>
        <v>C</v>
      </c>
      <c r="E55" s="238" t="s">
        <v>315</v>
      </c>
      <c r="F55" s="250">
        <f t="shared" si="10"/>
        <v>0.9261760461760522</v>
      </c>
      <c r="G55" s="55">
        <f t="shared" si="11"/>
        <v>10</v>
      </c>
      <c r="H55" s="668">
        <v>-7</v>
      </c>
      <c r="I55" s="669">
        <v>0</v>
      </c>
      <c r="J55" s="240">
        <f t="shared" si="7"/>
        <v>5</v>
      </c>
      <c r="K55" s="241"/>
      <c r="L55" s="241">
        <f>INDEX(Table!M:M,MATCH(E55,Table!F:F,0))</f>
        <v>3.0150000000000001</v>
      </c>
      <c r="M55" s="240">
        <f t="shared" si="8"/>
        <v>8.0150000000000006</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v>-7</v>
      </c>
      <c r="AG55" s="248">
        <v>0</v>
      </c>
      <c r="AH55" s="244"/>
      <c r="AI55" s="245"/>
      <c r="AJ55" s="246"/>
      <c r="AK55" s="247"/>
      <c r="AL55" s="242"/>
      <c r="AM55" s="248"/>
      <c r="AN55" s="244"/>
      <c r="AO55" s="245"/>
      <c r="AP55" s="246"/>
      <c r="AQ55" s="247"/>
      <c r="AR55" s="242"/>
      <c r="AS55" s="248"/>
      <c r="AT55" s="244"/>
      <c r="AU55" s="245"/>
      <c r="AV55" s="246"/>
      <c r="AW55" s="247"/>
      <c r="AX55" s="242"/>
      <c r="AY55" s="248"/>
      <c r="AZ55" s="244"/>
      <c r="BA55" s="245"/>
      <c r="BB55" s="246"/>
      <c r="BC55" s="247"/>
      <c r="BD55" s="242"/>
      <c r="BE55" s="248"/>
      <c r="BF55" s="244"/>
      <c r="BG55" s="245"/>
      <c r="BH55" s="249"/>
      <c r="BI55" s="247"/>
      <c r="BJ55" s="242"/>
      <c r="BK55" s="248"/>
      <c r="BL55" s="244"/>
      <c r="BM55" s="245"/>
      <c r="BN55" s="249"/>
      <c r="BO55" s="247"/>
      <c r="BP55" s="242"/>
      <c r="BQ55" s="248"/>
      <c r="BR55" s="244"/>
      <c r="BS55" s="245"/>
      <c r="BT55" s="246"/>
      <c r="BU55" s="247"/>
      <c r="BV55" s="245">
        <f t="shared" si="12"/>
        <v>0.92617604617605132</v>
      </c>
      <c r="BW55" s="246">
        <f t="shared" si="13"/>
        <v>10</v>
      </c>
      <c r="BX55" s="247">
        <f t="shared" si="14"/>
        <v>5</v>
      </c>
      <c r="BY55" s="49"/>
      <c r="DX55" s="50"/>
      <c r="DY55" s="50"/>
      <c r="EF55" s="47"/>
      <c r="EG55" s="47"/>
    </row>
    <row r="56" spans="1:137">
      <c r="A56" s="252">
        <f t="shared" si="9"/>
        <v>51</v>
      </c>
      <c r="B56" s="252">
        <f t="shared" si="1"/>
        <v>49</v>
      </c>
      <c r="C56" s="252">
        <v>48</v>
      </c>
      <c r="D56" s="296" t="str">
        <f>INDEX(Table!E:E,MATCH(E56,Table!F:F,0))</f>
        <v>B</v>
      </c>
      <c r="E56" s="238" t="s">
        <v>303</v>
      </c>
      <c r="F56" s="250">
        <f t="shared" si="10"/>
        <v>-28.694391164391167</v>
      </c>
      <c r="G56" s="55">
        <f t="shared" si="11"/>
        <v>9</v>
      </c>
      <c r="H56" s="668">
        <v>-5.7777777777777777</v>
      </c>
      <c r="I56" s="669">
        <v>1</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v>-5.7777777777777777</v>
      </c>
      <c r="AG56" s="248">
        <v>1</v>
      </c>
      <c r="AH56" s="244"/>
      <c r="AI56" s="245"/>
      <c r="AJ56" s="246"/>
      <c r="AK56" s="247"/>
      <c r="AL56" s="242"/>
      <c r="AM56" s="248"/>
      <c r="AN56" s="244"/>
      <c r="AO56" s="245"/>
      <c r="AP56" s="246"/>
      <c r="AQ56" s="247"/>
      <c r="AR56" s="242"/>
      <c r="AS56" s="248"/>
      <c r="AT56" s="244"/>
      <c r="AU56" s="245"/>
      <c r="AV56" s="246"/>
      <c r="AW56" s="247"/>
      <c r="AX56" s="242"/>
      <c r="AY56" s="248"/>
      <c r="AZ56" s="244"/>
      <c r="BA56" s="245"/>
      <c r="BB56" s="246"/>
      <c r="BC56" s="247"/>
      <c r="BD56" s="242"/>
      <c r="BE56" s="248"/>
      <c r="BF56" s="244"/>
      <c r="BG56" s="245"/>
      <c r="BH56" s="249"/>
      <c r="BI56" s="247"/>
      <c r="BJ56" s="242"/>
      <c r="BK56" s="248"/>
      <c r="BL56" s="244"/>
      <c r="BM56" s="245"/>
      <c r="BN56" s="249"/>
      <c r="BO56" s="247"/>
      <c r="BP56" s="242"/>
      <c r="BQ56" s="248"/>
      <c r="BR56" s="244"/>
      <c r="BS56" s="245"/>
      <c r="BT56" s="246"/>
      <c r="BU56" s="247"/>
      <c r="BV56" s="245">
        <f t="shared" si="12"/>
        <v>-28.694391164391163</v>
      </c>
      <c r="BW56" s="246">
        <f t="shared" si="13"/>
        <v>9</v>
      </c>
      <c r="BX56" s="247">
        <f t="shared" si="14"/>
        <v>0</v>
      </c>
      <c r="BY56" s="49"/>
      <c r="DX56" s="50"/>
      <c r="DY56" s="50"/>
      <c r="EF56" s="47"/>
      <c r="EG56" s="47"/>
    </row>
    <row r="57" spans="1:137">
      <c r="A57" s="252">
        <f t="shared" si="9"/>
        <v>6</v>
      </c>
      <c r="B57" s="252">
        <f t="shared" si="1"/>
        <v>11</v>
      </c>
      <c r="C57" s="252">
        <v>5</v>
      </c>
      <c r="D57" s="296" t="str">
        <f>INDEX(Table!E:E,MATCH(E57,Table!F:F,0))</f>
        <v>C</v>
      </c>
      <c r="E57" s="238" t="s">
        <v>288</v>
      </c>
      <c r="F57" s="250">
        <f t="shared" si="10"/>
        <v>44.762</v>
      </c>
      <c r="G57" s="55">
        <f t="shared" si="11"/>
        <v>8</v>
      </c>
      <c r="H57" s="668">
        <v>5.5</v>
      </c>
      <c r="I57" s="669">
        <v>2</v>
      </c>
      <c r="J57" s="240">
        <f t="shared" si="7"/>
        <v>5</v>
      </c>
      <c r="K57" s="241"/>
      <c r="L57" s="241">
        <f>INDEX(Table!M:M,MATCH(E57,Table!F:F,0))</f>
        <v>35.174999999999997</v>
      </c>
      <c r="M57" s="240">
        <f t="shared" si="8"/>
        <v>40.174999999999997</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v>5.5</v>
      </c>
      <c r="AG57" s="248">
        <v>2</v>
      </c>
      <c r="AH57" s="244"/>
      <c r="AI57" s="245"/>
      <c r="AJ57" s="246"/>
      <c r="AK57" s="247"/>
      <c r="AL57" s="242"/>
      <c r="AM57" s="248"/>
      <c r="AN57" s="244"/>
      <c r="AO57" s="245"/>
      <c r="AP57" s="246"/>
      <c r="AQ57" s="247"/>
      <c r="AR57" s="242"/>
      <c r="AS57" s="248"/>
      <c r="AT57" s="244"/>
      <c r="AU57" s="245"/>
      <c r="AV57" s="246"/>
      <c r="AW57" s="247"/>
      <c r="AX57" s="242"/>
      <c r="AY57" s="248"/>
      <c r="AZ57" s="244"/>
      <c r="BA57" s="245"/>
      <c r="BB57" s="246"/>
      <c r="BC57" s="247"/>
      <c r="BD57" s="242"/>
      <c r="BE57" s="248"/>
      <c r="BF57" s="244"/>
      <c r="BG57" s="245"/>
      <c r="BH57" s="249"/>
      <c r="BI57" s="247"/>
      <c r="BJ57" s="242"/>
      <c r="BK57" s="248"/>
      <c r="BL57" s="244"/>
      <c r="BM57" s="245"/>
      <c r="BN57" s="249"/>
      <c r="BO57" s="247"/>
      <c r="BP57" s="242"/>
      <c r="BQ57" s="248"/>
      <c r="BR57" s="244"/>
      <c r="BS57" s="245"/>
      <c r="BT57" s="246"/>
      <c r="BU57" s="247"/>
      <c r="BV57" s="245">
        <f t="shared" si="12"/>
        <v>44.761999999999993</v>
      </c>
      <c r="BW57" s="246">
        <f t="shared" si="13"/>
        <v>8</v>
      </c>
      <c r="BX57" s="247">
        <f t="shared" si="14"/>
        <v>5</v>
      </c>
      <c r="BY57" s="49"/>
      <c r="DX57" s="50"/>
      <c r="DY57" s="50"/>
      <c r="EF57" s="47"/>
      <c r="EG57" s="47"/>
    </row>
    <row r="58" spans="1:137">
      <c r="A58" s="252">
        <f t="shared" si="9"/>
        <v>38</v>
      </c>
      <c r="B58" s="252">
        <f t="shared" si="1"/>
        <v>32</v>
      </c>
      <c r="C58" s="252">
        <v>34</v>
      </c>
      <c r="D58" s="296" t="str">
        <f>INDEX(Table!E:E,MATCH(E58,Table!F:F,0))</f>
        <v>D</v>
      </c>
      <c r="E58" s="238" t="s">
        <v>305</v>
      </c>
      <c r="F58" s="250">
        <f t="shared" si="10"/>
        <v>-15.379999999999999</v>
      </c>
      <c r="G58" s="55">
        <f t="shared" si="11"/>
        <v>5</v>
      </c>
      <c r="H58" s="668">
        <v>-2.8</v>
      </c>
      <c r="I58" s="669">
        <v>1</v>
      </c>
      <c r="J58" s="240">
        <f t="shared" si="7"/>
        <v>0</v>
      </c>
      <c r="K58" s="241"/>
      <c r="L58" s="241">
        <f>INDEX(Table!M:M,MATCH(E58,Table!F:F,0))</f>
        <v>2.0099999999999998</v>
      </c>
      <c r="M58" s="240">
        <f t="shared" si="8"/>
        <v>2.0099999999999998</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v>-2.8</v>
      </c>
      <c r="AG58" s="248">
        <v>1</v>
      </c>
      <c r="AH58" s="244"/>
      <c r="AI58" s="245"/>
      <c r="AJ58" s="246"/>
      <c r="AK58" s="247"/>
      <c r="AL58" s="242"/>
      <c r="AM58" s="248"/>
      <c r="AN58" s="244"/>
      <c r="AO58" s="245"/>
      <c r="AP58" s="246"/>
      <c r="AQ58" s="247"/>
      <c r="AR58" s="242"/>
      <c r="AS58" s="248"/>
      <c r="AT58" s="244"/>
      <c r="AU58" s="245"/>
      <c r="AV58" s="246"/>
      <c r="AW58" s="247"/>
      <c r="AX58" s="242"/>
      <c r="AY58" s="248"/>
      <c r="AZ58" s="244"/>
      <c r="BA58" s="245"/>
      <c r="BB58" s="246"/>
      <c r="BC58" s="247"/>
      <c r="BD58" s="242"/>
      <c r="BE58" s="248"/>
      <c r="BF58" s="244"/>
      <c r="BG58" s="245"/>
      <c r="BH58" s="249"/>
      <c r="BI58" s="247"/>
      <c r="BJ58" s="242"/>
      <c r="BK58" s="248"/>
      <c r="BL58" s="244"/>
      <c r="BM58" s="245"/>
      <c r="BN58" s="249"/>
      <c r="BO58" s="247"/>
      <c r="BP58" s="242"/>
      <c r="BQ58" s="248"/>
      <c r="BR58" s="244"/>
      <c r="BS58" s="245"/>
      <c r="BT58" s="246"/>
      <c r="BU58" s="247"/>
      <c r="BV58" s="245">
        <f t="shared" si="12"/>
        <v>-15.379999999999999</v>
      </c>
      <c r="BW58" s="246">
        <f t="shared" si="13"/>
        <v>5</v>
      </c>
      <c r="BX58" s="247">
        <f t="shared" si="14"/>
        <v>0</v>
      </c>
      <c r="BY58" s="49"/>
      <c r="DX58" s="50"/>
      <c r="DY58" s="50"/>
      <c r="EF58" s="47"/>
      <c r="EG58" s="47"/>
    </row>
    <row r="59" spans="1:137">
      <c r="A59" s="252">
        <f t="shared" si="9"/>
        <v>37</v>
      </c>
      <c r="B59" s="252">
        <f t="shared" si="1"/>
        <v>16</v>
      </c>
      <c r="C59" s="252">
        <v>42</v>
      </c>
      <c r="D59" s="296" t="str">
        <f>INDEX(Table!E:E,MATCH(E59,Table!F:F,0))</f>
        <v>C</v>
      </c>
      <c r="E59" s="238" t="s">
        <v>280</v>
      </c>
      <c r="F59" s="250">
        <f t="shared" si="10"/>
        <v>-15.374242424242425</v>
      </c>
      <c r="G59" s="55">
        <f t="shared" si="11"/>
        <v>10</v>
      </c>
      <c r="H59" s="668">
        <v>2.2375000000000007</v>
      </c>
      <c r="I59" s="669">
        <v>2</v>
      </c>
      <c r="J59" s="240">
        <f t="shared" si="7"/>
        <v>0</v>
      </c>
      <c r="K59" s="241"/>
      <c r="L59" s="241">
        <f>INDEX(Table!M:M,MATCH(E59,Table!F:F,0))</f>
        <v>0</v>
      </c>
      <c r="M59" s="240">
        <f t="shared" si="8"/>
        <v>0</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v>2.2375000000000007</v>
      </c>
      <c r="AG59" s="248">
        <v>2</v>
      </c>
      <c r="AH59" s="244"/>
      <c r="AI59" s="245"/>
      <c r="AJ59" s="246"/>
      <c r="AK59" s="247"/>
      <c r="AL59" s="242"/>
      <c r="AM59" s="248"/>
      <c r="AN59" s="244"/>
      <c r="AO59" s="245"/>
      <c r="AP59" s="246"/>
      <c r="AQ59" s="247"/>
      <c r="AR59" s="242"/>
      <c r="AS59" s="248"/>
      <c r="AT59" s="244"/>
      <c r="AU59" s="245"/>
      <c r="AV59" s="246"/>
      <c r="AW59" s="247"/>
      <c r="AX59" s="242"/>
      <c r="AY59" s="248"/>
      <c r="AZ59" s="244"/>
      <c r="BA59" s="245"/>
      <c r="BB59" s="246"/>
      <c r="BC59" s="247"/>
      <c r="BD59" s="242"/>
      <c r="BE59" s="248"/>
      <c r="BF59" s="244"/>
      <c r="BG59" s="245"/>
      <c r="BH59" s="249"/>
      <c r="BI59" s="247"/>
      <c r="BJ59" s="242"/>
      <c r="BK59" s="248"/>
      <c r="BL59" s="244"/>
      <c r="BM59" s="245"/>
      <c r="BN59" s="249"/>
      <c r="BO59" s="247"/>
      <c r="BP59" s="242"/>
      <c r="BQ59" s="248"/>
      <c r="BR59" s="244"/>
      <c r="BS59" s="245"/>
      <c r="BT59" s="246"/>
      <c r="BU59" s="247"/>
      <c r="BV59" s="245">
        <f t="shared" si="12"/>
        <v>-15.374242424242425</v>
      </c>
      <c r="BW59" s="246">
        <f t="shared" si="13"/>
        <v>10</v>
      </c>
      <c r="BX59" s="247">
        <f t="shared" si="14"/>
        <v>0</v>
      </c>
      <c r="BY59" s="49"/>
      <c r="DX59" s="50"/>
      <c r="DY59" s="50"/>
      <c r="EF59" s="47"/>
      <c r="EG59" s="47"/>
    </row>
    <row r="60" spans="1:137">
      <c r="A60" s="252">
        <f t="shared" ref="A60" si="15">_xlfn.RANK.EQ(F60,totalscores,0)</f>
        <v>10</v>
      </c>
      <c r="B60" s="252">
        <f t="shared" ref="B60" si="16">_xlfn.RANK.EQ(H60,thisweekscore,0)</f>
        <v>41</v>
      </c>
      <c r="C60" s="252">
        <v>8</v>
      </c>
      <c r="D60" s="296" t="str">
        <f>INDEX(Table!E:E,MATCH(E60,Table!F:F,0))</f>
        <v>B</v>
      </c>
      <c r="E60" s="238" t="s">
        <v>282</v>
      </c>
      <c r="F60" s="250">
        <f t="shared" ref="F60" si="17">+N60+Q60+T60+W60+Z60+AC60+AF60+AI60+AL60+AO60+AR60+AU60+AX60+BA60+BD60+BG60+BJ60+BM60+BP60+BS60</f>
        <v>29.96329545454546</v>
      </c>
      <c r="G60" s="55">
        <f t="shared" ref="G60" si="18">+O60+R60+U60+X60+AA60+AD60+AG60+AJ60+AM60+AP60+AS60+AV60+AY60+BB60+BE60+BH60+BK60+BN60+BQ60+BT60</f>
        <v>10</v>
      </c>
      <c r="H60" s="668">
        <v>-4.75</v>
      </c>
      <c r="I60" s="669">
        <v>1</v>
      </c>
      <c r="J60" s="240">
        <f t="shared" ref="J60" si="19">P60+S60+V60+Y60+AB60+AE60+AH60+AK60+AN60+AQ60+AT60+AW60+AZ60+BC60+BF60+BI60+BL60+BO60+BR60+BU60</f>
        <v>15</v>
      </c>
      <c r="K60" s="241"/>
      <c r="L60" s="241">
        <f>INDEX(Table!M:M,MATCH(E60,Table!F:F,0))</f>
        <v>50.25</v>
      </c>
      <c r="M60" s="240">
        <f t="shared" ref="M60" si="20">K60+J60+L60</f>
        <v>65.25</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v>-4.75</v>
      </c>
      <c r="AG60" s="248">
        <v>1</v>
      </c>
      <c r="AH60" s="244"/>
      <c r="AI60" s="245"/>
      <c r="AJ60" s="246"/>
      <c r="AK60" s="247"/>
      <c r="AL60" s="242"/>
      <c r="AM60" s="248"/>
      <c r="AN60" s="244"/>
      <c r="AO60" s="245"/>
      <c r="AP60" s="246"/>
      <c r="AQ60" s="247"/>
      <c r="AR60" s="242"/>
      <c r="AS60" s="248"/>
      <c r="AT60" s="244"/>
      <c r="AU60" s="245"/>
      <c r="AV60" s="246"/>
      <c r="AW60" s="247"/>
      <c r="AX60" s="242"/>
      <c r="AY60" s="248"/>
      <c r="AZ60" s="244"/>
      <c r="BA60" s="245"/>
      <c r="BB60" s="246"/>
      <c r="BC60" s="247"/>
      <c r="BD60" s="242"/>
      <c r="BE60" s="248"/>
      <c r="BF60" s="244"/>
      <c r="BG60" s="245"/>
      <c r="BH60" s="249"/>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29.963295454545467</v>
      </c>
      <c r="BW60" s="246">
        <f t="shared" ref="BW60" si="22">BT60+BQ60+BN60+BK60+BH60+BE60+BB60+AY60+AV60+AS60+AP60+AM60+AJ60+AG60+AD60+AA60+X60+U60+R60+O60</f>
        <v>10</v>
      </c>
      <c r="BX60" s="247">
        <f t="shared" ref="BX60" si="23">BU60+BR60+BO60+BL60+BI60+BF60+BC60+AZ60+AW60+AT60+AQ60+AN60+AK60+AH60+AE60+AB60+Y60+V60+S60+P60</f>
        <v>15</v>
      </c>
      <c r="DX60" s="50"/>
      <c r="DY60" s="50"/>
      <c r="EF60" s="47"/>
      <c r="EG60" s="47"/>
    </row>
    <row r="61" spans="1:137">
      <c r="A61" s="252">
        <f t="shared" ref="A61:A62" si="24">_xlfn.RANK.EQ(F61,totalscores,0)</f>
        <v>45</v>
      </c>
      <c r="B61" s="252">
        <f t="shared" ref="B61:B62" si="25">_xlfn.RANK.EQ(H61,thisweekscore,0)</f>
        <v>13</v>
      </c>
      <c r="C61" s="252">
        <v>47</v>
      </c>
      <c r="D61" s="296" t="str">
        <f>INDEX(Table!E:E,MATCH(E61,Table!F:F,0))</f>
        <v>B</v>
      </c>
      <c r="E61" s="238" t="s">
        <v>323</v>
      </c>
      <c r="F61" s="250">
        <f t="shared" ref="F61:F62" si="26">+N61+Q61+T61+W61+Z61+AC61+AF61+AI61+AL61+AO61+AR61+AU61+AX61+BA61+BD61+BG61+BJ61+BM61+BP61+BS61</f>
        <v>-18.337575757575756</v>
      </c>
      <c r="G61" s="55">
        <f t="shared" ref="G61:G62" si="27">+O61+R61+U61+X61+AA61+AD61+AG61+AJ61+AM61+AP61+AS61+AV61+AY61+BB61+BE61+BH61+BK61+BN61+BQ61+BT61</f>
        <v>9</v>
      </c>
      <c r="H61" s="668">
        <v>3.6099999999999994</v>
      </c>
      <c r="I61" s="669">
        <v>2</v>
      </c>
      <c r="J61" s="240">
        <f t="shared" ref="J61:J62" si="28">P61+S61+V61+Y61+AB61+AE61+AH61+AK61+AN61+AQ61+AT61+AW61+AZ61+BC61+BF61+BI61+BL61+BO61+BR61+BU61</f>
        <v>0</v>
      </c>
      <c r="K61" s="241"/>
      <c r="L61" s="241">
        <f>INDEX(Table!M:M,MATCH(E61,Table!F:F,0))</f>
        <v>0</v>
      </c>
      <c r="M61" s="240">
        <f t="shared" ref="M61:M62" si="29">K61+J61+L61</f>
        <v>0</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v>3.6099999999999994</v>
      </c>
      <c r="AG61" s="248">
        <v>2</v>
      </c>
      <c r="AH61" s="244"/>
      <c r="AI61" s="245"/>
      <c r="AJ61" s="246"/>
      <c r="AK61" s="247"/>
      <c r="AL61" s="242"/>
      <c r="AM61" s="248"/>
      <c r="AN61" s="244"/>
      <c r="AO61" s="245"/>
      <c r="AP61" s="246"/>
      <c r="AQ61" s="247"/>
      <c r="AR61" s="242"/>
      <c r="AS61" s="248"/>
      <c r="AT61" s="244"/>
      <c r="AU61" s="245"/>
      <c r="AV61" s="246"/>
      <c r="AW61" s="247"/>
      <c r="AX61" s="242"/>
      <c r="AY61" s="248"/>
      <c r="AZ61" s="244"/>
      <c r="BA61" s="245"/>
      <c r="BB61" s="246"/>
      <c r="BC61" s="247"/>
      <c r="BD61" s="242"/>
      <c r="BE61" s="248"/>
      <c r="BF61" s="244"/>
      <c r="BG61" s="245"/>
      <c r="BH61" s="249"/>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-18.337575757575756</v>
      </c>
      <c r="BW61" s="246">
        <f t="shared" ref="BW61:BW62" si="31">BT61+BQ61+BN61+BK61+BH61+BE61+BB61+AY61+AV61+AS61+AP61+AM61+AJ61+AG61+AD61+AA61+X61+U61+R61+O61</f>
        <v>9</v>
      </c>
      <c r="BX61" s="247">
        <f t="shared" ref="BX61:BX62" si="32">BU61+BR61+BO61+BL61+BI61+BF61+BC61+AZ61+AW61+AT61+AQ61+AN61+AK61+AH61+AE61+AB61+Y61+V61+S61+P61</f>
        <v>0</v>
      </c>
      <c r="DX61" s="50"/>
      <c r="DY61" s="50"/>
      <c r="EF61" s="47"/>
      <c r="EG61" s="47"/>
    </row>
    <row r="62" spans="1:137">
      <c r="A62" s="252">
        <f t="shared" si="24"/>
        <v>15</v>
      </c>
      <c r="B62" s="252">
        <f t="shared" si="25"/>
        <v>19</v>
      </c>
      <c r="C62" s="252">
        <v>13</v>
      </c>
      <c r="D62" s="296" t="str">
        <f>INDEX(Table!E:E,MATCH(E62,Table!F:F,0))</f>
        <v>C</v>
      </c>
      <c r="E62" s="238" t="s">
        <v>299</v>
      </c>
      <c r="F62" s="250">
        <f t="shared" si="26"/>
        <v>19.866035353535352</v>
      </c>
      <c r="G62" s="55">
        <f t="shared" si="27"/>
        <v>11</v>
      </c>
      <c r="H62" s="668">
        <v>1.5625</v>
      </c>
      <c r="I62" s="669">
        <v>2</v>
      </c>
      <c r="J62" s="240">
        <f t="shared" si="28"/>
        <v>5</v>
      </c>
      <c r="K62" s="241"/>
      <c r="L62" s="241">
        <f>INDEX(Table!M:M,MATCH(E62,Table!F:F,0))</f>
        <v>18.09</v>
      </c>
      <c r="M62" s="240">
        <f t="shared" si="29"/>
        <v>23.09</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v>1.5625</v>
      </c>
      <c r="AG62" s="248">
        <v>2</v>
      </c>
      <c r="AH62" s="244"/>
      <c r="AI62" s="245"/>
      <c r="AJ62" s="246"/>
      <c r="AK62" s="247"/>
      <c r="AL62" s="242"/>
      <c r="AM62" s="248"/>
      <c r="AN62" s="244"/>
      <c r="AO62" s="245"/>
      <c r="AP62" s="246"/>
      <c r="AQ62" s="247"/>
      <c r="AR62" s="242"/>
      <c r="AS62" s="248"/>
      <c r="AT62" s="244"/>
      <c r="AU62" s="245"/>
      <c r="AV62" s="246"/>
      <c r="AW62" s="247"/>
      <c r="AX62" s="242"/>
      <c r="AY62" s="248"/>
      <c r="AZ62" s="244"/>
      <c r="BA62" s="245"/>
      <c r="BB62" s="246"/>
      <c r="BC62" s="247"/>
      <c r="BD62" s="242"/>
      <c r="BE62" s="248"/>
      <c r="BF62" s="244"/>
      <c r="BG62" s="245"/>
      <c r="BH62" s="249"/>
      <c r="BI62" s="247"/>
      <c r="BJ62" s="242"/>
      <c r="BK62" s="248"/>
      <c r="BL62" s="244"/>
      <c r="BM62" s="245"/>
      <c r="BN62" s="249"/>
      <c r="BO62" s="247"/>
      <c r="BP62" s="242"/>
      <c r="BQ62" s="248"/>
      <c r="BR62" s="244"/>
      <c r="BS62" s="245"/>
      <c r="BT62" s="246"/>
      <c r="BU62" s="247"/>
      <c r="BV62" s="245">
        <f t="shared" si="30"/>
        <v>19.866035353535349</v>
      </c>
      <c r="BW62" s="246">
        <f t="shared" si="31"/>
        <v>11</v>
      </c>
      <c r="BX62" s="247">
        <f t="shared" si="32"/>
        <v>5</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SUM(J2:J59)</f>
        <v>155</v>
      </c>
      <c r="K65" s="509">
        <f>SUM(K2:K59)</f>
        <v>0</v>
      </c>
      <c r="L65" s="509"/>
      <c r="M65" s="509"/>
      <c r="N65" s="509"/>
      <c r="O65" s="509"/>
      <c r="P65" s="509">
        <f>SUM(P2:P60)</f>
        <v>25</v>
      </c>
      <c r="Q65" s="507"/>
      <c r="R65" s="509"/>
      <c r="S65" s="509">
        <f>SUM(S2:S60)</f>
        <v>25</v>
      </c>
      <c r="T65" s="509"/>
      <c r="U65" s="509"/>
      <c r="V65" s="509">
        <f>SUM(V2:V60)</f>
        <v>25</v>
      </c>
      <c r="W65" s="507"/>
      <c r="X65" s="509"/>
      <c r="Y65" s="509">
        <f>SUM(Y2:Y60)</f>
        <v>25</v>
      </c>
      <c r="Z65" s="509"/>
      <c r="AA65" s="509"/>
      <c r="AB65" s="509">
        <f>SUM(AB2:AB60)</f>
        <v>20</v>
      </c>
      <c r="AC65" s="509"/>
      <c r="AD65" s="509"/>
      <c r="AE65" s="509">
        <f>SUM(AE2:AE60)</f>
        <v>25</v>
      </c>
      <c r="AF65" s="509"/>
      <c r="AG65" s="509"/>
      <c r="AH65" s="509">
        <f>SUM(AH2:AH60)</f>
        <v>25</v>
      </c>
      <c r="AI65" s="509"/>
      <c r="AJ65" s="509"/>
      <c r="AK65" s="509">
        <f>SUM(AK2:AK60)</f>
        <v>0</v>
      </c>
      <c r="AL65" s="509"/>
      <c r="AM65" s="509"/>
      <c r="AN65" s="509">
        <f>SUM(AN2:AN60)</f>
        <v>0</v>
      </c>
      <c r="AO65" s="509"/>
      <c r="AP65" s="509"/>
      <c r="AQ65" s="509">
        <f>SUM(AQ2:AQ60)</f>
        <v>0</v>
      </c>
      <c r="AR65" s="509"/>
      <c r="AS65" s="509"/>
      <c r="AT65" s="509">
        <f>SUM(AT2:AT60)</f>
        <v>0</v>
      </c>
      <c r="AU65" s="509"/>
      <c r="AV65" s="509"/>
      <c r="AW65" s="509">
        <f>SUM(AW2:AW60)</f>
        <v>0</v>
      </c>
      <c r="AX65" s="509"/>
      <c r="AY65" s="509"/>
      <c r="AZ65" s="509">
        <f>SUM(AZ2:AZ60)</f>
        <v>0</v>
      </c>
      <c r="BA65" s="509"/>
      <c r="BB65" s="509"/>
      <c r="BC65" s="509">
        <f>SUM(BC2:BC60)</f>
        <v>0</v>
      </c>
      <c r="BD65" s="509"/>
      <c r="BE65" s="509"/>
      <c r="BF65" s="509">
        <f>SUM(BF2:BF60)</f>
        <v>0</v>
      </c>
      <c r="BG65" s="509"/>
      <c r="BH65" s="509"/>
      <c r="BI65" s="509">
        <f>SUM(BI2:BI60)</f>
        <v>0</v>
      </c>
      <c r="BJ65" s="509"/>
      <c r="BK65" s="509"/>
      <c r="BL65" s="509">
        <f>SUM(BL2:BL60)</f>
        <v>0</v>
      </c>
      <c r="BM65" s="509"/>
      <c r="BN65" s="509"/>
      <c r="BO65" s="509">
        <f>SUM(BO2:BO60)</f>
        <v>0</v>
      </c>
      <c r="BP65" s="509"/>
      <c r="BQ65" s="509"/>
      <c r="BR65" s="509">
        <f>SUM(BR2:BR60)</f>
        <v>0</v>
      </c>
      <c r="BS65" s="509"/>
      <c r="BT65" s="509"/>
      <c r="BU65" s="509">
        <f>SUM(BU2:BU60)</f>
        <v>0</v>
      </c>
      <c r="BV65" s="509"/>
      <c r="BW65" s="509"/>
      <c r="BX65" s="509">
        <f>SUM(BX2:BX60)</f>
        <v>170</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2">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38" zoomScaleNormal="100" workbookViewId="0">
      <selection activeCell="I70" sqref="I70"/>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351</v>
      </c>
    </row>
    <row r="2" spans="1:58" s="217" customFormat="1" ht="30" customHeight="1">
      <c r="A2" s="140"/>
      <c r="B2" s="638" t="str">
        <f>IF(CupDraw!I1="","",CupDraw!I1)</f>
        <v/>
      </c>
      <c r="C2" s="636" t="str">
        <f>IF(CupDraw!J1="","",CupDraw!J1)</f>
        <v>Preliminary Round</v>
      </c>
      <c r="D2" s="630"/>
      <c r="E2" s="630"/>
      <c r="F2" s="632"/>
      <c r="G2" s="630"/>
      <c r="H2" s="638">
        <f>CupDraw!O1</f>
        <v>44961</v>
      </c>
      <c r="I2" s="636" t="str">
        <f>CupDraw!P1</f>
        <v>Round 1</v>
      </c>
      <c r="J2" s="630"/>
      <c r="K2" s="630"/>
      <c r="L2" s="633"/>
      <c r="M2" s="630"/>
      <c r="N2" s="638">
        <f>CupDraw!U1</f>
        <v>44975</v>
      </c>
      <c r="O2" s="636" t="str">
        <f>CupDraw!V1</f>
        <v>Round 2</v>
      </c>
      <c r="P2" s="630"/>
      <c r="Q2" s="630"/>
      <c r="R2" s="633"/>
      <c r="S2" s="630"/>
      <c r="T2" s="638">
        <f>CupDraw!AA1</f>
        <v>44996</v>
      </c>
      <c r="U2" s="636" t="str">
        <f>CupDraw!AB1</f>
        <v>Round 3</v>
      </c>
      <c r="V2" s="630"/>
      <c r="W2" s="630"/>
      <c r="X2" s="633"/>
      <c r="Y2" s="638">
        <f>CupDraw!AG1</f>
        <v>45010</v>
      </c>
      <c r="Z2" s="636" t="str">
        <f>CupDraw!AH1</f>
        <v>Quarter Final</v>
      </c>
      <c r="AA2" s="630"/>
      <c r="AB2" s="630"/>
      <c r="AC2" s="140"/>
      <c r="AD2" s="638">
        <f>CupDraw!AM1</f>
        <v>45024</v>
      </c>
      <c r="AE2" s="636" t="str">
        <f>CupDraw!AN1</f>
        <v>Semi-Final</v>
      </c>
      <c r="AF2" s="630"/>
      <c r="AG2" s="630"/>
      <c r="AH2" s="140"/>
      <c r="AI2" s="638">
        <f>CupDraw!AS1</f>
        <v>45038</v>
      </c>
      <c r="AJ2" s="636" t="str">
        <f>CupDraw!AT1</f>
        <v>Final</v>
      </c>
      <c r="AK2" s="630"/>
      <c r="AL2" s="63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2">
        <f>CupDraw!O2</f>
        <v>1</v>
      </c>
      <c r="I3" s="69" t="str">
        <f>IF(CupDraw!P2="","",CupDraw!P2)</f>
        <v>Alan Bond</v>
      </c>
      <c r="J3" s="73">
        <f>IF(CupDraw!Q2="","",CupDraw!Q2)</f>
        <v>21.12</v>
      </c>
      <c r="K3" s="82" t="str">
        <f>IF(CupDraw!R2="","",CupDraw!R2)</f>
        <v/>
      </c>
      <c r="L3" s="79"/>
      <c r="M3" s="59"/>
      <c r="N3" s="61">
        <f>CupDraw!U2</f>
        <v>1</v>
      </c>
      <c r="O3" s="69" t="str">
        <f>CupDraw!V2</f>
        <v>Alan Bond</v>
      </c>
      <c r="P3" s="73"/>
      <c r="Q3" s="82" t="str">
        <f>IF(CupDraw!X2="","",CupDraw!X2)</f>
        <v/>
      </c>
      <c r="R3" s="79"/>
      <c r="S3" s="59"/>
      <c r="T3" s="61">
        <f>CupDraw!AA2</f>
        <v>1</v>
      </c>
      <c r="U3" s="69" t="str">
        <f>CupDraw!AB2</f>
        <v>Await earlier tie</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3">
        <f>CupDraw!O3</f>
        <v>0</v>
      </c>
      <c r="I4" s="69" t="str">
        <f>IF(CupDraw!P3="","",CupDraw!P3)</f>
        <v>Charlie Griffiths</v>
      </c>
      <c r="J4" s="73">
        <f>IF(CupDraw!Q3="","",CupDraw!Q3)</f>
        <v>-3</v>
      </c>
      <c r="K4" s="62" t="str">
        <f>IF(CupDraw!R3="","",CupDraw!R3)</f>
        <v/>
      </c>
      <c r="L4" s="79"/>
      <c r="M4" s="59"/>
      <c r="N4" s="64"/>
      <c r="O4" s="69" t="str">
        <f>CupDraw!V3</f>
        <v>John Ronan</v>
      </c>
      <c r="P4" s="73"/>
      <c r="Q4" s="65" t="str">
        <f>IF(CupDraw!X3="","",CupDraw!X3)</f>
        <v/>
      </c>
      <c r="R4" s="79"/>
      <c r="S4" s="59"/>
      <c r="T4" s="64"/>
      <c r="U4" s="69" t="str">
        <f>CupDraw!AB3</f>
        <v>Await earlier tie</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c r="Q5" s="82" t="str">
        <f>IF(CupDraw!X4="","",CupDraw!X4)</f>
        <v/>
      </c>
      <c r="R5" s="79"/>
      <c r="S5" s="59"/>
      <c r="T5" s="61">
        <f>CupDraw!AA4</f>
        <v>2</v>
      </c>
      <c r="U5" s="69" t="str">
        <f>CupDraw!AB4</f>
        <v>Await earlier tie</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c r="Q6" s="65" t="str">
        <f>IF(CupDraw!X5="","",CupDraw!X5)</f>
        <v/>
      </c>
      <c r="R6" s="79"/>
      <c r="S6" s="59"/>
      <c r="T6" s="64"/>
      <c r="U6" s="69" t="str">
        <f>CupDraw!AB5</f>
        <v>Await earlier tie</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c r="Q7" s="82" t="str">
        <f>IF(CupDraw!X6="","",CupDraw!X6)</f>
        <v/>
      </c>
      <c r="R7" s="79"/>
      <c r="S7" s="59"/>
      <c r="T7" s="61">
        <f>CupDraw!AA6</f>
        <v>3</v>
      </c>
      <c r="U7" s="69" t="str">
        <f>CupDraw!AB6</f>
        <v>Await earlier tie</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11"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c r="Q8" s="65" t="str">
        <f>IF(CupDraw!X7="","",CupDraw!X7)</f>
        <v/>
      </c>
      <c r="R8" s="79"/>
      <c r="S8" s="59"/>
      <c r="T8" s="64"/>
      <c r="U8" s="69" t="str">
        <f>CupDraw!AB7</f>
        <v>Await earlier tie</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12" t="str">
        <f>IF(CupDraw!AO7="","",CupDraw!AO7)</f>
        <v/>
      </c>
      <c r="AG8" s="59"/>
      <c r="AH8" s="77"/>
      <c r="AI8" s="682"/>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c r="Q9" s="82" t="str">
        <f>IF(CupDraw!X8="","",CupDraw!X8)</f>
        <v/>
      </c>
      <c r="R9" s="79"/>
      <c r="S9" s="59"/>
      <c r="T9" s="61">
        <f>CupDraw!AA8</f>
        <v>4</v>
      </c>
      <c r="U9" s="69" t="str">
        <f>CupDraw!AB8</f>
        <v>Await earlier tie</v>
      </c>
      <c r="V9" s="92" t="str">
        <f>IF(CupDraw!AC8="","",CupDraw!AC8)</f>
        <v/>
      </c>
      <c r="W9" s="74" t="str">
        <f>CupDraw!AD8</f>
        <v/>
      </c>
      <c r="X9" s="79"/>
      <c r="Y9" s="61">
        <f>CupDraw!AG8</f>
        <v>4</v>
      </c>
      <c r="Z9" s="69" t="str">
        <f>CupDraw!AH8</f>
        <v>Await earlier tie</v>
      </c>
      <c r="AA9" s="92" t="str">
        <f>IF(CupDraw!AI8="","",CupDraw!AI8)</f>
        <v/>
      </c>
      <c r="AB9" s="74" t="str">
        <f>IF(CupDraw!AJ8="","",CupDraw!AJ8)</f>
        <v/>
      </c>
      <c r="AC9" s="77"/>
      <c r="AD9" s="682"/>
      <c r="AE9" s="69" t="str">
        <f>IF(CupDraw!AN8="","",CupDraw!AN8)</f>
        <v/>
      </c>
      <c r="AF9" s="92" t="str">
        <f>IF(CupDraw!AO8="","",CupDraw!AO8)</f>
        <v/>
      </c>
      <c r="AG9" s="82" t="str">
        <f>CupDraw!AP8</f>
        <v/>
      </c>
      <c r="AH9" s="77"/>
      <c r="AI9" s="683"/>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c r="Q10" s="65" t="str">
        <f>IF(CupDraw!X9="","",CupDraw!X9)</f>
        <v/>
      </c>
      <c r="R10" s="79"/>
      <c r="S10" s="59"/>
      <c r="T10" s="64"/>
      <c r="U10" s="69" t="str">
        <f>CupDraw!AB9</f>
        <v>Await earlier tie</v>
      </c>
      <c r="V10" s="92" t="str">
        <f>IF(CupDraw!AC9="","",CupDraw!AC9)</f>
        <v/>
      </c>
      <c r="W10" s="65"/>
      <c r="X10" s="79"/>
      <c r="Y10" s="68"/>
      <c r="Z10" s="69" t="str">
        <f>CupDraw!AH9</f>
        <v>Await earlier tie</v>
      </c>
      <c r="AA10" s="92" t="str">
        <f>IF(CupDraw!AI9="","",CupDraw!AI9)</f>
        <v/>
      </c>
      <c r="AB10" s="62" t="str">
        <f>IF(CupDraw!AJ9="","",CupDraw!AJ9)</f>
        <v/>
      </c>
      <c r="AC10" s="77"/>
      <c r="AD10" s="683"/>
      <c r="AE10" s="69" t="str">
        <f>IF(CupDraw!AN9="","",CupDraw!AN9)</f>
        <v/>
      </c>
      <c r="AF10" s="92" t="str">
        <f>IF(CupDraw!AO9="","",CupDraw!AO9)</f>
        <v/>
      </c>
      <c r="AG10" s="62"/>
      <c r="AH10" s="77"/>
      <c r="AI10" s="680"/>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c r="Q11" s="82" t="str">
        <f>IF(CupDraw!X10="","",CupDraw!X10)</f>
        <v/>
      </c>
      <c r="R11" s="79"/>
      <c r="S11" s="59"/>
      <c r="T11" s="61">
        <f>CupDraw!AA10</f>
        <v>5</v>
      </c>
      <c r="U11" s="69" t="str">
        <f>CupDraw!AB10</f>
        <v>Await earlier tie</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81"/>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c r="Q12" s="65" t="str">
        <f>IF(CupDraw!X11="","",CupDraw!X11)</f>
        <v/>
      </c>
      <c r="R12" s="79"/>
      <c r="S12" s="59"/>
      <c r="T12" s="64"/>
      <c r="U12" s="69" t="str">
        <f>CupDraw!AB11</f>
        <v>Await earlier tie</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c r="Q13" s="82" t="str">
        <f>IF(CupDraw!X12="","",CupDraw!X12)</f>
        <v/>
      </c>
      <c r="R13" s="79"/>
      <c r="S13" s="59"/>
      <c r="T13" s="61">
        <f>CupDraw!AA12</f>
        <v>6</v>
      </c>
      <c r="U13" s="69" t="str">
        <f>CupDraw!AB12</f>
        <v>Await earlier tie</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c r="Q14" s="65" t="str">
        <f>IF(CupDraw!X13="","",CupDraw!X13)</f>
        <v/>
      </c>
      <c r="R14" s="79"/>
      <c r="S14" s="59"/>
      <c r="T14" s="64"/>
      <c r="U14" s="69" t="str">
        <f>CupDraw!AB13</f>
        <v>Await earlier tie</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c r="Q15" s="82" t="str">
        <f>IF(CupDraw!X14="","",CupDraw!X14)</f>
        <v/>
      </c>
      <c r="R15" s="79"/>
      <c r="S15" s="59"/>
      <c r="T15" s="61">
        <f>CupDraw!AA14</f>
        <v>7</v>
      </c>
      <c r="U15" s="69" t="str">
        <f>CupDraw!AB14</f>
        <v>Await earlier tie</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c r="Q16" s="65" t="str">
        <f>IF(CupDraw!X15="","",CupDraw!X15)</f>
        <v/>
      </c>
      <c r="R16" s="79"/>
      <c r="S16" s="59"/>
      <c r="T16" s="64"/>
      <c r="U16" s="69" t="str">
        <f>CupDraw!AB15</f>
        <v>Await earlier tie</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c r="Q17" s="82" t="str">
        <f>IF(CupDraw!X16="","",CupDraw!X16)</f>
        <v/>
      </c>
      <c r="R17" s="79"/>
      <c r="S17" s="59"/>
      <c r="T17" s="61">
        <f>CupDraw!AA16</f>
        <v>8</v>
      </c>
      <c r="U17" s="69" t="str">
        <f>CupDraw!AB16</f>
        <v>Await earlier tie</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c r="Q18" s="65" t="str">
        <f>IF(CupDraw!X17="","",CupDraw!X17)</f>
        <v/>
      </c>
      <c r="R18" s="79"/>
      <c r="S18" s="59"/>
      <c r="T18" s="68"/>
      <c r="U18" s="69" t="str">
        <f>CupDraw!AB17</f>
        <v>Await earlier tie</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R</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0"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1">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0"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1">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0"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1">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0"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1">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4" t="str">
        <f>IF(CupDraw!L79="","",CupDraw!L79)</f>
        <v/>
      </c>
      <c r="F78" s="59"/>
      <c r="G78" s="59"/>
      <c r="H78" s="680"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5"/>
      <c r="F79" s="59"/>
      <c r="G79" s="59"/>
      <c r="H79" s="681">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4" t="str">
        <f>IF(CupDraw!L81="","",CupDraw!L81)</f>
        <v/>
      </c>
      <c r="F80" s="59"/>
      <c r="G80" s="59"/>
      <c r="H80" s="680"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5"/>
      <c r="F81" s="59"/>
      <c r="G81" s="59"/>
      <c r="H81" s="681">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4" t="str">
        <f>IF(CupDraw!L83="","",CupDraw!L83)</f>
        <v/>
      </c>
      <c r="F82" s="59"/>
      <c r="G82" s="59"/>
      <c r="H82" s="680"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5" t="str">
        <f>IF(CupDraw!L84="","",CupDraw!L84)</f>
        <v/>
      </c>
      <c r="F83" s="77"/>
      <c r="G83" s="77"/>
      <c r="H83" s="681">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4" t="str">
        <f>IF(CupDraw!L85="","",CupDraw!L85)</f>
        <v/>
      </c>
      <c r="F84" s="77"/>
      <c r="G84" s="77"/>
      <c r="H84" s="680"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5" t="str">
        <f>IF(CupDraw!L86="","",CupDraw!L86)</f>
        <v/>
      </c>
      <c r="F85" s="77"/>
      <c r="G85" s="77"/>
      <c r="H85" s="681">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4" t="str">
        <f>IF(CupDraw!L87="","",CupDraw!L87)</f>
        <v/>
      </c>
      <c r="F86" s="77"/>
      <c r="G86" s="77"/>
      <c r="H86" s="680"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5" t="str">
        <f>IF(CupDraw!L88="","",CupDraw!L88)</f>
        <v/>
      </c>
      <c r="F87" s="77"/>
      <c r="G87" s="77"/>
      <c r="H87" s="681">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0"/>
      <c r="C88" s="69" t="str">
        <f>IF(CupDraw!J89="","",CupDraw!J89)</f>
        <v/>
      </c>
      <c r="D88" s="73" t="str">
        <f>IF(CupDraw!K89="","",CupDraw!K89)</f>
        <v/>
      </c>
      <c r="E88" s="684" t="str">
        <f>IF(CupDraw!L89="","",CupDraw!L89)</f>
        <v/>
      </c>
      <c r="F88" s="77"/>
      <c r="G88" s="77"/>
      <c r="H88" s="680"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1"/>
      <c r="C89" s="69" t="str">
        <f>IF(CupDraw!J90="","",CupDraw!J90)</f>
        <v/>
      </c>
      <c r="D89" s="73" t="str">
        <f>IF(CupDraw!K90="","",CupDraw!K90)</f>
        <v/>
      </c>
      <c r="E89" s="685" t="str">
        <f>IF(CupDraw!L90="","",CupDraw!L90)</f>
        <v/>
      </c>
      <c r="F89" s="77"/>
      <c r="G89" s="77"/>
      <c r="H89" s="681">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4" t="str">
        <f>IF(CupDraw!L91="","",CupDraw!L91)</f>
        <v/>
      </c>
      <c r="F90" s="77"/>
      <c r="G90" s="77"/>
      <c r="H90" s="680"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5" t="str">
        <f>IF(CupDraw!L92="","",CupDraw!L92)</f>
        <v/>
      </c>
      <c r="F91" s="77"/>
      <c r="G91" s="77"/>
      <c r="H91" s="681">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0"/>
      <c r="C92" s="69" t="str">
        <f>IF(CupDraw!J93="","",CupDraw!J93)</f>
        <v/>
      </c>
      <c r="D92" s="73" t="str">
        <f>IF(CupDraw!K93="","",CupDraw!K93)</f>
        <v/>
      </c>
      <c r="E92" s="684" t="str">
        <f>IF(CupDraw!L93="","",CupDraw!L93)</f>
        <v/>
      </c>
      <c r="F92" s="77"/>
      <c r="G92" s="77"/>
      <c r="H92" s="680"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1"/>
      <c r="C93" s="69" t="str">
        <f>IF(CupDraw!J94="","",CupDraw!J94)</f>
        <v/>
      </c>
      <c r="D93" s="73" t="str">
        <f>IF(CupDraw!K94="","",CupDraw!K94)</f>
        <v/>
      </c>
      <c r="E93" s="685" t="str">
        <f>IF(CupDraw!L94="","",CupDraw!L94)</f>
        <v/>
      </c>
      <c r="F93" s="77"/>
      <c r="G93" s="77"/>
      <c r="H93" s="681">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479</v>
      </c>
      <c r="C1" s="521" t="s">
        <v>556</v>
      </c>
      <c r="D1" s="521" t="s">
        <v>557</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495</v>
      </c>
      <c r="C2" s="670" t="s">
        <v>650</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707" t="str">
        <f>CONCATENATE("Promotion/Prize Places (Top 6) In Division after Round ",$C$2)</f>
        <v>Promotion/Prize Places (Top 6) In Division after Round 7</v>
      </c>
      <c r="E3" s="708"/>
      <c r="F3" s="708"/>
      <c r="G3" s="708"/>
      <c r="H3" s="709"/>
      <c r="I3" s="140"/>
      <c r="J3" s="334"/>
      <c r="K3" s="707" t="str">
        <f>CONCATENATE("Weekly Top 12 for Round ",$C$2)</f>
        <v>Weekly Top 12 for Round 7</v>
      </c>
      <c r="L3" s="708"/>
      <c r="M3" s="708"/>
      <c r="N3" s="708"/>
      <c r="O3" s="708"/>
      <c r="P3" s="708"/>
      <c r="Q3" s="708"/>
      <c r="R3" s="708"/>
      <c r="S3" s="709"/>
      <c r="T3" s="77"/>
      <c r="U3" s="519"/>
      <c r="V3" s="77"/>
      <c r="W3" s="77"/>
      <c r="X3" s="77"/>
      <c r="Y3" s="77"/>
      <c r="Z3" s="77"/>
      <c r="AA3" s="411"/>
      <c r="AB3" s="707" t="str">
        <f>CONCATENATE("League Standings after Round ",$C$2)</f>
        <v>League Standings after Round 7</v>
      </c>
      <c r="AC3" s="708"/>
      <c r="AD3" s="708"/>
      <c r="AE3" s="708"/>
      <c r="AF3" s="708"/>
      <c r="AG3" s="708"/>
      <c r="AH3" s="708"/>
      <c r="AI3" s="708"/>
      <c r="AJ3" s="708"/>
      <c r="AK3" s="708"/>
      <c r="AL3" s="709"/>
      <c r="AM3" s="77"/>
      <c r="AN3" s="686" t="s">
        <v>525</v>
      </c>
      <c r="AO3" s="686"/>
      <c r="AP3" s="686"/>
      <c r="AQ3" s="686"/>
      <c r="AR3" s="77"/>
      <c r="AS3" s="77"/>
      <c r="AT3" s="77"/>
      <c r="AU3" s="77"/>
      <c r="AV3" s="77"/>
      <c r="AW3" s="77"/>
    </row>
    <row r="4" spans="1:49" ht="27" customHeight="1">
      <c r="B4" s="77"/>
      <c r="C4" s="230" t="s">
        <v>222</v>
      </c>
      <c r="D4" s="306" t="s">
        <v>275</v>
      </c>
      <c r="E4" s="307" t="s">
        <v>276</v>
      </c>
      <c r="F4" s="134" t="s">
        <v>170</v>
      </c>
      <c r="G4" s="294" t="s">
        <v>277</v>
      </c>
      <c r="H4" s="295" t="s">
        <v>127</v>
      </c>
      <c r="I4" s="141"/>
      <c r="J4" s="334"/>
      <c r="K4" s="439" t="s">
        <v>102</v>
      </c>
      <c r="L4" s="700" t="s">
        <v>170</v>
      </c>
      <c r="M4" s="690"/>
      <c r="N4" s="541" t="s">
        <v>590</v>
      </c>
      <c r="O4" s="539" t="s">
        <v>230</v>
      </c>
      <c r="P4" s="541" t="s">
        <v>477</v>
      </c>
      <c r="Q4" s="541" t="s">
        <v>470</v>
      </c>
      <c r="R4" s="531" t="s">
        <v>468</v>
      </c>
      <c r="S4" s="532" t="s">
        <v>469</v>
      </c>
      <c r="T4" s="77"/>
      <c r="U4" s="77"/>
      <c r="V4" s="59" t="s">
        <v>232</v>
      </c>
      <c r="W4" s="59" t="s">
        <v>170</v>
      </c>
      <c r="X4" s="59" t="s">
        <v>13</v>
      </c>
      <c r="Y4" s="59" t="s">
        <v>53</v>
      </c>
      <c r="Z4" s="77"/>
      <c r="AA4" s="412"/>
      <c r="AB4" s="710" t="s">
        <v>226</v>
      </c>
      <c r="AC4" s="711"/>
      <c r="AD4" s="465"/>
      <c r="AE4" s="710" t="s">
        <v>227</v>
      </c>
      <c r="AF4" s="711"/>
      <c r="AG4" s="465"/>
      <c r="AH4" s="710" t="s">
        <v>228</v>
      </c>
      <c r="AI4" s="711"/>
      <c r="AJ4" s="465"/>
      <c r="AK4" s="710" t="s">
        <v>229</v>
      </c>
      <c r="AL4" s="711"/>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19" t="s">
        <v>226</v>
      </c>
      <c r="C5" s="231">
        <v>1</v>
      </c>
      <c r="D5" s="308">
        <f>INDEX(Table!I:I,MATCH($A5,Table!$B:$B,0))</f>
        <v>108.20457954545455</v>
      </c>
      <c r="E5" s="138">
        <f>INDEX(Table!J:J,MATCH($A5,Table!$B:$B,0))</f>
        <v>10</v>
      </c>
      <c r="F5" s="139" t="str">
        <f>INDEX(Table!F:F,MATCH($A5,Table!$B:$B,0))</f>
        <v>Pete Baron</v>
      </c>
      <c r="G5" s="308">
        <f>INDEX(Table!K:K,MATCH($A5,Table!$B:$B,0))</f>
        <v>50.453125</v>
      </c>
      <c r="H5" s="138">
        <f>INDEX(Table!L:L,MATCH($A5,Table!$B:$B,0))</f>
        <v>3</v>
      </c>
      <c r="I5" s="140"/>
      <c r="J5" s="607">
        <v>1</v>
      </c>
      <c r="K5" s="234">
        <v>10</v>
      </c>
      <c r="L5" s="723" t="str">
        <f>INDEX(Weekly!E:E,MATCH($J5,Weekly!$B:$B,0))</f>
        <v>Pete Baron</v>
      </c>
      <c r="M5" s="724"/>
      <c r="N5" s="542">
        <f>INDEX(Weekly!A:A,MATCH($L5,Weekly!$E:$E,0))</f>
        <v>3</v>
      </c>
      <c r="O5" s="537" t="str">
        <f>INDEX(Weekly!D:D,MATCH($L5,Weekly!$E:$E,0))</f>
        <v>A</v>
      </c>
      <c r="P5" s="537">
        <f>INDEX(Table!D:D,MATCH($L5,Table!$F:$F,0))</f>
        <v>1</v>
      </c>
      <c r="Q5" s="546">
        <f>INDEX(Weekly!F:F,MATCH($L5,Weekly!$E:$E,0))</f>
        <v>108.20457954545455</v>
      </c>
      <c r="R5" s="550">
        <f>INDEX(Weekly!I:I,MATCH($L5,Weekly!$E:$E,0))</f>
        <v>3</v>
      </c>
      <c r="S5" s="373">
        <f>INDEX(Weekly!H:H,MATCH($L5,Weekly!$E:$E,0))</f>
        <v>50.453125</v>
      </c>
      <c r="T5" s="77"/>
      <c r="U5" s="77">
        <v>1</v>
      </c>
      <c r="V5" s="77"/>
      <c r="W5" s="77"/>
      <c r="X5" s="77"/>
      <c r="Y5" s="77"/>
      <c r="Z5" s="77"/>
      <c r="AA5" s="413" t="s">
        <v>38</v>
      </c>
      <c r="AB5" s="416" t="str">
        <f>INDEX(Table!$F:$F,MATCH(AA5,Table!$B:$B,0))</f>
        <v>Pete Baron</v>
      </c>
      <c r="AC5" s="417">
        <f>INDEX(Table!$I:$I,MATCH(AA5,Table!$B:$B,0))</f>
        <v>108.20457954545455</v>
      </c>
      <c r="AD5" s="418" t="s">
        <v>243</v>
      </c>
      <c r="AE5" s="475" t="str">
        <f>INDEX(Table!$F:$F,MATCH(AD5,Table!$B:$B,0))</f>
        <v>Alan Bond</v>
      </c>
      <c r="AF5" s="417">
        <f>INDEX(Table!$I:$I,MATCH(AD5,Table!$B:$B,0))</f>
        <v>119.43312499999999</v>
      </c>
      <c r="AG5" s="418" t="s">
        <v>248</v>
      </c>
      <c r="AH5" s="475" t="str">
        <f>INDEX(Table!$F:$F,MATCH(AG5,Table!$B:$B,0))</f>
        <v>Sally Williams</v>
      </c>
      <c r="AI5" s="417">
        <f>INDEX(Table!$I:$I,MATCH(AG5,Table!$B:$B,0))</f>
        <v>44.762</v>
      </c>
      <c r="AJ5" s="418" t="s">
        <v>36</v>
      </c>
      <c r="AK5" s="475" t="str">
        <f>INDEX(Table!$F:$F,MATCH(AJ5,Table!$B:$B,0))</f>
        <v>Ian Davies</v>
      </c>
      <c r="AL5" s="417">
        <f>INDEX(Table!$I:$I,MATCH(AJ5,Table!$B:$B,0))</f>
        <v>128.95999999999995</v>
      </c>
      <c r="AM5" s="77"/>
      <c r="AN5" s="640" t="str">
        <f>IF(AB5="","",AB5)</f>
        <v>Pete Baron</v>
      </c>
      <c r="AO5" s="640" t="str">
        <f t="shared" ref="AO5:AO20" si="0">IF(AE5="","",AE5)</f>
        <v>Alan Bond</v>
      </c>
      <c r="AP5" s="640" t="str">
        <f t="shared" ref="AP5:AP20" si="1">IF(AH5="","",AH5)</f>
        <v>Sally Williams</v>
      </c>
      <c r="AQ5" s="640" t="str">
        <f t="shared" ref="AQ5:AQ20" si="2">IF(AK5="","",AK5)</f>
        <v>Ian Davies</v>
      </c>
      <c r="AR5" s="77"/>
      <c r="AS5" s="77"/>
      <c r="AT5" s="77"/>
      <c r="AU5" s="77"/>
      <c r="AV5" s="77"/>
      <c r="AW5" s="77"/>
    </row>
    <row r="6" spans="1:49" ht="18" customHeight="1">
      <c r="A6" s="8" t="s">
        <v>39</v>
      </c>
      <c r="B6" s="720"/>
      <c r="C6" s="231">
        <v>2</v>
      </c>
      <c r="D6" s="308">
        <f>INDEX(Table!I:I,MATCH($A6,Table!$B:$B,0))</f>
        <v>77.140060606060601</v>
      </c>
      <c r="E6" s="138">
        <f>INDEX(Table!J:J,MATCH($A6,Table!$B:$B,0))</f>
        <v>10</v>
      </c>
      <c r="F6" s="139" t="str">
        <f>INDEX(Table!F:F,MATCH($A6,Table!$B:$B,0))</f>
        <v>Dan Gibbard</v>
      </c>
      <c r="G6" s="308">
        <f>INDEX(Table!K:K,MATCH($A6,Table!$B:$B,0))</f>
        <v>12.606060606060606</v>
      </c>
      <c r="H6" s="138">
        <f>INDEX(Table!L:L,MATCH($A6,Table!$B:$B,0))</f>
        <v>3</v>
      </c>
      <c r="I6" s="140"/>
      <c r="J6" s="607">
        <v>2</v>
      </c>
      <c r="K6" s="234">
        <v>5</v>
      </c>
      <c r="L6" s="725" t="str">
        <f>INDEX(Weekly!E:E,MATCH($J6,Weekly!$B:$B,0))</f>
        <v>Howard Bradley</v>
      </c>
      <c r="M6" s="726"/>
      <c r="N6" s="542">
        <f>INDEX(Weekly!A:A,MATCH($L6,Weekly!$E:$E,0))</f>
        <v>13</v>
      </c>
      <c r="O6" s="537" t="str">
        <f>INDEX(Weekly!D:D,MATCH($L6,Weekly!$E:$E,0))</f>
        <v>B</v>
      </c>
      <c r="P6" s="537">
        <f>INDEX(Table!D:D,MATCH($L6,Table!$F:$F,0))</f>
        <v>4</v>
      </c>
      <c r="Q6" s="546">
        <f>INDEX(Weekly!F:F,MATCH($L6,Weekly!$E:$E,0))</f>
        <v>26.608441558441559</v>
      </c>
      <c r="R6" s="550">
        <f>INDEX(Weekly!I:I,MATCH($L6,Weekly!$E:$E,0))</f>
        <v>3</v>
      </c>
      <c r="S6" s="373">
        <f>INDEX(Weekly!H:H,MATCH($L6,Weekly!$E:$E,0))</f>
        <v>36.625</v>
      </c>
      <c r="T6" s="77"/>
      <c r="U6" s="77">
        <v>2</v>
      </c>
      <c r="V6" s="77"/>
      <c r="W6" s="77"/>
      <c r="X6" s="77"/>
      <c r="Y6" s="77"/>
      <c r="Z6" s="77"/>
      <c r="AA6" s="413" t="s">
        <v>39</v>
      </c>
      <c r="AB6" s="416" t="str">
        <f>INDEX(Table!F:F,MATCH(AA6,Table!$B:$B,0))</f>
        <v>Dan Gibbard</v>
      </c>
      <c r="AC6" s="417">
        <f>INDEX(Table!I:I,MATCH(AA6,Table!$B:$B,0))</f>
        <v>77.140060606060601</v>
      </c>
      <c r="AD6" s="418" t="s">
        <v>244</v>
      </c>
      <c r="AE6" s="475" t="str">
        <f>INDEX(Table!$F:$F,MATCH(AD6,Table!$B:$B,0))</f>
        <v>Steve Carter</v>
      </c>
      <c r="AF6" s="417">
        <f>INDEX(Table!$I:$I,MATCH(AD6,Table!$B:$B,0))</f>
        <v>29.96329545454546</v>
      </c>
      <c r="AG6" s="418" t="s">
        <v>249</v>
      </c>
      <c r="AH6" s="475" t="str">
        <f>INDEX(Table!$F:$F,MATCH(AG6,Table!$B:$B,0))</f>
        <v>Andy Charleston</v>
      </c>
      <c r="AI6" s="417">
        <f>INDEX(Table!$I:$I,MATCH(AG6,Table!$B:$B,0))</f>
        <v>34.578969237832879</v>
      </c>
      <c r="AJ6" s="418" t="s">
        <v>37</v>
      </c>
      <c r="AK6" s="475" t="str">
        <f>INDEX(Table!$F:$F,MATCH(AJ6,Table!$B:$B,0))</f>
        <v>Alan White</v>
      </c>
      <c r="AL6" s="417">
        <f>INDEX(Table!$I:$I,MATCH(AJ6,Table!$B:$B,0))</f>
        <v>-2.7776623376623339</v>
      </c>
      <c r="AM6" s="77"/>
      <c r="AN6" s="640" t="str">
        <f t="shared" ref="AN6:AN20" si="3">IF(AB6="","",AB6)</f>
        <v>Dan Gibbard</v>
      </c>
      <c r="AO6" s="640" t="str">
        <f t="shared" si="0"/>
        <v>Steve Carter</v>
      </c>
      <c r="AP6" s="640" t="str">
        <f t="shared" si="1"/>
        <v>Andy Charleston</v>
      </c>
      <c r="AQ6" s="640" t="str">
        <f t="shared" si="2"/>
        <v>Alan White</v>
      </c>
      <c r="AR6" s="77"/>
      <c r="AS6" s="77"/>
      <c r="AT6" s="77"/>
      <c r="AU6" s="77"/>
      <c r="AV6" s="77"/>
      <c r="AW6" s="77"/>
    </row>
    <row r="7" spans="1:49" ht="18" customHeight="1">
      <c r="A7" s="8" t="s">
        <v>240</v>
      </c>
      <c r="B7" s="720"/>
      <c r="C7" s="231">
        <v>3</v>
      </c>
      <c r="D7" s="308">
        <f>INDEX(Table!I:I,MATCH($A7,Table!$B:$B,0))</f>
        <v>49.919659090909093</v>
      </c>
      <c r="E7" s="138">
        <f>INDEX(Table!J:J,MATCH($A7,Table!$B:$B,0))</f>
        <v>12</v>
      </c>
      <c r="F7" s="139" t="str">
        <f>INDEX(Table!F:F,MATCH($A7,Table!$B:$B,0))</f>
        <v>Mike Penk</v>
      </c>
      <c r="G7" s="308">
        <f>INDEX(Table!K:K,MATCH($A7,Table!$B:$B,0))</f>
        <v>24.40625</v>
      </c>
      <c r="H7" s="138">
        <f>INDEX(Table!L:L,MATCH($A7,Table!$B:$B,0))</f>
        <v>3</v>
      </c>
      <c r="I7" s="140"/>
      <c r="J7" s="607">
        <v>3</v>
      </c>
      <c r="K7" s="234">
        <v>5</v>
      </c>
      <c r="L7" s="725" t="str">
        <f>INDEX(Weekly!E:E,MATCH($J7,Weekly!$B:$B,0))</f>
        <v>Alan Bond</v>
      </c>
      <c r="M7" s="726"/>
      <c r="N7" s="542">
        <f>INDEX(Weekly!A:A,MATCH($L7,Weekly!$E:$E,0))</f>
        <v>2</v>
      </c>
      <c r="O7" s="537" t="str">
        <f>INDEX(Weekly!D:D,MATCH($L7,Weekly!$E:$E,0))</f>
        <v>B</v>
      </c>
      <c r="P7" s="537">
        <f>INDEX(Table!D:D,MATCH($L7,Table!$F:$F,0))</f>
        <v>1</v>
      </c>
      <c r="Q7" s="546">
        <f>INDEX(Weekly!F:F,MATCH($L7,Weekly!$E:$E,0))</f>
        <v>119.43312499999999</v>
      </c>
      <c r="R7" s="550">
        <f>INDEX(Weekly!I:I,MATCH($L7,Weekly!$E:$E,0))</f>
        <v>3</v>
      </c>
      <c r="S7" s="373">
        <f>INDEX(Weekly!H:H,MATCH($L7,Weekly!$E:$E,0))</f>
        <v>36.263124999999995</v>
      </c>
      <c r="T7" s="77"/>
      <c r="U7" s="77">
        <v>3</v>
      </c>
      <c r="V7" s="77"/>
      <c r="W7" s="77"/>
      <c r="X7" s="77"/>
      <c r="Y7" s="77"/>
      <c r="Z7" s="77"/>
      <c r="AA7" s="413" t="s">
        <v>240</v>
      </c>
      <c r="AB7" s="416" t="str">
        <f>INDEX(Table!F:F,MATCH(AA7,Table!$B:$B,0))</f>
        <v>Mike Penk</v>
      </c>
      <c r="AC7" s="417">
        <f>INDEX(Table!I:I,MATCH(AA7,Table!$B:$B,0))</f>
        <v>49.919659090909093</v>
      </c>
      <c r="AD7" s="418" t="s">
        <v>245</v>
      </c>
      <c r="AE7" s="475" t="str">
        <f>INDEX(Table!$F:$F,MATCH(AD7,Table!$B:$B,0))</f>
        <v>Chris Luck</v>
      </c>
      <c r="AF7" s="417">
        <f>INDEX(Table!$I:$I,MATCH(AD7,Table!$B:$B,0))</f>
        <v>28.219999999999992</v>
      </c>
      <c r="AG7" s="418" t="s">
        <v>250</v>
      </c>
      <c r="AH7" s="475" t="str">
        <f>INDEX(Table!$F:$F,MATCH(AG7,Table!$B:$B,0))</f>
        <v>Vinny Topping</v>
      </c>
      <c r="AI7" s="417">
        <f>INDEX(Table!$I:$I,MATCH(AG7,Table!$B:$B,0))</f>
        <v>19.866035353535352</v>
      </c>
      <c r="AJ7" s="418" t="s">
        <v>253</v>
      </c>
      <c r="AK7" s="475" t="str">
        <f>INDEX(Table!$F:$F,MATCH(AJ7,Table!$B:$B,0))</f>
        <v>Alan Rogers</v>
      </c>
      <c r="AL7" s="417">
        <f>INDEX(Table!$I:$I,MATCH(AJ7,Table!$B:$B,0))</f>
        <v>-5.45</v>
      </c>
      <c r="AM7" s="77"/>
      <c r="AN7" s="640" t="str">
        <f t="shared" si="3"/>
        <v>Mike Penk</v>
      </c>
      <c r="AO7" s="640" t="str">
        <f t="shared" si="0"/>
        <v>Chris Luck</v>
      </c>
      <c r="AP7" s="640" t="str">
        <f t="shared" si="1"/>
        <v>Vinny Topping</v>
      </c>
      <c r="AQ7" s="640" t="str">
        <f t="shared" si="2"/>
        <v>Alan Rogers</v>
      </c>
      <c r="AR7" s="77"/>
      <c r="AS7" s="77"/>
      <c r="AT7" s="77"/>
      <c r="AU7" s="77"/>
      <c r="AV7" s="77"/>
      <c r="AW7" s="77"/>
    </row>
    <row r="8" spans="1:49" ht="18" customHeight="1" thickBot="1">
      <c r="A8" s="8" t="s">
        <v>241</v>
      </c>
      <c r="B8" s="720"/>
      <c r="C8" s="231">
        <v>4</v>
      </c>
      <c r="D8" s="308">
        <f>INDEX(Table!I:I,MATCH($A8,Table!$B:$B,0))</f>
        <v>37.832250000000002</v>
      </c>
      <c r="E8" s="138">
        <f>INDEX(Table!J:J,MATCH($A8,Table!$B:$B,0))</f>
        <v>10</v>
      </c>
      <c r="F8" s="139" t="str">
        <f>INDEX(Table!F:F,MATCH($A8,Table!$B:$B,0))</f>
        <v>Jack Walsh</v>
      </c>
      <c r="G8" s="308">
        <f>INDEX(Table!K:K,MATCH($A8,Table!$B:$B,0))</f>
        <v>11.40625</v>
      </c>
      <c r="H8" s="138">
        <f>INDEX(Table!L:L,MATCH($A8,Table!$B:$B,0))</f>
        <v>2</v>
      </c>
      <c r="I8" s="607"/>
      <c r="J8" s="607">
        <v>4</v>
      </c>
      <c r="K8" s="305">
        <v>5</v>
      </c>
      <c r="L8" s="727" t="str">
        <f>INDEX(Weekly!E:E,MATCH($J8,Weekly!$B:$B,0))</f>
        <v>Mike Penk</v>
      </c>
      <c r="M8" s="728"/>
      <c r="N8" s="543">
        <f>INDEX(Weekly!A:A,MATCH($L8,Weekly!$E:$E,0))</f>
        <v>5</v>
      </c>
      <c r="O8" s="540" t="str">
        <f>INDEX(Weekly!D:D,MATCH($L8,Weekly!$E:$E,0))</f>
        <v>A</v>
      </c>
      <c r="P8" s="540">
        <f>INDEX(Table!D:D,MATCH($L8,Table!$F:$F,0))</f>
        <v>3</v>
      </c>
      <c r="Q8" s="547">
        <f>INDEX(Weekly!F:F,MATCH($L8,Weekly!$E:$E,0))</f>
        <v>49.919659090909093</v>
      </c>
      <c r="R8" s="551">
        <f>INDEX(Weekly!I:I,MATCH($L8,Weekly!$E:$E,0))</f>
        <v>3</v>
      </c>
      <c r="S8" s="464">
        <f>INDEX(Weekly!H:H,MATCH($L8,Weekly!$E:$E,0))</f>
        <v>24.40625</v>
      </c>
      <c r="T8" s="77"/>
      <c r="U8" s="77">
        <v>4</v>
      </c>
      <c r="V8" s="77"/>
      <c r="W8" s="77"/>
      <c r="X8" s="77"/>
      <c r="Y8" s="77"/>
      <c r="Z8" s="77"/>
      <c r="AA8" s="413" t="s">
        <v>241</v>
      </c>
      <c r="AB8" s="416" t="str">
        <f>INDEX(Table!F:F,MATCH(AA8,Table!$B:$B,0))</f>
        <v>Jack Walsh</v>
      </c>
      <c r="AC8" s="417">
        <f>INDEX(Table!I:I,MATCH(AA8,Table!$B:$B,0))</f>
        <v>37.832250000000002</v>
      </c>
      <c r="AD8" s="418" t="s">
        <v>246</v>
      </c>
      <c r="AE8" s="475" t="str">
        <f>INDEX(Table!$F:$F,MATCH(AD8,Table!$B:$B,0))</f>
        <v>Howard Bradley</v>
      </c>
      <c r="AF8" s="417">
        <f>INDEX(Table!$I:$I,MATCH(AD8,Table!$B:$B,0))</f>
        <v>26.608441558441559</v>
      </c>
      <c r="AG8" s="418" t="s">
        <v>251</v>
      </c>
      <c r="AH8" s="475" t="str">
        <f>INDEX(Table!$F:$F,MATCH(AG8,Table!$B:$B,0))</f>
        <v>Chris Bow</v>
      </c>
      <c r="AI8" s="417">
        <f>INDEX(Table!$I:$I,MATCH(AG8,Table!$B:$B,0))</f>
        <v>2.7083333333333268</v>
      </c>
      <c r="AJ8" s="418" t="s">
        <v>325</v>
      </c>
      <c r="AK8" s="475" t="str">
        <f>INDEX(Table!$F:$F,MATCH(AJ8,Table!$B:$B,0))</f>
        <v>Ben Rosser</v>
      </c>
      <c r="AL8" s="417">
        <f>INDEX(Table!$I:$I,MATCH(AJ8,Table!$B:$B,0))</f>
        <v>-5.6451515151515146</v>
      </c>
      <c r="AM8" s="77"/>
      <c r="AN8" s="640" t="str">
        <f t="shared" si="3"/>
        <v>Jack Walsh</v>
      </c>
      <c r="AO8" s="640" t="str">
        <f t="shared" si="0"/>
        <v>Howard Bradley</v>
      </c>
      <c r="AP8" s="640" t="str">
        <f t="shared" si="1"/>
        <v>Chris Bow</v>
      </c>
      <c r="AQ8" s="640" t="str">
        <f t="shared" si="2"/>
        <v>Ben Rosser</v>
      </c>
      <c r="AR8" s="77"/>
      <c r="AS8" s="77"/>
      <c r="AT8" s="77"/>
      <c r="AU8" s="77"/>
      <c r="AV8" s="77"/>
      <c r="AW8" s="77"/>
    </row>
    <row r="9" spans="1:49" ht="18" customHeight="1" thickTop="1">
      <c r="A9" s="8" t="s">
        <v>242</v>
      </c>
      <c r="B9" s="720"/>
      <c r="C9" s="231">
        <v>5</v>
      </c>
      <c r="D9" s="308">
        <f>INDEX(Table!I:I,MATCH($A9,Table!$B:$B,0))</f>
        <v>32.387050432206678</v>
      </c>
      <c r="E9" s="138">
        <f>INDEX(Table!J:J,MATCH($A9,Table!$B:$B,0))</f>
        <v>12</v>
      </c>
      <c r="F9" s="139" t="str">
        <f>INDEX(Table!F:F,MATCH($A9,Table!$B:$B,0))</f>
        <v>Andy White</v>
      </c>
      <c r="G9" s="308">
        <f>INDEX(Table!K:K,MATCH($A9,Table!$B:$B,0))</f>
        <v>-5.05</v>
      </c>
      <c r="H9" s="138">
        <f>INDEX(Table!L:L,MATCH($A9,Table!$B:$B,0))</f>
        <v>1</v>
      </c>
      <c r="I9" s="607"/>
      <c r="J9" s="607">
        <v>5</v>
      </c>
      <c r="K9" s="304"/>
      <c r="L9" s="714" t="str">
        <f>INDEX(Weekly!E:E,MATCH($J9,Weekly!$B:$B,0))</f>
        <v>Martin Molyneux</v>
      </c>
      <c r="M9" s="715"/>
      <c r="N9" s="544">
        <f>INDEX(Weekly!A:A,MATCH($L9,Weekly!$E:$E,0))</f>
        <v>11</v>
      </c>
      <c r="O9" s="536" t="str">
        <f>INDEX(Weekly!D:D,MATCH($L9,Weekly!$E:$E,0))</f>
        <v>A</v>
      </c>
      <c r="P9" s="536">
        <f>INDEX(Table!D:D,MATCH($L9,Table!$F:$F,0))</f>
        <v>6</v>
      </c>
      <c r="Q9" s="548">
        <f>INDEX(Weekly!F:F,MATCH($L9,Weekly!$E:$E,0))</f>
        <v>29.186257329971617</v>
      </c>
      <c r="R9" s="552">
        <f>INDEX(Weekly!I:I,MATCH($L9,Weekly!$E:$E,0))</f>
        <v>3</v>
      </c>
      <c r="S9" s="374">
        <f>INDEX(Weekly!H:H,MATCH($L9,Weekly!$E:$E,0))</f>
        <v>17.963636363636361</v>
      </c>
      <c r="T9" s="77"/>
      <c r="U9" s="77">
        <v>5</v>
      </c>
      <c r="V9" s="77"/>
      <c r="W9" s="77"/>
      <c r="X9" s="77"/>
      <c r="Y9" s="77"/>
      <c r="Z9" s="77"/>
      <c r="AA9" s="413" t="s">
        <v>242</v>
      </c>
      <c r="AB9" s="416" t="str">
        <f>INDEX(Table!F:F,MATCH(AA9,Table!$B:$B,0))</f>
        <v>Andy White</v>
      </c>
      <c r="AC9" s="417">
        <f>INDEX(Table!I:I,MATCH(AA9,Table!$B:$B,0))</f>
        <v>32.387050432206678</v>
      </c>
      <c r="AD9" s="418" t="s">
        <v>247</v>
      </c>
      <c r="AE9" s="475" t="str">
        <f>INDEX(Table!$F:$F,MATCH(AD9,Table!$B:$B,0))</f>
        <v>Gerard Ventom</v>
      </c>
      <c r="AF9" s="417">
        <f>INDEX(Table!$I:$I,MATCH(AD9,Table!$B:$B,0))</f>
        <v>24.800000000000004</v>
      </c>
      <c r="AG9" s="418" t="s">
        <v>252</v>
      </c>
      <c r="AH9" s="475" t="str">
        <f>INDEX(Table!$F:$F,MATCH(AG9,Table!$B:$B,0))</f>
        <v>Martin Tarbuck</v>
      </c>
      <c r="AI9" s="417">
        <f>INDEX(Table!$I:$I,MATCH(AG9,Table!$B:$B,0))</f>
        <v>1.3868298368298397</v>
      </c>
      <c r="AJ9" s="418" t="s">
        <v>254</v>
      </c>
      <c r="AK9" s="475" t="str">
        <f>INDEX(Table!$F:$F,MATCH(AJ9,Table!$B:$B,0))</f>
        <v>Alex Griffin</v>
      </c>
      <c r="AL9" s="417">
        <f>INDEX(Table!$I:$I,MATCH(AJ9,Table!$B:$B,0))</f>
        <v>-9.7043876262626263</v>
      </c>
      <c r="AM9" s="77"/>
      <c r="AN9" s="640" t="str">
        <f t="shared" si="3"/>
        <v>Andy White</v>
      </c>
      <c r="AO9" s="640" t="str">
        <f t="shared" si="0"/>
        <v>Gerard Ventom</v>
      </c>
      <c r="AP9" s="640" t="str">
        <f t="shared" si="1"/>
        <v>Martin Tarbuck</v>
      </c>
      <c r="AQ9" s="640" t="str">
        <f t="shared" si="2"/>
        <v>Alex Griffin</v>
      </c>
      <c r="AR9" s="77"/>
      <c r="AS9" s="77"/>
      <c r="AT9" s="77"/>
      <c r="AU9" s="77"/>
      <c r="AV9" s="77"/>
      <c r="AW9" s="77"/>
    </row>
    <row r="10" spans="1:49" ht="18" customHeight="1" thickBot="1">
      <c r="A10" s="8" t="s">
        <v>319</v>
      </c>
      <c r="B10" s="721"/>
      <c r="C10" s="231">
        <v>6</v>
      </c>
      <c r="D10" s="312">
        <f>INDEX(Table!I:I,MATCH($A10,Table!$B:$B,0))</f>
        <v>29.186257329971617</v>
      </c>
      <c r="E10" s="313">
        <f>INDEX(Table!J:J,MATCH($A10,Table!$B:$B,0))</f>
        <v>16</v>
      </c>
      <c r="F10" s="314" t="str">
        <f>INDEX(Table!F:F,MATCH($A10,Table!$B:$B,0))</f>
        <v>Martin Molyneux</v>
      </c>
      <c r="G10" s="312">
        <f>INDEX(Table!K:K,MATCH($A10,Table!$B:$B,0))</f>
        <v>17.963636363636361</v>
      </c>
      <c r="H10" s="313">
        <f>INDEX(Table!L:L,MATCH($A10,Table!$B:$B,0))</f>
        <v>3</v>
      </c>
      <c r="I10" s="607"/>
      <c r="J10" s="607">
        <v>6</v>
      </c>
      <c r="K10" s="234"/>
      <c r="L10" s="717" t="str">
        <f>INDEX(Weekly!E:E,MATCH($J10,Weekly!$B:$B,0))</f>
        <v>Dan Gibbard</v>
      </c>
      <c r="M10" s="718"/>
      <c r="N10" s="542">
        <f>INDEX(Weekly!A:A,MATCH($L10,Weekly!$E:$E,0))</f>
        <v>4</v>
      </c>
      <c r="O10" s="537" t="str">
        <f>INDEX(Weekly!D:D,MATCH($L10,Weekly!$E:$E,0))</f>
        <v>A</v>
      </c>
      <c r="P10" s="537">
        <f>INDEX(Table!D:D,MATCH($L10,Table!$F:$F,0))</f>
        <v>2</v>
      </c>
      <c r="Q10" s="546">
        <f>INDEX(Weekly!F:F,MATCH($L10,Weekly!$E:$E,0))</f>
        <v>77.140060606060601</v>
      </c>
      <c r="R10" s="553">
        <f>INDEX(Weekly!I:I,MATCH($L10,Weekly!$E:$E,0))</f>
        <v>3</v>
      </c>
      <c r="S10" s="374">
        <f>INDEX(Weekly!H:H,MATCH($L10,Weekly!$E:$E,0))</f>
        <v>12.606060606060606</v>
      </c>
      <c r="T10" s="77"/>
      <c r="U10" s="77">
        <v>6</v>
      </c>
      <c r="V10" s="77"/>
      <c r="W10" s="77"/>
      <c r="X10" s="77"/>
      <c r="Y10" s="77"/>
      <c r="Z10" s="77"/>
      <c r="AA10" s="414" t="s">
        <v>319</v>
      </c>
      <c r="AB10" s="419" t="str">
        <f>INDEX(Table!F:F,MATCH(AA10,Table!$B:$B,0))</f>
        <v>Martin Molyneux</v>
      </c>
      <c r="AC10" s="420">
        <f>INDEX(Table!I:I,MATCH(AA10,Table!$B:$B,0))</f>
        <v>29.186257329971617</v>
      </c>
      <c r="AD10" s="421" t="s">
        <v>320</v>
      </c>
      <c r="AE10" s="476" t="str">
        <f>INDEX(Table!$F:$F,MATCH(AD10,Table!$B:$B,0))</f>
        <v>Paul Allen</v>
      </c>
      <c r="AF10" s="420">
        <f>INDEX(Table!$I:$I,MATCH(AD10,Table!$B:$B,0))</f>
        <v>12.720714285714283</v>
      </c>
      <c r="AG10" s="421" t="s">
        <v>321</v>
      </c>
      <c r="AH10" s="476" t="str">
        <f>INDEX(Table!$F:$F,MATCH(AG10,Table!$B:$B,0))</f>
        <v>Phil Miller</v>
      </c>
      <c r="AI10" s="420">
        <f>INDEX(Table!$I:$I,MATCH(AG10,Table!$B:$B,0))</f>
        <v>0.9261760461760522</v>
      </c>
      <c r="AJ10" s="421" t="s">
        <v>322</v>
      </c>
      <c r="AK10" s="476" t="str">
        <f>INDEX(Table!$F:$F,MATCH(AJ10,Table!$B:$B,0))</f>
        <v>Simon Greenhalgh</v>
      </c>
      <c r="AL10" s="420">
        <f>INDEX(Table!$I:$I,MATCH(AJ10,Table!$B:$B,0))</f>
        <v>-15.379999999999999</v>
      </c>
      <c r="AM10" s="77"/>
      <c r="AN10" s="640" t="str">
        <f t="shared" si="3"/>
        <v>Martin Molyneux</v>
      </c>
      <c r="AO10" s="640" t="str">
        <f t="shared" si="0"/>
        <v>Paul Allen</v>
      </c>
      <c r="AP10" s="640" t="str">
        <f t="shared" si="1"/>
        <v>Phil Miller</v>
      </c>
      <c r="AQ10" s="640" t="str">
        <f t="shared" si="2"/>
        <v>Simon Greenhalgh</v>
      </c>
      <c r="AR10" s="77"/>
      <c r="AS10" s="77"/>
      <c r="AT10" s="77"/>
      <c r="AU10" s="77"/>
      <c r="AV10" s="77"/>
      <c r="AW10" s="77"/>
    </row>
    <row r="11" spans="1:49" ht="18" customHeight="1" thickTop="1">
      <c r="A11" s="8" t="s">
        <v>243</v>
      </c>
      <c r="B11" s="719" t="s">
        <v>227</v>
      </c>
      <c r="C11" s="231">
        <v>1</v>
      </c>
      <c r="D11" s="309">
        <f>INDEX(Table!I:I,MATCH($A11,Table!$B:$B,0))</f>
        <v>119.43312499999999</v>
      </c>
      <c r="E11" s="310">
        <f>INDEX(Table!J:J,MATCH($A11,Table!$B:$B,0))</f>
        <v>11</v>
      </c>
      <c r="F11" s="311" t="str">
        <f>INDEX(Table!F:F,MATCH($A11,Table!$B:$B,0))</f>
        <v>Alan Bond</v>
      </c>
      <c r="G11" s="309">
        <f>INDEX(Table!K:K,MATCH($A11,Table!$B:$B,0))</f>
        <v>36.263124999999995</v>
      </c>
      <c r="H11" s="310">
        <f>INDEX(Table!L:L,MATCH($A11,Table!$B:$B,0))</f>
        <v>3</v>
      </c>
      <c r="I11" s="607"/>
      <c r="J11" s="607">
        <v>7</v>
      </c>
      <c r="K11" s="234"/>
      <c r="L11" s="717" t="str">
        <f>INDEX(Weekly!E:E,MATCH($J11,Weekly!$B:$B,0))</f>
        <v>Jack Walsh</v>
      </c>
      <c r="M11" s="718"/>
      <c r="N11" s="542">
        <f>INDEX(Weekly!A:A,MATCH($L11,Weekly!$E:$E,0))</f>
        <v>7</v>
      </c>
      <c r="O11" s="537" t="str">
        <f>INDEX(Weekly!D:D,MATCH($L11,Weekly!$E:$E,0))</f>
        <v>A</v>
      </c>
      <c r="P11" s="537">
        <f>INDEX(Table!D:D,MATCH($L11,Table!$F:$F,0))</f>
        <v>4</v>
      </c>
      <c r="Q11" s="546">
        <f>INDEX(Weekly!F:F,MATCH($L11,Weekly!$E:$E,0))</f>
        <v>37.832250000000002</v>
      </c>
      <c r="R11" s="553">
        <f>INDEX(Weekly!I:I,MATCH($L11,Weekly!$E:$E,0))</f>
        <v>2</v>
      </c>
      <c r="S11" s="374">
        <f>INDEX(Weekly!H:H,MATCH($L11,Weekly!$E:$E,0))</f>
        <v>11.40625</v>
      </c>
      <c r="T11" s="77"/>
      <c r="U11" s="77">
        <v>7</v>
      </c>
      <c r="V11" s="77"/>
      <c r="W11" s="77"/>
      <c r="X11" s="77"/>
      <c r="Y11" s="77"/>
      <c r="Z11" s="77"/>
      <c r="AA11" s="415" t="s">
        <v>386</v>
      </c>
      <c r="AB11" s="422" t="str">
        <f>INDEX(Table!F:F,MATCH(AA11,Table!$B:$B,0))</f>
        <v>Paul Fairhurst</v>
      </c>
      <c r="AC11" s="424">
        <f>INDEX(Table!I:I,MATCH(AA11,Table!$B:$B,0))</f>
        <v>18.33636363636364</v>
      </c>
      <c r="AD11" s="425" t="s">
        <v>395</v>
      </c>
      <c r="AE11" s="496" t="str">
        <f>INDEX(Table!$F:$F,MATCH(AD11,Table!$B:$B,0))</f>
        <v>Nigel Heyes</v>
      </c>
      <c r="AF11" s="486">
        <f>INDEX(Table!$I:$I,MATCH(AD11,Table!$B:$B,0))</f>
        <v>5.1136363636379301E-3</v>
      </c>
      <c r="AG11" s="487" t="s">
        <v>405</v>
      </c>
      <c r="AH11" s="500" t="str">
        <f>INDEX(Table!$F:$F,MATCH(AG11,Table!$B:$B,0))</f>
        <v>Charlie Griffiths</v>
      </c>
      <c r="AI11" s="486">
        <f>INDEX(Table!$I:$I,MATCH(AG11,Table!$B:$B,0))</f>
        <v>-7.7327777777777795</v>
      </c>
      <c r="AJ11" s="487" t="s">
        <v>415</v>
      </c>
      <c r="AK11" s="503" t="str">
        <f>INDEX(Table!$F:$F,MATCH(AJ11,Table!$B:$B,0))</f>
        <v>Paul Barnes</v>
      </c>
      <c r="AL11" s="424">
        <f>INDEX(Table!$I:$I,MATCH(AJ11,Table!$B:$B,0))</f>
        <v>-16.001249999999999</v>
      </c>
      <c r="AM11" s="77"/>
      <c r="AN11" s="640" t="str">
        <f t="shared" si="3"/>
        <v>Paul Fairhurst</v>
      </c>
      <c r="AO11" s="640" t="str">
        <f t="shared" si="0"/>
        <v>Nigel Heyes</v>
      </c>
      <c r="AP11" s="640" t="str">
        <f t="shared" si="1"/>
        <v>Charlie Griffiths</v>
      </c>
      <c r="AQ11" s="640" t="str">
        <f t="shared" si="2"/>
        <v>Paul Barnes</v>
      </c>
      <c r="AR11" s="77"/>
      <c r="AS11" s="77"/>
      <c r="AT11" s="77"/>
      <c r="AU11" s="77"/>
      <c r="AV11" s="77"/>
      <c r="AW11" s="77"/>
    </row>
    <row r="12" spans="1:49" ht="18" customHeight="1">
      <c r="A12" s="8" t="s">
        <v>244</v>
      </c>
      <c r="B12" s="720"/>
      <c r="C12" s="231">
        <v>2</v>
      </c>
      <c r="D12" s="308">
        <f>INDEX(Table!I:I,MATCH($A12,Table!$B:$B,0))</f>
        <v>29.96329545454546</v>
      </c>
      <c r="E12" s="138">
        <f>INDEX(Table!J:J,MATCH($A12,Table!$B:$B,0))</f>
        <v>10</v>
      </c>
      <c r="F12" s="139" t="str">
        <f>INDEX(Table!F:F,MATCH($A12,Table!$B:$B,0))</f>
        <v>Steve Carter</v>
      </c>
      <c r="G12" s="308">
        <f>INDEX(Table!K:K,MATCH($A12,Table!$B:$B,0))</f>
        <v>-4.75</v>
      </c>
      <c r="H12" s="138">
        <f>INDEX(Table!L:L,MATCH($A12,Table!$B:$B,0))</f>
        <v>1</v>
      </c>
      <c r="I12" s="607"/>
      <c r="J12" s="607">
        <v>8</v>
      </c>
      <c r="K12" s="234"/>
      <c r="L12" s="717" t="str">
        <f>INDEX(Weekly!E:E,MATCH($J12,Weekly!$B:$B,0))</f>
        <v>Ben Rosser</v>
      </c>
      <c r="M12" s="718"/>
      <c r="N12" s="542">
        <f>INDEX(Weekly!A:A,MATCH($L12,Weekly!$E:$E,0))</f>
        <v>28</v>
      </c>
      <c r="O12" s="537" t="str">
        <f>INDEX(Weekly!D:D,MATCH($L12,Weekly!$E:$E,0))</f>
        <v>D</v>
      </c>
      <c r="P12" s="537">
        <f>INDEX(Table!D:D,MATCH($L12,Table!$F:$F,0))</f>
        <v>4</v>
      </c>
      <c r="Q12" s="546">
        <f>INDEX(Weekly!F:F,MATCH($L12,Weekly!$E:$E,0))</f>
        <v>-5.6451515151515146</v>
      </c>
      <c r="R12" s="553">
        <f>INDEX(Weekly!I:I,MATCH($L12,Weekly!$E:$E,0))</f>
        <v>2</v>
      </c>
      <c r="S12" s="374">
        <f>INDEX(Weekly!H:H,MATCH($L12,Weekly!$E:$E,0))</f>
        <v>10.919999999999998</v>
      </c>
      <c r="T12" s="77"/>
      <c r="U12" s="77">
        <v>8</v>
      </c>
      <c r="V12" s="77"/>
      <c r="W12" s="77"/>
      <c r="X12" s="77"/>
      <c r="Y12" s="77"/>
      <c r="Z12" s="77"/>
      <c r="AA12" s="413" t="s">
        <v>387</v>
      </c>
      <c r="AB12" s="423" t="str">
        <f>INDEX(Table!F:F,MATCH(AA12,Table!$B:$B,0))</f>
        <v>Lennie Bow</v>
      </c>
      <c r="AC12" s="427">
        <f>INDEX(Table!I:I,MATCH(AA12,Table!$B:$B,0))</f>
        <v>15.647779165279163</v>
      </c>
      <c r="AD12" s="428" t="s">
        <v>396</v>
      </c>
      <c r="AE12" s="497" t="str">
        <f>INDEX(Table!$F:$F,MATCH(AD12,Table!$B:$B,0))</f>
        <v>Mark Bunn</v>
      </c>
      <c r="AF12" s="489">
        <f>INDEX(Table!$I:$I,MATCH(AD12,Table!$B:$B,0))</f>
        <v>-2.8674999999999979</v>
      </c>
      <c r="AG12" s="490" t="s">
        <v>406</v>
      </c>
      <c r="AH12" s="498" t="str">
        <f>INDEX(Table!$F:$F,MATCH(AG12,Table!$B:$B,0))</f>
        <v>Julie Dodd</v>
      </c>
      <c r="AI12" s="489">
        <f>INDEX(Table!$I:$I,MATCH(AG12,Table!$B:$B,0))</f>
        <v>-8.9884848484848447</v>
      </c>
      <c r="AJ12" s="490" t="s">
        <v>416</v>
      </c>
      <c r="AK12" s="501" t="str">
        <f>INDEX(Table!$F:$F,MATCH(AJ12,Table!$B:$B,0))</f>
        <v>Alfie Davies</v>
      </c>
      <c r="AL12" s="427">
        <f>INDEX(Table!$I:$I,MATCH(AJ12,Table!$B:$B,0))</f>
        <v>-24.643035714285713</v>
      </c>
      <c r="AM12" s="77"/>
      <c r="AN12" s="640" t="str">
        <f t="shared" si="3"/>
        <v>Lennie Bow</v>
      </c>
      <c r="AO12" s="640" t="str">
        <f t="shared" si="0"/>
        <v>Mark Bunn</v>
      </c>
      <c r="AP12" s="640" t="str">
        <f t="shared" si="1"/>
        <v>Julie Dodd</v>
      </c>
      <c r="AQ12" s="640" t="str">
        <f t="shared" si="2"/>
        <v>Alfie Davies</v>
      </c>
      <c r="AR12" s="77"/>
      <c r="AS12" s="77"/>
      <c r="AT12" s="77"/>
      <c r="AU12" s="77"/>
      <c r="AV12" s="77"/>
      <c r="AW12" s="77"/>
    </row>
    <row r="13" spans="1:49" ht="18" customHeight="1">
      <c r="A13" s="8" t="s">
        <v>245</v>
      </c>
      <c r="B13" s="720"/>
      <c r="C13" s="231">
        <v>3</v>
      </c>
      <c r="D13" s="308">
        <f>INDEX(Table!I:I,MATCH($A13,Table!$B:$B,0))</f>
        <v>28.219999999999992</v>
      </c>
      <c r="E13" s="138">
        <f>INDEX(Table!J:J,MATCH($A13,Table!$B:$B,0))</f>
        <v>7</v>
      </c>
      <c r="F13" s="139" t="str">
        <f>INDEX(Table!F:F,MATCH($A13,Table!$B:$B,0))</f>
        <v>Chris Luck</v>
      </c>
      <c r="G13" s="308">
        <f>INDEX(Table!K:K,MATCH($A13,Table!$B:$B,0))</f>
        <v>-4.8499999999999996</v>
      </c>
      <c r="H13" s="138">
        <f>INDEX(Table!L:L,MATCH($A13,Table!$B:$B,0))</f>
        <v>1</v>
      </c>
      <c r="I13" s="607"/>
      <c r="J13" s="607">
        <v>9</v>
      </c>
      <c r="K13" s="234"/>
      <c r="L13" s="717" t="str">
        <f>INDEX(Weekly!E:E,MATCH($J13,Weekly!$B:$B,0))</f>
        <v>Paul Allen</v>
      </c>
      <c r="M13" s="718"/>
      <c r="N13" s="542">
        <f>INDEX(Weekly!A:A,MATCH($L13,Weekly!$E:$E,0))</f>
        <v>18</v>
      </c>
      <c r="O13" s="537" t="str">
        <f>INDEX(Weekly!D:D,MATCH($L13,Weekly!$E:$E,0))</f>
        <v>B</v>
      </c>
      <c r="P13" s="537">
        <f>INDEX(Table!D:D,MATCH($L13,Table!$F:$F,0))</f>
        <v>6</v>
      </c>
      <c r="Q13" s="546">
        <f>INDEX(Weekly!F:F,MATCH($L13,Weekly!$E:$E,0))</f>
        <v>12.720714285714283</v>
      </c>
      <c r="R13" s="553">
        <f>INDEX(Weekly!I:I,MATCH($L13,Weekly!$E:$E,0))</f>
        <v>2</v>
      </c>
      <c r="S13" s="374">
        <f>INDEX(Weekly!H:H,MATCH($L13,Weekly!$E:$E,0))</f>
        <v>10.059999999999999</v>
      </c>
      <c r="T13" s="77"/>
      <c r="U13" s="77">
        <v>9</v>
      </c>
      <c r="V13" s="77"/>
      <c r="W13" s="77"/>
      <c r="X13" s="77"/>
      <c r="Y13" s="77"/>
      <c r="Z13" s="77"/>
      <c r="AA13" s="413" t="s">
        <v>422</v>
      </c>
      <c r="AB13" s="494" t="str">
        <f>INDEX(Table!F:F,MATCH(AA13,Table!$B:$B,0))</f>
        <v>Mo Sudell</v>
      </c>
      <c r="AC13" s="489">
        <f>INDEX(Table!I:I,MATCH(AA13,Table!$B:$B,0))</f>
        <v>1.4071969696969724</v>
      </c>
      <c r="AD13" s="490" t="s">
        <v>397</v>
      </c>
      <c r="AE13" s="498" t="str">
        <f>INDEX(Table!$F:$F,MATCH(AD13,Table!$B:$B,0))</f>
        <v>Chris Griffin</v>
      </c>
      <c r="AF13" s="489">
        <f>INDEX(Table!$I:$I,MATCH(AD13,Table!$B:$B,0))</f>
        <v>-8.7450505050505036</v>
      </c>
      <c r="AG13" s="490" t="s">
        <v>407</v>
      </c>
      <c r="AH13" s="501" t="str">
        <f>INDEX(Table!$F:$F,MATCH(AG13,Table!$B:$B,0))</f>
        <v>Alick Rocca</v>
      </c>
      <c r="AI13" s="489">
        <f>INDEX(Table!$I:$I,MATCH(AG13,Table!$B:$B,0))</f>
        <v>-15.349999999999998</v>
      </c>
      <c r="AJ13" s="490" t="s">
        <v>417</v>
      </c>
      <c r="AK13" s="488" t="str">
        <f>INDEX(Table!$F:$F,MATCH(AJ13,Table!$B:$B,0))</f>
        <v>Frank Allen</v>
      </c>
      <c r="AL13" s="489">
        <f>INDEX(Table!$I:$I,MATCH(AJ13,Table!$B:$B,0))</f>
        <v>-24.695</v>
      </c>
      <c r="AM13" s="77"/>
      <c r="AN13" s="640" t="str">
        <f t="shared" si="3"/>
        <v>Mo Sudell</v>
      </c>
      <c r="AO13" s="640" t="str">
        <f t="shared" si="0"/>
        <v>Chris Griffin</v>
      </c>
      <c r="AP13" s="640" t="str">
        <f t="shared" si="1"/>
        <v>Alick Rocca</v>
      </c>
      <c r="AQ13" s="640" t="str">
        <f t="shared" si="2"/>
        <v>Frank Allen</v>
      </c>
      <c r="AR13" s="77"/>
      <c r="AS13" s="77"/>
      <c r="AT13" s="77"/>
      <c r="AU13" s="77"/>
      <c r="AV13" s="77"/>
      <c r="AW13" s="77"/>
    </row>
    <row r="14" spans="1:49" ht="18" customHeight="1" thickBot="1">
      <c r="A14" s="8" t="s">
        <v>246</v>
      </c>
      <c r="B14" s="720"/>
      <c r="C14" s="231">
        <v>4</v>
      </c>
      <c r="D14" s="308">
        <f>INDEX(Table!I:I,MATCH($A14,Table!$B:$B,0))</f>
        <v>26.608441558441559</v>
      </c>
      <c r="E14" s="138">
        <f>INDEX(Table!J:J,MATCH($A14,Table!$B:$B,0))</f>
        <v>12</v>
      </c>
      <c r="F14" s="139" t="str">
        <f>INDEX(Table!F:F,MATCH($A14,Table!$B:$B,0))</f>
        <v>Howard Bradley</v>
      </c>
      <c r="G14" s="308">
        <f>INDEX(Table!K:K,MATCH($A14,Table!$B:$B,0))</f>
        <v>36.625</v>
      </c>
      <c r="H14" s="138">
        <f>INDEX(Table!L:L,MATCH($A14,Table!$B:$B,0))</f>
        <v>3</v>
      </c>
      <c r="I14" s="607"/>
      <c r="J14" s="607">
        <v>10</v>
      </c>
      <c r="K14" s="234"/>
      <c r="L14" s="717" t="str">
        <f>INDEX(Weekly!E:E,MATCH($J14,Weekly!$B:$B,0))</f>
        <v>Chris Griffin</v>
      </c>
      <c r="M14" s="718"/>
      <c r="N14" s="542">
        <f>INDEX(Weekly!A:A,MATCH($L14,Weekly!$E:$E,0))</f>
        <v>31</v>
      </c>
      <c r="O14" s="537" t="str">
        <f>INDEX(Weekly!D:D,MATCH($L14,Weekly!$E:$E,0))</f>
        <v>B</v>
      </c>
      <c r="P14" s="537">
        <f>INDEX(Table!D:D,MATCH($L14,Table!$F:$F,0))</f>
        <v>9</v>
      </c>
      <c r="Q14" s="546">
        <f>INDEX(Weekly!F:F,MATCH($L14,Weekly!$E:$E,0))</f>
        <v>-8.7450505050505036</v>
      </c>
      <c r="R14" s="553">
        <f>INDEX(Weekly!I:I,MATCH($L14,Weekly!$E:$E,0))</f>
        <v>3</v>
      </c>
      <c r="S14" s="374">
        <f>INDEX(Weekly!H:H,MATCH($L14,Weekly!$E:$E,0))</f>
        <v>8.1616161616161627</v>
      </c>
      <c r="T14" s="77"/>
      <c r="U14" s="77">
        <v>10</v>
      </c>
      <c r="V14" s="77"/>
      <c r="W14" s="77"/>
      <c r="X14" s="77"/>
      <c r="Y14" s="77"/>
      <c r="Z14" s="77"/>
      <c r="AA14" s="414" t="s">
        <v>388</v>
      </c>
      <c r="AB14" s="495" t="str">
        <f>INDEX(Table!F:F,MATCH(AA14,Table!$B:$B,0))</f>
        <v>Graham Miller</v>
      </c>
      <c r="AC14" s="491">
        <f>INDEX(Table!I:I,MATCH(AA14,Table!$B:$B,0))</f>
        <v>-7.9485440828031884E-2</v>
      </c>
      <c r="AD14" s="492" t="s">
        <v>398</v>
      </c>
      <c r="AE14" s="499" t="str">
        <f>INDEX(Table!$F:$F,MATCH(AD14,Table!$B:$B,0))</f>
        <v>Nick Blocksidge</v>
      </c>
      <c r="AF14" s="491">
        <f>INDEX(Table!$I:$I,MATCH(AD14,Table!$B:$B,0))</f>
        <v>-10.074242424242424</v>
      </c>
      <c r="AG14" s="492" t="s">
        <v>408</v>
      </c>
      <c r="AH14" s="502" t="str">
        <f>INDEX(Table!$F:$F,MATCH(AG14,Table!$B:$B,0))</f>
        <v>Stephen Barr</v>
      </c>
      <c r="AI14" s="491">
        <f>INDEX(Table!$I:$I,MATCH(AG14,Table!$B:$B,0))</f>
        <v>-15.374242424242425</v>
      </c>
      <c r="AJ14" s="492" t="s">
        <v>418</v>
      </c>
      <c r="AK14" s="493" t="str">
        <f>INDEX(Table!$F:$F,MATCH(AJ14,Table!$B:$B,0))</f>
        <v>Paul England</v>
      </c>
      <c r="AL14" s="491">
        <f>INDEX(Table!$I:$I,MATCH(AJ14,Table!$B:$B,0))</f>
        <v>-29.85</v>
      </c>
      <c r="AM14" s="77"/>
      <c r="AN14" s="640" t="str">
        <f t="shared" si="3"/>
        <v>Graham Miller</v>
      </c>
      <c r="AO14" s="640" t="str">
        <f t="shared" si="0"/>
        <v>Nick Blocksidge</v>
      </c>
      <c r="AP14" s="640" t="str">
        <f t="shared" si="1"/>
        <v>Stephen Barr</v>
      </c>
      <c r="AQ14" s="640" t="str">
        <f t="shared" si="2"/>
        <v>Paul England</v>
      </c>
      <c r="AR14" s="77"/>
      <c r="AS14" s="77"/>
      <c r="AT14" s="77"/>
      <c r="AU14" s="77"/>
      <c r="AV14" s="77"/>
      <c r="AW14" s="77"/>
    </row>
    <row r="15" spans="1:49" ht="18" customHeight="1" thickTop="1">
      <c r="A15" s="8" t="s">
        <v>247</v>
      </c>
      <c r="B15" s="720"/>
      <c r="C15" s="231">
        <v>5</v>
      </c>
      <c r="D15" s="308">
        <f>INDEX(Table!I:I,MATCH($A15,Table!$B:$B,0))</f>
        <v>24.800000000000004</v>
      </c>
      <c r="E15" s="138">
        <f>INDEX(Table!J:J,MATCH($A15,Table!$B:$B,0))</f>
        <v>6</v>
      </c>
      <c r="F15" s="139" t="str">
        <f>INDEX(Table!F:F,MATCH($A15,Table!$B:$B,0))</f>
        <v>Gerard Ventom</v>
      </c>
      <c r="G15" s="308">
        <f>INDEX(Table!K:K,MATCH($A15,Table!$B:$B,0))</f>
        <v>-4.625</v>
      </c>
      <c r="H15" s="138">
        <f>INDEX(Table!L:L,MATCH($A15,Table!$B:$B,0))</f>
        <v>1</v>
      </c>
      <c r="I15" s="607"/>
      <c r="J15" s="607">
        <v>11</v>
      </c>
      <c r="K15" s="234"/>
      <c r="L15" s="717" t="str">
        <f>INDEX(Weekly!E:E,MATCH($J15,Weekly!$B:$B,0))</f>
        <v>Sally Williams</v>
      </c>
      <c r="M15" s="718"/>
      <c r="N15" s="542">
        <f>INDEX(Weekly!A:A,MATCH($L15,Weekly!$E:$E,0))</f>
        <v>6</v>
      </c>
      <c r="O15" s="537" t="str">
        <f>INDEX(Weekly!D:D,MATCH($L15,Weekly!$E:$E,0))</f>
        <v>C</v>
      </c>
      <c r="P15" s="537">
        <f>INDEX(Table!D:D,MATCH($L15,Table!$F:$F,0))</f>
        <v>1</v>
      </c>
      <c r="Q15" s="546">
        <f>INDEX(Weekly!F:F,MATCH($L15,Weekly!$E:$E,0))</f>
        <v>44.762</v>
      </c>
      <c r="R15" s="553">
        <f>INDEX(Weekly!I:I,MATCH($L15,Weekly!$E:$E,0))</f>
        <v>2</v>
      </c>
      <c r="S15" s="374">
        <f>INDEX(Weekly!H:H,MATCH($L15,Weekly!$E:$E,0))</f>
        <v>5.5</v>
      </c>
      <c r="T15" s="77"/>
      <c r="U15" s="77">
        <v>11</v>
      </c>
      <c r="V15" s="77"/>
      <c r="W15" s="77"/>
      <c r="X15" s="77"/>
      <c r="Y15" s="77"/>
      <c r="Z15" s="77"/>
      <c r="AA15" s="415" t="s">
        <v>389</v>
      </c>
      <c r="AB15" s="479" t="str">
        <f>INDEX(Table!F:F,MATCH(AA15,Table!$B:$B,0))</f>
        <v>Barry Birchall</v>
      </c>
      <c r="AC15" s="424">
        <f>INDEX(Table!I:I,MATCH(AA15,Table!$B:$B,0))</f>
        <v>-7.9176623376623354</v>
      </c>
      <c r="AD15" s="425" t="s">
        <v>399</v>
      </c>
      <c r="AE15" s="477" t="str">
        <f>INDEX(Table!$F:$F,MATCH(AD15,Table!$B:$B,0))</f>
        <v>Tom Robinson</v>
      </c>
      <c r="AF15" s="424">
        <f>INDEX(Table!$I:$I,MATCH(AD15,Table!$B:$B,0))</f>
        <v>-18.337575757575756</v>
      </c>
      <c r="AG15" s="425" t="s">
        <v>409</v>
      </c>
      <c r="AH15" s="477" t="str">
        <f>INDEX(Table!$F:$F,MATCH(AG15,Table!$B:$B,0))</f>
        <v>Chris Townsend</v>
      </c>
      <c r="AI15" s="424">
        <f>INDEX(Table!$I:$I,MATCH(AG15,Table!$B:$B,0))</f>
        <v>-17.98</v>
      </c>
      <c r="AJ15" s="425" t="s">
        <v>419</v>
      </c>
      <c r="AK15" s="426" t="str">
        <f>INDEX(Table!$F:$F,MATCH(AJ15,Table!$B:$B,0))</f>
        <v>Paul Adderley</v>
      </c>
      <c r="AL15" s="424">
        <f>INDEX(Table!$I:$I,MATCH(AJ15,Table!$B:$B,0))</f>
        <v>-33.540909090909089</v>
      </c>
      <c r="AM15" s="77"/>
      <c r="AN15" s="640" t="str">
        <f t="shared" si="3"/>
        <v>Barry Birchall</v>
      </c>
      <c r="AO15" s="640" t="str">
        <f t="shared" si="0"/>
        <v>Tom Robinson</v>
      </c>
      <c r="AP15" s="640" t="str">
        <f t="shared" si="1"/>
        <v>Chris Townsend</v>
      </c>
      <c r="AQ15" s="640" t="str">
        <f t="shared" si="2"/>
        <v>Paul Adderley</v>
      </c>
      <c r="AR15" s="77"/>
      <c r="AS15" s="77"/>
      <c r="AT15" s="77"/>
      <c r="AU15" s="77"/>
      <c r="AV15" s="77"/>
      <c r="AW15" s="77"/>
    </row>
    <row r="16" spans="1:49" ht="18" customHeight="1" thickBot="1">
      <c r="A16" s="8" t="s">
        <v>320</v>
      </c>
      <c r="B16" s="721"/>
      <c r="C16" s="231">
        <v>6</v>
      </c>
      <c r="D16" s="312">
        <f>INDEX(Table!I:I,MATCH($A16,Table!$B:$B,0))</f>
        <v>12.720714285714283</v>
      </c>
      <c r="E16" s="313">
        <f>INDEX(Table!J:J,MATCH($A16,Table!$B:$B,0))</f>
        <v>10</v>
      </c>
      <c r="F16" s="314" t="str">
        <f>INDEX(Table!F:F,MATCH($A16,Table!$B:$B,0))</f>
        <v>Paul Allen</v>
      </c>
      <c r="G16" s="312">
        <f>INDEX(Table!K:K,MATCH($A16,Table!$B:$B,0))</f>
        <v>10.059999999999999</v>
      </c>
      <c r="H16" s="313">
        <f>INDEX(Table!L:L,MATCH($A16,Table!$B:$B,0))</f>
        <v>2</v>
      </c>
      <c r="I16" s="607"/>
      <c r="J16" s="607">
        <v>12</v>
      </c>
      <c r="K16" s="234"/>
      <c r="L16" s="717" t="str">
        <f>INDEX(Weekly!E:E,MATCH($J16,Weekly!$B:$B,0))</f>
        <v>Paul Fairhurst</v>
      </c>
      <c r="M16" s="718"/>
      <c r="N16" s="545">
        <f>INDEX(Weekly!A:A,MATCH($L16,Weekly!$E:$E,0))</f>
        <v>16</v>
      </c>
      <c r="O16" s="538" t="str">
        <f>INDEX(Weekly!D:D,MATCH($L16,Weekly!$E:$E,0))</f>
        <v>A</v>
      </c>
      <c r="P16" s="538">
        <f>INDEX(Table!D:D,MATCH($L16,Table!$F:$F,0))</f>
        <v>7</v>
      </c>
      <c r="Q16" s="549">
        <f>INDEX(Weekly!F:F,MATCH($L16,Weekly!$E:$E,0))</f>
        <v>18.33636363636364</v>
      </c>
      <c r="R16" s="554">
        <f>INDEX(Weekly!I:I,MATCH($L16,Weekly!$E:$E,0))</f>
        <v>2</v>
      </c>
      <c r="S16" s="374">
        <f>INDEX(Weekly!H:H,MATCH($L16,Weekly!$E:$E,0))</f>
        <v>3.6363636363636367</v>
      </c>
      <c r="T16" s="77"/>
      <c r="U16" s="77">
        <v>12</v>
      </c>
      <c r="V16" s="77"/>
      <c r="W16" s="77"/>
      <c r="X16" s="77"/>
      <c r="Y16" s="77"/>
      <c r="Z16" s="77"/>
      <c r="AA16" s="413" t="s">
        <v>390</v>
      </c>
      <c r="AB16" s="480" t="str">
        <f>INDEX(Table!F:F,MATCH(AA16,Table!$B:$B,0))</f>
        <v>Ashley Houghton</v>
      </c>
      <c r="AC16" s="427">
        <f>INDEX(Table!I:I,MATCH(AA16,Table!$B:$B,0))</f>
        <v>-13.846103896103891</v>
      </c>
      <c r="AD16" s="428" t="s">
        <v>400</v>
      </c>
      <c r="AE16" s="478" t="str">
        <f>INDEX(Table!$F:$F,MATCH(AD16,Table!$B:$B,0))</f>
        <v>Dave Orrell</v>
      </c>
      <c r="AF16" s="427">
        <f>INDEX(Table!$I:$I,MATCH(AD16,Table!$B:$B,0))</f>
        <v>-24.6</v>
      </c>
      <c r="AG16" s="428" t="s">
        <v>410</v>
      </c>
      <c r="AH16" s="478" t="str">
        <f>INDEX(Table!$F:$F,MATCH(AG16,Table!$B:$B,0))</f>
        <v>Bob Bailey</v>
      </c>
      <c r="AI16" s="427">
        <f>INDEX(Table!$I:$I,MATCH(AG16,Table!$B:$B,0))</f>
        <v>-18.099999999999998</v>
      </c>
      <c r="AJ16" s="428" t="s">
        <v>420</v>
      </c>
      <c r="AK16" s="429" t="str">
        <f>INDEX(Table!$F:$F,MATCH(AJ16,Table!$B:$B,0))</f>
        <v>James Bell</v>
      </c>
      <c r="AL16" s="427">
        <f>INDEX(Table!$I:$I,MATCH(AJ16,Table!$B:$B,0))</f>
        <v>-49</v>
      </c>
      <c r="AM16" s="77"/>
      <c r="AN16" s="640" t="str">
        <f t="shared" si="3"/>
        <v>Ashley Houghton</v>
      </c>
      <c r="AO16" s="640" t="str">
        <f t="shared" si="0"/>
        <v>Dave Orrell</v>
      </c>
      <c r="AP16" s="640" t="str">
        <f t="shared" si="1"/>
        <v>Bob Bailey</v>
      </c>
      <c r="AQ16" s="640" t="str">
        <f t="shared" si="2"/>
        <v>James Bell</v>
      </c>
      <c r="AR16" s="77"/>
      <c r="AS16" s="77"/>
      <c r="AT16" s="77"/>
      <c r="AU16" s="77"/>
      <c r="AV16" s="77"/>
      <c r="AW16" s="77"/>
    </row>
    <row r="17" spans="1:50" ht="18" customHeight="1" thickTop="1">
      <c r="A17" s="8" t="s">
        <v>248</v>
      </c>
      <c r="B17" s="719" t="s">
        <v>228</v>
      </c>
      <c r="C17" s="231">
        <v>1</v>
      </c>
      <c r="D17" s="309">
        <f>INDEX(Table!I:I,MATCH($A17,Table!$B:$B,0))</f>
        <v>44.762</v>
      </c>
      <c r="E17" s="310">
        <f>INDEX(Table!J:J,MATCH($A17,Table!$B:$B,0))</f>
        <v>8</v>
      </c>
      <c r="F17" s="311" t="str">
        <f>INDEX(Table!F:F,MATCH($A17,Table!$B:$B,0))</f>
        <v>Sally Williams</v>
      </c>
      <c r="G17" s="309">
        <f>INDEX(Table!K:K,MATCH($A17,Table!$B:$B,0))</f>
        <v>5.5</v>
      </c>
      <c r="H17" s="310">
        <f>INDEX(Table!L:L,MATCH($A17,Table!$B:$B,0))</f>
        <v>2</v>
      </c>
      <c r="I17" s="607"/>
      <c r="J17" s="607"/>
      <c r="K17" s="140"/>
      <c r="L17" s="140"/>
      <c r="M17" s="140"/>
      <c r="N17" s="140"/>
      <c r="O17" s="140"/>
      <c r="P17" s="140"/>
      <c r="Q17" s="140"/>
      <c r="R17" s="140"/>
      <c r="S17" s="140"/>
      <c r="T17" s="77"/>
      <c r="U17" s="77">
        <v>13</v>
      </c>
      <c r="V17" s="77"/>
      <c r="W17" s="77"/>
      <c r="X17" s="77"/>
      <c r="Y17" s="77"/>
      <c r="Z17" s="77"/>
      <c r="AA17" s="413" t="s">
        <v>391</v>
      </c>
      <c r="AB17" s="480" t="str">
        <f>INDEX(Table!F:F,MATCH(AA17,Table!$B:$B,0))</f>
        <v>John Ronan</v>
      </c>
      <c r="AC17" s="427">
        <f>INDEX(Table!I:I,MATCH(AA17,Table!$B:$B,0))</f>
        <v>-15.889318181818179</v>
      </c>
      <c r="AD17" s="428" t="s">
        <v>401</v>
      </c>
      <c r="AE17" s="478" t="str">
        <f>INDEX(Table!$F:$F,MATCH(AD17,Table!$B:$B,0))</f>
        <v>Mal Stott</v>
      </c>
      <c r="AF17" s="427">
        <f>INDEX(Table!$I:$I,MATCH(AD17,Table!$B:$B,0))</f>
        <v>-26.6</v>
      </c>
      <c r="AG17" s="428" t="s">
        <v>411</v>
      </c>
      <c r="AH17" s="478" t="str">
        <f>INDEX(Table!$F:$F,MATCH(AG17,Table!$B:$B,0))</f>
        <v>Gareth McGuire</v>
      </c>
      <c r="AI17" s="427">
        <f>INDEX(Table!$I:$I,MATCH(AG17,Table!$B:$B,0))</f>
        <v>-19.230833333333329</v>
      </c>
      <c r="AJ17" s="428" t="s">
        <v>421</v>
      </c>
      <c r="AK17" s="429" t="str">
        <f>INDEX(Table!$F:$F,MATCH(AJ17,Table!$B:$B,0))</f>
        <v>Liam Wah</v>
      </c>
      <c r="AL17" s="427">
        <f>INDEX(Table!$I:$I,MATCH(AJ17,Table!$B:$B,0))</f>
        <v>-49</v>
      </c>
      <c r="AM17" s="77"/>
      <c r="AN17" s="640" t="str">
        <f t="shared" si="3"/>
        <v>John Ronan</v>
      </c>
      <c r="AO17" s="640" t="str">
        <f t="shared" si="0"/>
        <v>Mal Stott</v>
      </c>
      <c r="AP17" s="640" t="str">
        <f t="shared" si="1"/>
        <v>Gareth McGuire</v>
      </c>
      <c r="AQ17" s="640" t="str">
        <f t="shared" si="2"/>
        <v>Liam Wah</v>
      </c>
      <c r="AR17" s="77"/>
      <c r="AS17" s="77"/>
      <c r="AT17" s="77"/>
      <c r="AU17" s="77"/>
      <c r="AV17" s="77"/>
      <c r="AW17" s="77"/>
    </row>
    <row r="18" spans="1:50" ht="18" customHeight="1">
      <c r="A18" s="8" t="s">
        <v>249</v>
      </c>
      <c r="B18" s="720"/>
      <c r="C18" s="231">
        <v>2</v>
      </c>
      <c r="D18" s="309">
        <f>INDEX(Table!I:I,MATCH($A18,Table!$B:$B,0))</f>
        <v>34.578969237832879</v>
      </c>
      <c r="E18" s="310">
        <f>INDEX(Table!J:J,MATCH($A18,Table!$B:$B,0))</f>
        <v>12</v>
      </c>
      <c r="F18" s="311" t="str">
        <f>INDEX(Table!F:F,MATCH($A18,Table!$B:$B,0))</f>
        <v>Andy Charleston</v>
      </c>
      <c r="G18" s="309">
        <f>INDEX(Table!K:K,MATCH($A18,Table!$B:$B,0))</f>
        <v>-4.625</v>
      </c>
      <c r="H18" s="310">
        <f>INDEX(Table!L:L,MATCH($A18,Table!$B:$B,0))</f>
        <v>1</v>
      </c>
      <c r="I18" s="140"/>
      <c r="J18" s="334"/>
      <c r="K18" s="439" t="s">
        <v>484</v>
      </c>
      <c r="L18" s="527"/>
      <c r="M18" s="690" t="s">
        <v>471</v>
      </c>
      <c r="N18" s="690"/>
      <c r="O18" s="690" t="s">
        <v>472</v>
      </c>
      <c r="P18" s="690"/>
      <c r="Q18" s="690"/>
      <c r="R18" s="529" t="s">
        <v>466</v>
      </c>
      <c r="S18" s="530" t="s">
        <v>467</v>
      </c>
      <c r="T18" s="77"/>
      <c r="U18" s="77">
        <v>14</v>
      </c>
      <c r="V18" s="77"/>
      <c r="W18" s="77"/>
      <c r="X18" s="77"/>
      <c r="Y18" s="77"/>
      <c r="Z18" s="77"/>
      <c r="AA18" s="413" t="s">
        <v>392</v>
      </c>
      <c r="AB18" s="480" t="str">
        <f>INDEX(Table!F:F,MATCH(AA18,Table!$B:$B,0))</f>
        <v>Kevin Carter</v>
      </c>
      <c r="AC18" s="427">
        <f>INDEX(Table!I:I,MATCH(AA18,Table!$B:$B,0))</f>
        <v>-17.817803030303025</v>
      </c>
      <c r="AD18" s="428" t="s">
        <v>402</v>
      </c>
      <c r="AE18" s="478" t="str">
        <f>INDEX(Table!$F:$F,MATCH(AD18,Table!$B:$B,0))</f>
        <v>Rob England</v>
      </c>
      <c r="AF18" s="427">
        <f>INDEX(Table!$I:$I,MATCH(AD18,Table!$B:$B,0))</f>
        <v>-28.694391164391167</v>
      </c>
      <c r="AG18" s="428" t="s">
        <v>412</v>
      </c>
      <c r="AH18" s="478" t="str">
        <f>INDEX(Table!$F:$F,MATCH(AG18,Table!$B:$B,0))</f>
        <v>Mark Saunders</v>
      </c>
      <c r="AI18" s="427">
        <f>INDEX(Table!$I:$I,MATCH(AG18,Table!$B:$B,0))</f>
        <v>-30.274999999999999</v>
      </c>
      <c r="AJ18" s="428" t="s">
        <v>378</v>
      </c>
      <c r="AK18" s="429"/>
      <c r="AL18" s="427"/>
      <c r="AM18" s="77"/>
      <c r="AN18" s="640" t="str">
        <f t="shared" si="3"/>
        <v>Kevin Carter</v>
      </c>
      <c r="AO18" s="640" t="str">
        <f t="shared" si="0"/>
        <v>Rob England</v>
      </c>
      <c r="AP18" s="640" t="str">
        <f t="shared" si="1"/>
        <v>Mark Saunders</v>
      </c>
      <c r="AQ18" s="640" t="str">
        <f t="shared" si="2"/>
        <v/>
      </c>
      <c r="AR18" s="77"/>
      <c r="AS18" s="77"/>
      <c r="AT18" s="77"/>
      <c r="AU18" s="77"/>
      <c r="AV18" s="77"/>
      <c r="AW18" s="77"/>
    </row>
    <row r="19" spans="1:50" ht="18" customHeight="1">
      <c r="A19" s="8" t="s">
        <v>250</v>
      </c>
      <c r="B19" s="720"/>
      <c r="C19" s="231">
        <v>3</v>
      </c>
      <c r="D19" s="308">
        <f>INDEX(Table!I:I,MATCH($A19,Table!$B:$B,0))</f>
        <v>19.866035353535352</v>
      </c>
      <c r="E19" s="138">
        <f>INDEX(Table!J:J,MATCH($A19,Table!$B:$B,0))</f>
        <v>11</v>
      </c>
      <c r="F19" s="139" t="str">
        <f>INDEX(Table!F:F,MATCH($A19,Table!$B:$B,0))</f>
        <v>Vinny Topping</v>
      </c>
      <c r="G19" s="308">
        <f>INDEX(Table!K:K,MATCH($A19,Table!$B:$B,0))</f>
        <v>1.5625</v>
      </c>
      <c r="H19" s="138">
        <f>INDEX(Table!L:L,MATCH($A19,Table!$B:$B,0))</f>
        <v>2</v>
      </c>
      <c r="I19" s="140"/>
      <c r="J19" s="334"/>
      <c r="K19" s="136" t="s">
        <v>461</v>
      </c>
      <c r="L19" s="556"/>
      <c r="M19" s="534" t="s">
        <v>434</v>
      </c>
      <c r="N19" s="526" t="str">
        <f>IF(M19="","",INDEX(Picks!K:K,MATCH(M19,Picks!J:J,0)))</f>
        <v>5/6</v>
      </c>
      <c r="O19" s="722"/>
      <c r="P19" s="716"/>
      <c r="Q19" s="703"/>
      <c r="R19" s="643" t="str">
        <f>IF(O19="","",INDEX(Picks!K:K,MATCH(O19,Picks!J:J,0)))</f>
        <v/>
      </c>
      <c r="S19" s="528">
        <f>IF(M19="","",INDEX(TopPicks!K:K,MATCH(M19,TopPicks!I:I,0)))</f>
        <v>9</v>
      </c>
      <c r="T19" s="504"/>
      <c r="U19" s="77">
        <v>15</v>
      </c>
      <c r="V19" s="77"/>
      <c r="W19" s="77"/>
      <c r="X19" s="77"/>
      <c r="Y19" s="77"/>
      <c r="Z19" s="77"/>
      <c r="AA19" s="413" t="s">
        <v>393</v>
      </c>
      <c r="AB19" s="480" t="str">
        <f>INDEX(Table!F:F,MATCH(AA19,Table!$B:$B,0))</f>
        <v>Paul Fiddler</v>
      </c>
      <c r="AC19" s="427">
        <f>INDEX(Table!I:I,MATCH(AA19,Table!$B:$B,0))</f>
        <v>-17.825919913419909</v>
      </c>
      <c r="AD19" s="428" t="s">
        <v>403</v>
      </c>
      <c r="AE19" s="478" t="str">
        <f>INDEX(Table!$F:$F,MATCH(AD19,Table!$B:$B,0))</f>
        <v>Kei Lok Ma</v>
      </c>
      <c r="AF19" s="427">
        <f>INDEX(Table!$I:$I,MATCH(AD19,Table!$B:$B,0))</f>
        <v>-31.616666666666671</v>
      </c>
      <c r="AG19" s="428" t="s">
        <v>413</v>
      </c>
      <c r="AH19" s="478" t="str">
        <f>INDEX(Table!$F:$F,MATCH(AG19,Table!$B:$B,0))</f>
        <v>John Murphy</v>
      </c>
      <c r="AI19" s="427">
        <f>INDEX(Table!$I:$I,MATCH(AG19,Table!$B:$B,0))</f>
        <v>-32.659090909090907</v>
      </c>
      <c r="AJ19" s="428" t="s">
        <v>379</v>
      </c>
      <c r="AK19" s="429"/>
      <c r="AL19" s="427"/>
      <c r="AM19" s="77"/>
      <c r="AN19" s="640" t="str">
        <f t="shared" si="3"/>
        <v>Paul Fiddler</v>
      </c>
      <c r="AO19" s="640" t="str">
        <f t="shared" si="0"/>
        <v>Kei Lok Ma</v>
      </c>
      <c r="AP19" s="640" t="str">
        <f t="shared" si="1"/>
        <v>John Murphy</v>
      </c>
      <c r="AQ19" s="640" t="str">
        <f t="shared" si="2"/>
        <v/>
      </c>
      <c r="AR19" s="77"/>
      <c r="AS19" s="77"/>
      <c r="AT19" s="77"/>
      <c r="AU19" s="77"/>
      <c r="AV19" s="77"/>
      <c r="AW19" s="77"/>
    </row>
    <row r="20" spans="1:50" ht="18" customHeight="1">
      <c r="A20" s="8" t="s">
        <v>251</v>
      </c>
      <c r="B20" s="720"/>
      <c r="C20" s="231">
        <v>4</v>
      </c>
      <c r="D20" s="308">
        <f>INDEX(Table!I:I,MATCH($A20,Table!$B:$B,0))</f>
        <v>2.7083333333333268</v>
      </c>
      <c r="E20" s="138">
        <f>INDEX(Table!J:J,MATCH($A20,Table!$B:$B,0))</f>
        <v>7</v>
      </c>
      <c r="F20" s="139" t="str">
        <f>INDEX(Table!F:F,MATCH($A20,Table!$B:$B,0))</f>
        <v>Chris Bow</v>
      </c>
      <c r="G20" s="308">
        <f>INDEX(Table!K:K,MATCH($A20,Table!$B:$B,0))</f>
        <v>-7</v>
      </c>
      <c r="H20" s="138">
        <f>INDEX(Table!L:L,MATCH($A20,Table!$B:$B,0))</f>
        <v>0</v>
      </c>
      <c r="I20" s="77"/>
      <c r="J20" s="334"/>
      <c r="K20" s="136" t="s">
        <v>462</v>
      </c>
      <c r="L20" s="556"/>
      <c r="M20" s="534" t="s">
        <v>530</v>
      </c>
      <c r="N20" s="526" t="str">
        <f>IF(M20="","",INDEX(Picks!K:K,MATCH(M20,Picks!J:J,0)))</f>
        <v>21/10</v>
      </c>
      <c r="O20" s="702" t="s">
        <v>651</v>
      </c>
      <c r="P20" s="716"/>
      <c r="Q20" s="703"/>
      <c r="R20" s="749" t="e">
        <f>IF(O20="","",INDEX(Picks!K:K,MATCH(O20,Picks!J:J,0)))</f>
        <v>#N/A</v>
      </c>
      <c r="S20" s="528">
        <f>IF(M20="","",INDEX(TopPicks!J:J,MATCH(M20,TopPicks!I:I,0)))</f>
        <v>4</v>
      </c>
      <c r="T20" s="77"/>
      <c r="U20" s="77">
        <v>16</v>
      </c>
      <c r="V20" s="77"/>
      <c r="W20" s="77"/>
      <c r="X20" s="77"/>
      <c r="Y20" s="77"/>
      <c r="Z20" s="77"/>
      <c r="AA20" s="413" t="s">
        <v>394</v>
      </c>
      <c r="AB20" s="480" t="str">
        <f>INDEX(Table!F:F,MATCH(AA20,Table!$B:$B,0))</f>
        <v>David Dunn</v>
      </c>
      <c r="AC20" s="427">
        <f>INDEX(Table!I:I,MATCH(AA20,Table!$B:$B,0))</f>
        <v>-29.904166666666665</v>
      </c>
      <c r="AD20" s="428" t="s">
        <v>404</v>
      </c>
      <c r="AE20" s="478" t="str">
        <f>INDEX(Table!$F:$F,MATCH(AD20,Table!$B:$B,0))</f>
        <v>Dave Bell</v>
      </c>
      <c r="AF20" s="427">
        <f>INDEX(Table!$I:$I,MATCH(AD20,Table!$B:$B,0))</f>
        <v>-35.972222222222221</v>
      </c>
      <c r="AG20" s="428" t="s">
        <v>414</v>
      </c>
      <c r="AH20" s="478" t="str">
        <f>INDEX(Table!$F:$F,MATCH(AG20,Table!$B:$B,0))</f>
        <v>Gareth Powell</v>
      </c>
      <c r="AI20" s="427">
        <f>INDEX(Table!$I:$I,MATCH(AG20,Table!$B:$B,0))</f>
        <v>-36.659090909090907</v>
      </c>
      <c r="AJ20" s="428" t="s">
        <v>380</v>
      </c>
      <c r="AK20" s="429"/>
      <c r="AL20" s="427"/>
      <c r="AM20" s="77"/>
      <c r="AN20" s="640" t="str">
        <f t="shared" si="3"/>
        <v>David Dunn</v>
      </c>
      <c r="AO20" s="640" t="str">
        <f t="shared" si="0"/>
        <v>Dave Bell</v>
      </c>
      <c r="AP20" s="640" t="str">
        <f t="shared" si="1"/>
        <v>Gareth Powell</v>
      </c>
      <c r="AQ20" s="640" t="str">
        <f t="shared" si="2"/>
        <v/>
      </c>
      <c r="AR20" s="77"/>
      <c r="AS20" s="77"/>
      <c r="AT20" s="77"/>
      <c r="AU20" s="77"/>
      <c r="AV20" s="77"/>
      <c r="AW20" s="77"/>
    </row>
    <row r="21" spans="1:50" ht="18" customHeight="1">
      <c r="A21" s="8" t="s">
        <v>252</v>
      </c>
      <c r="B21" s="720"/>
      <c r="C21" s="231">
        <v>5</v>
      </c>
      <c r="D21" s="308">
        <f>INDEX(Table!I:I,MATCH($A21,Table!$B:$B,0))</f>
        <v>1.3868298368298397</v>
      </c>
      <c r="E21" s="138">
        <f>INDEX(Table!J:J,MATCH($A21,Table!$B:$B,0))</f>
        <v>12</v>
      </c>
      <c r="F21" s="139" t="str">
        <f>INDEX(Table!F:F,MATCH($A21,Table!$B:$B,0))</f>
        <v>Martin Tarbuck</v>
      </c>
      <c r="G21" s="308">
        <f>INDEX(Table!K:K,MATCH($A21,Table!$B:$B,0))</f>
        <v>-4.8499999999999996</v>
      </c>
      <c r="H21" s="138">
        <f>INDEX(Table!L:L,MATCH($A21,Table!$B:$B,0))</f>
        <v>1</v>
      </c>
      <c r="I21" s="77"/>
      <c r="J21" s="332"/>
      <c r="K21" s="439" t="s">
        <v>482</v>
      </c>
      <c r="L21" s="439"/>
      <c r="M21" s="690" t="s">
        <v>471</v>
      </c>
      <c r="N21" s="690"/>
      <c r="O21" s="690" t="s">
        <v>486</v>
      </c>
      <c r="P21" s="690"/>
      <c r="Q21" s="701"/>
      <c r="R21" s="698" t="s">
        <v>485</v>
      </c>
      <c r="S21" s="699"/>
      <c r="T21" s="77"/>
      <c r="U21" s="77">
        <v>17</v>
      </c>
      <c r="V21" s="77"/>
      <c r="W21" s="77"/>
      <c r="X21" s="77"/>
      <c r="Y21" s="77"/>
      <c r="Z21" s="77"/>
      <c r="AA21" s="413"/>
      <c r="AB21" s="423"/>
      <c r="AC21" s="430"/>
      <c r="AD21" s="428"/>
      <c r="AE21" s="429"/>
      <c r="AF21" s="431"/>
      <c r="AG21" s="428"/>
      <c r="AH21" s="429"/>
      <c r="AI21" s="431"/>
      <c r="AJ21" s="428" t="s">
        <v>381</v>
      </c>
      <c r="AK21" s="429"/>
      <c r="AL21" s="427"/>
      <c r="AM21" s="77"/>
      <c r="AN21" s="77"/>
      <c r="AO21" s="77"/>
      <c r="AP21" s="77"/>
      <c r="AQ21" s="77"/>
      <c r="AR21" s="77"/>
      <c r="AS21" s="77"/>
      <c r="AT21" s="77"/>
      <c r="AU21" s="77"/>
      <c r="AV21" s="77"/>
      <c r="AW21" s="77"/>
    </row>
    <row r="22" spans="1:50" ht="18" customHeight="1" thickBot="1">
      <c r="A22" s="8" t="s">
        <v>321</v>
      </c>
      <c r="B22" s="721"/>
      <c r="C22" s="231">
        <v>6</v>
      </c>
      <c r="D22" s="312">
        <f>INDEX(Table!I:I,MATCH($A22,Table!$B:$B,0))</f>
        <v>0.9261760461760522</v>
      </c>
      <c r="E22" s="313">
        <f>INDEX(Table!J:J,MATCH($A22,Table!$B:$B,0))</f>
        <v>10</v>
      </c>
      <c r="F22" s="314" t="str">
        <f>INDEX(Table!F:F,MATCH($A22,Table!$B:$B,0))</f>
        <v>Phil Miller</v>
      </c>
      <c r="G22" s="312">
        <f>INDEX(Table!K:K,MATCH($A22,Table!$B:$B,0))</f>
        <v>-7</v>
      </c>
      <c r="H22" s="313">
        <f>INDEX(Table!L:L,MATCH($A22,Table!$B:$B,0))</f>
        <v>0</v>
      </c>
      <c r="I22" s="77"/>
      <c r="J22" s="332"/>
      <c r="K22" s="136" t="s">
        <v>483</v>
      </c>
      <c r="L22" s="556"/>
      <c r="M22" s="534" t="s">
        <v>632</v>
      </c>
      <c r="N22" s="526" t="str">
        <f>IF(M22="","",INDEX(Picks!K:K,MATCH(M22,Picks!J:J,0)))</f>
        <v>15/4</v>
      </c>
      <c r="O22" s="705" t="str">
        <f>IF($M$22="","",INDEX(Picks!$A:$A,MATCH($M$22,Picks!$J:$J,0)))</f>
        <v>Jack Walsh</v>
      </c>
      <c r="P22" s="706"/>
      <c r="Q22" s="706"/>
      <c r="R22" s="712"/>
      <c r="S22" s="713"/>
      <c r="T22" s="77"/>
      <c r="U22" s="77">
        <v>18</v>
      </c>
      <c r="V22" s="77"/>
      <c r="W22" s="77"/>
      <c r="X22" s="77"/>
      <c r="Y22" s="77"/>
      <c r="Z22" s="77"/>
      <c r="AA22" s="413"/>
      <c r="AB22" s="423"/>
      <c r="AC22" s="430"/>
      <c r="AD22" s="428"/>
      <c r="AE22" s="429"/>
      <c r="AF22" s="431"/>
      <c r="AG22" s="428"/>
      <c r="AH22" s="429"/>
      <c r="AI22" s="431"/>
      <c r="AJ22" s="428" t="s">
        <v>382</v>
      </c>
      <c r="AK22" s="429"/>
      <c r="AL22" s="427"/>
      <c r="AM22" s="77"/>
      <c r="AN22" s="77"/>
      <c r="AO22" s="77"/>
      <c r="AP22" s="77"/>
      <c r="AQ22" s="77"/>
      <c r="AR22" s="77"/>
      <c r="AS22" s="77"/>
      <c r="AT22" s="77"/>
      <c r="AU22" s="77"/>
      <c r="AV22" s="77"/>
      <c r="AW22" s="77"/>
    </row>
    <row r="23" spans="1:50" ht="18" customHeight="1" thickTop="1">
      <c r="A23" s="8" t="s">
        <v>36</v>
      </c>
      <c r="B23" s="719" t="s">
        <v>229</v>
      </c>
      <c r="C23" s="231">
        <v>1</v>
      </c>
      <c r="D23" s="309">
        <f>INDEX(Table!I:I,MATCH($A23,Table!$B:$B,0))</f>
        <v>128.95999999999995</v>
      </c>
      <c r="E23" s="310">
        <f>INDEX(Table!J:J,MATCH($A23,Table!$B:$B,0))</f>
        <v>9</v>
      </c>
      <c r="F23" s="311" t="str">
        <f>INDEX(Table!F:F,MATCH($A23,Table!$B:$B,0))</f>
        <v>Ian Davies</v>
      </c>
      <c r="G23" s="309">
        <f>INDEX(Table!K:K,MATCH($A23,Table!$B:$B,0))</f>
        <v>-3.8</v>
      </c>
      <c r="H23" s="310">
        <f>INDEX(Table!L:L,MATCH($A23,Table!$B:$B,0))</f>
        <v>1</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383</v>
      </c>
      <c r="AK23" s="429"/>
      <c r="AL23" s="427"/>
      <c r="AM23" s="77"/>
      <c r="AN23" s="77"/>
      <c r="AO23" s="77"/>
      <c r="AP23" s="77"/>
      <c r="AQ23" s="77"/>
      <c r="AR23" s="77"/>
      <c r="AS23" s="77"/>
      <c r="AT23" s="77"/>
      <c r="AU23" s="77"/>
      <c r="AV23" s="77"/>
      <c r="AW23" s="77"/>
    </row>
    <row r="24" spans="1:50" ht="18" customHeight="1">
      <c r="A24" s="8" t="s">
        <v>37</v>
      </c>
      <c r="B24" s="720"/>
      <c r="C24" s="231">
        <v>2</v>
      </c>
      <c r="D24" s="309">
        <f>INDEX(Table!I:I,MATCH($A24,Table!$B:$B,0))</f>
        <v>-2.7776623376623339</v>
      </c>
      <c r="E24" s="310">
        <f>INDEX(Table!J:J,MATCH($A24,Table!$B:$B,0))</f>
        <v>10</v>
      </c>
      <c r="F24" s="311" t="str">
        <f>INDEX(Table!F:F,MATCH($A24,Table!$B:$B,0))</f>
        <v>Alan White</v>
      </c>
      <c r="G24" s="309">
        <f>INDEX(Table!K:K,MATCH($A24,Table!$B:$B,0))</f>
        <v>-4.75</v>
      </c>
      <c r="H24" s="310">
        <f>INDEX(Table!L:L,MATCH($A24,Table!$B:$B,0))</f>
        <v>1</v>
      </c>
      <c r="I24" s="77"/>
      <c r="J24" s="332"/>
      <c r="K24" s="564" t="s">
        <v>478</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384</v>
      </c>
      <c r="AK24" s="429"/>
      <c r="AL24" s="427"/>
      <c r="AM24" s="77"/>
      <c r="AN24" s="77"/>
      <c r="AO24" s="77"/>
      <c r="AP24" s="77"/>
      <c r="AQ24" s="77"/>
      <c r="AR24" s="77"/>
      <c r="AS24" s="77"/>
      <c r="AT24" s="77"/>
      <c r="AU24" s="77"/>
      <c r="AV24" s="77"/>
      <c r="AW24" s="77"/>
    </row>
    <row r="25" spans="1:50" ht="18" customHeight="1">
      <c r="A25" s="8" t="s">
        <v>253</v>
      </c>
      <c r="B25" s="720"/>
      <c r="C25" s="231">
        <v>3</v>
      </c>
      <c r="D25" s="308">
        <f>INDEX(Table!I:I,MATCH($A25,Table!$B:$B,0))</f>
        <v>-5.45</v>
      </c>
      <c r="E25" s="138">
        <f>INDEX(Table!J:J,MATCH($A25,Table!$B:$B,0))</f>
        <v>8</v>
      </c>
      <c r="F25" s="139" t="str">
        <f>INDEX(Table!F:F,MATCH($A25,Table!$B:$B,0))</f>
        <v>Alan Rogers</v>
      </c>
      <c r="G25" s="308">
        <f>INDEX(Table!K:K,MATCH($A25,Table!$B:$B,0))</f>
        <v>-7</v>
      </c>
      <c r="H25" s="138">
        <f>INDEX(Table!L:L,MATCH($A25,Table!$B:$B,0))</f>
        <v>0</v>
      </c>
      <c r="I25" s="77"/>
      <c r="J25" s="332"/>
      <c r="K25" s="136" t="s">
        <v>463</v>
      </c>
      <c r="L25" s="556"/>
      <c r="M25" s="702" t="str">
        <f>INDEX(Picks!AI:AI,MATCH(O25,Picks!AJ:AJ,0))</f>
        <v>Jack Walsh</v>
      </c>
      <c r="N25" s="703"/>
      <c r="O25" s="555">
        <f>MAX(Picks!AJ:AJ)</f>
        <v>87.090625000000003</v>
      </c>
      <c r="P25" s="535" t="str">
        <f>IF(O25="","",(INDEX(Picks!AK:AK,MATCH(O25,Picks!AJ:AJ,0)))&amp;" in")</f>
        <v>2 in</v>
      </c>
      <c r="Q25" s="692"/>
      <c r="R25" s="693"/>
      <c r="S25" s="694"/>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325</v>
      </c>
      <c r="B26" s="720"/>
      <c r="C26" s="231">
        <v>4</v>
      </c>
      <c r="D26" s="308">
        <f>INDEX(Table!I:I,MATCH($A26,Table!$B:$B,0))</f>
        <v>-5.6451515151515146</v>
      </c>
      <c r="E26" s="138">
        <f>INDEX(Table!J:J,MATCH($A26,Table!$B:$B,0))</f>
        <v>8</v>
      </c>
      <c r="F26" s="139" t="str">
        <f>INDEX(Table!F:F,MATCH($A26,Table!$B:$B,0))</f>
        <v>Ben Rosser</v>
      </c>
      <c r="G26" s="308">
        <f>INDEX(Table!K:K,MATCH($A26,Table!$B:$B,0))</f>
        <v>10.919999999999998</v>
      </c>
      <c r="H26" s="138">
        <f>INDEX(Table!L:L,MATCH($A26,Table!$B:$B,0))</f>
        <v>2</v>
      </c>
      <c r="I26" s="77"/>
      <c r="J26" s="332"/>
      <c r="K26" s="136" t="s">
        <v>464</v>
      </c>
      <c r="L26" s="556"/>
      <c r="M26" s="702" t="str">
        <f>INDEX(Picks!AI:AI,MATCH(O26,Picks!AJ:AJ,0))</f>
        <v>Dave Bell</v>
      </c>
      <c r="N26" s="703"/>
      <c r="O26" s="555">
        <f>MIN(Picks!AJ:AJ)</f>
        <v>6.4444444444444464</v>
      </c>
      <c r="P26" s="535" t="str">
        <f>IF(O26="","",(INDEX(Picks!AK:AK,MATCH(O26,Picks!AJ:AJ,0)))&amp;" in")</f>
        <v>2 in</v>
      </c>
      <c r="Q26" s="695"/>
      <c r="R26" s="696"/>
      <c r="S26" s="697"/>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254</v>
      </c>
      <c r="B27" s="720"/>
      <c r="C27" s="231">
        <v>5</v>
      </c>
      <c r="D27" s="308">
        <f>INDEX(Table!I:I,MATCH($A27,Table!$B:$B,0))</f>
        <v>-9.7043876262626263</v>
      </c>
      <c r="E27" s="138">
        <f>INDEX(Table!J:J,MATCH($A27,Table!$B:$B,0))</f>
        <v>8</v>
      </c>
      <c r="F27" s="139" t="str">
        <f>INDEX(Table!F:F,MATCH($A27,Table!$B:$B,0))</f>
        <v>Alex Griffin</v>
      </c>
      <c r="G27" s="308">
        <f>INDEX(Table!K:K,MATCH($A27,Table!$B:$B,0))</f>
        <v>3.1111111111111107</v>
      </c>
      <c r="H27" s="138">
        <f>INDEX(Table!L:L,MATCH($A27,Table!$B:$B,0))</f>
        <v>2</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322</v>
      </c>
      <c r="B28" s="721"/>
      <c r="C28" s="231">
        <v>6</v>
      </c>
      <c r="D28" s="308">
        <f>INDEX(Table!I:I,MATCH($A28,Table!$B:$B,0))</f>
        <v>-15.379999999999999</v>
      </c>
      <c r="E28" s="138">
        <f>INDEX(Table!J:J,MATCH($A28,Table!$B:$B,0))</f>
        <v>5</v>
      </c>
      <c r="F28" s="139" t="str">
        <f>INDEX(Table!F:F,MATCH($A28,Table!$B:$B,0))</f>
        <v>Simon Greenhalgh</v>
      </c>
      <c r="G28" s="308">
        <f>INDEX(Table!K:K,MATCH($A28,Table!$B:$B,0))</f>
        <v>-2.8</v>
      </c>
      <c r="H28" s="138">
        <f>INDEX(Table!L:L,MATCH($A28,Table!$B:$B,0))</f>
        <v>1</v>
      </c>
      <c r="I28" s="77"/>
      <c r="J28" s="332" t="s">
        <v>187</v>
      </c>
      <c r="K28" s="439" t="s">
        <v>190</v>
      </c>
      <c r="L28" s="521"/>
      <c r="M28" s="704" t="str">
        <f>"No submission = "&amp;Picks!$AN1</f>
        <v>No submission = 5</v>
      </c>
      <c r="N28" s="704"/>
      <c r="O28" s="704"/>
      <c r="P28" s="704"/>
      <c r="Q28" s="704"/>
      <c r="R28" s="704"/>
      <c r="S28" s="704"/>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0" t="s">
        <v>473</v>
      </c>
      <c r="L29" s="701"/>
      <c r="M29" s="568" t="s">
        <v>475</v>
      </c>
      <c r="N29" s="700" t="s">
        <v>474</v>
      </c>
      <c r="O29" s="690"/>
      <c r="P29" s="701"/>
      <c r="Q29" s="690" t="s">
        <v>476</v>
      </c>
      <c r="R29" s="690"/>
      <c r="S29" s="701"/>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688">
        <f>IF($J$31="Y",K31,'3of3'!$B$5)</f>
        <v>7</v>
      </c>
      <c r="L30" s="689">
        <f>'3of3'!$B$5</f>
        <v>7</v>
      </c>
      <c r="M30" s="137">
        <f>IF(J31="Y",M31,'3of3'!$B$6)</f>
        <v>24</v>
      </c>
      <c r="N30" s="688">
        <f>IF(J31="Y",N31,'3of3'!$B$7)</f>
        <v>18</v>
      </c>
      <c r="O30" s="691">
        <f>'3of3'!$B$6</f>
        <v>24</v>
      </c>
      <c r="P30" s="689">
        <f>'3of3'!$B$6</f>
        <v>24</v>
      </c>
      <c r="Q30" s="688">
        <f>IF(J31="Y",Q31,'3of3'!$B$8)</f>
        <v>11</v>
      </c>
      <c r="R30" s="691">
        <f>'3of3'!$B$6</f>
        <v>24</v>
      </c>
      <c r="S30" s="689">
        <f>'3of3'!$B$6</f>
        <v>24</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8" t="s">
        <v>589</v>
      </c>
      <c r="K31" s="687">
        <v>0</v>
      </c>
      <c r="L31" s="687"/>
      <c r="M31" s="81">
        <v>10</v>
      </c>
      <c r="N31" s="687">
        <v>21</v>
      </c>
      <c r="O31" s="687"/>
      <c r="P31" s="687"/>
      <c r="Q31" s="687">
        <v>20</v>
      </c>
      <c r="R31" s="687"/>
      <c r="S31" s="687"/>
      <c r="T31" s="77"/>
      <c r="U31" s="77"/>
      <c r="V31" s="77"/>
      <c r="W31" s="77"/>
      <c r="X31" s="77"/>
      <c r="Y31" s="77"/>
      <c r="Z31" s="77"/>
      <c r="AA31" s="77"/>
      <c r="AB31" s="77"/>
      <c r="AC31" s="137">
        <f>'3of3'!$B$5</f>
        <v>7</v>
      </c>
      <c r="AD31" s="88"/>
      <c r="AE31" s="140" t="s">
        <v>489</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24</v>
      </c>
      <c r="AD32" s="88"/>
      <c r="AE32" s="140" t="s">
        <v>490</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481</v>
      </c>
      <c r="T33" s="77"/>
      <c r="U33" s="77"/>
      <c r="V33" s="77"/>
      <c r="W33" s="77"/>
      <c r="X33" s="77"/>
      <c r="Y33" s="77"/>
      <c r="Z33" s="77"/>
      <c r="AA33" s="77"/>
      <c r="AB33" s="77"/>
      <c r="AC33" s="137">
        <f>'3of3'!$B$7</f>
        <v>18</v>
      </c>
      <c r="AD33" s="88"/>
      <c r="AE33" s="140" t="s">
        <v>491</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6.4444444444444464</v>
      </c>
      <c r="T34" s="77"/>
      <c r="U34" s="77"/>
      <c r="V34" s="77"/>
      <c r="W34" s="77"/>
      <c r="X34" s="77"/>
      <c r="Y34" s="77"/>
      <c r="Z34" s="77"/>
      <c r="AA34" s="77"/>
      <c r="AB34" s="77"/>
      <c r="AC34" s="137">
        <f>'3of3'!$B$8</f>
        <v>11</v>
      </c>
      <c r="AD34" s="88"/>
      <c r="AE34" s="140" t="s">
        <v>492</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446</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87.090625000000003</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480</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Jack Walsh</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zoomScale="80" zoomScaleNormal="80" workbookViewId="0">
      <pane ySplit="1" topLeftCell="A27" activePane="bottomLeft" state="frozen"/>
      <selection activeCell="A194" sqref="A194"/>
      <selection pane="bottomLeft" activeCell="A31" sqref="A31"/>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524</v>
      </c>
      <c r="D1" s="472" t="s">
        <v>161</v>
      </c>
      <c r="E1" s="473" t="s">
        <v>264</v>
      </c>
      <c r="F1" s="473" t="s">
        <v>28</v>
      </c>
      <c r="G1" s="474" t="s">
        <v>165</v>
      </c>
      <c r="H1" s="206">
        <f>entrants-SUM(H2:H184)</f>
        <v>5</v>
      </c>
      <c r="I1" s="383" t="s">
        <v>356</v>
      </c>
      <c r="J1" s="523" t="s">
        <v>459</v>
      </c>
      <c r="K1" s="198" t="s">
        <v>54</v>
      </c>
      <c r="L1" s="199" t="s">
        <v>55</v>
      </c>
      <c r="M1" s="200" t="s">
        <v>17</v>
      </c>
      <c r="N1" s="200" t="s">
        <v>53</v>
      </c>
      <c r="O1" s="580" t="s">
        <v>460</v>
      </c>
      <c r="P1" s="579" t="s">
        <v>19</v>
      </c>
      <c r="Q1" s="201"/>
      <c r="R1" s="202" t="s">
        <v>48</v>
      </c>
      <c r="S1" s="203" t="s">
        <v>31</v>
      </c>
      <c r="T1" s="204" t="s">
        <v>52</v>
      </c>
      <c r="U1" s="21" t="s">
        <v>20</v>
      </c>
      <c r="V1" s="21" t="s">
        <v>44</v>
      </c>
      <c r="W1" s="21" t="s">
        <v>21</v>
      </c>
      <c r="X1" s="21" t="s">
        <v>45</v>
      </c>
      <c r="AA1" s="205"/>
      <c r="AB1" s="581"/>
      <c r="AC1" s="606" t="s">
        <v>501</v>
      </c>
      <c r="AD1" s="197" t="s">
        <v>187</v>
      </c>
      <c r="AE1" s="384" t="s">
        <v>358</v>
      </c>
      <c r="AF1" s="436" t="s">
        <v>429</v>
      </c>
      <c r="AG1" s="384" t="s">
        <v>360</v>
      </c>
      <c r="AI1" s="197" t="s">
        <v>16</v>
      </c>
      <c r="AJ1" s="384" t="s">
        <v>359</v>
      </c>
      <c r="AK1" s="436" t="s">
        <v>429</v>
      </c>
      <c r="AL1" s="384" t="s">
        <v>360</v>
      </c>
      <c r="AN1" s="21">
        <f>COUNTIF(F2:F184,-10)</f>
        <v>5</v>
      </c>
    </row>
    <row r="2" spans="1:40" ht="13.9" thickTop="1" thickBot="1">
      <c r="A2" s="440" t="str">
        <f>Results!B2</f>
        <v>Alan Bond</v>
      </c>
      <c r="B2" s="456" t="str">
        <f>IF(J2="","",TRIM(CLEAN(J2)))</f>
        <v>Wigan</v>
      </c>
      <c r="C2" s="516">
        <f>IF(J2="","",INDEX(Odds!C:C,MATCH(J2,Odds!G:G,0)))</f>
        <v>7</v>
      </c>
      <c r="D2" s="441">
        <f>IF(J2="","",L2)</f>
        <v>2.375</v>
      </c>
      <c r="E2" s="459" t="str">
        <f>IF(J2="","",IF(M2=1,"√","x"))</f>
        <v>√</v>
      </c>
      <c r="F2" s="382">
        <f>IF(J2="",-10,INDEX(Results!T:T,MATCH(A2,Results!V:V,0)))</f>
        <v>36.263124999999995</v>
      </c>
      <c r="G2" s="189">
        <f>IF(J2="","",INDEX(Results!AI:AI,MATCH(A2,Results!V:V,0)))</f>
        <v>36.263124999999995</v>
      </c>
      <c r="H2" s="207">
        <f>IF(G2="",0,1)</f>
        <v>1</v>
      </c>
      <c r="I2" s="379">
        <f>INDEX(Picks!AG:AG,MATCH(A2,Picks!AD:AD,0))</f>
        <v>3</v>
      </c>
      <c r="J2" s="442" t="s">
        <v>357</v>
      </c>
      <c r="K2" s="190" t="str">
        <f>INDEX(Odds!H:H,MATCH(J2,Odds!G:G,0))</f>
        <v>11/8</v>
      </c>
      <c r="L2" s="443">
        <f>INDEX(Odds!I:I,MATCH(J2,Odds!G:G,0))</f>
        <v>2.375</v>
      </c>
      <c r="M2" s="444">
        <f>INDEX(Odds!J:J,MATCH(J2,Odds!G:G,0))</f>
        <v>1</v>
      </c>
      <c r="N2" s="445">
        <f>L2*M2</f>
        <v>2.375</v>
      </c>
      <c r="O2" s="576"/>
      <c r="P2" s="573" t="str">
        <f>IF(Match!B2="","",Match!V2)</f>
        <v xml:space="preserve">Birmingham 2-0 West Brom </v>
      </c>
      <c r="Q2" s="89"/>
      <c r="R2" s="38" t="str">
        <f>IF(Odds!G2="","",Odds!G2)</f>
        <v>Birmingham</v>
      </c>
      <c r="S2" s="39" t="str">
        <f>INDEX(Odds!H:H,MATCH(R2,Odds!G:G,0))</f>
        <v>13/5</v>
      </c>
      <c r="T2" s="40">
        <f t="shared" ref="T2:T46" si="0">IF(V2&gt;X2,1,0)</f>
        <v>1</v>
      </c>
      <c r="U2" s="21" t="str">
        <f>INDEX(Match!Q:Q,MATCH(P2,Match!V:V,0))</f>
        <v>Birmingham</v>
      </c>
      <c r="V2" s="21">
        <f>INDEX(Match!G:G,MATCH(P2,Match!V:V,0))</f>
        <v>2</v>
      </c>
      <c r="W2" s="21" t="str">
        <f>INDEX(Match!R:R,MATCH(P2,Match!V:V,0))</f>
        <v>West Brom</v>
      </c>
      <c r="X2" s="21">
        <f>INDEX(Match!H:H,MATCH(P2,Match!V:V,0))</f>
        <v>0</v>
      </c>
      <c r="AB2" s="582" t="str">
        <f>IF(O2="","",INDEX(Odds!H:H,MATCH(O2,Odds!G:G,0)))</f>
        <v/>
      </c>
      <c r="AC2" s="604">
        <f>IF(J2="","",INDEX(Odds!K:K,MATCH(J2,Odds!G:G,0)))</f>
        <v>1</v>
      </c>
      <c r="AD2" s="70" t="s">
        <v>312</v>
      </c>
      <c r="AE2" s="73">
        <f>INDEX(Picks!F:F,MATCH(AD2,Picks!A:A,0))</f>
        <v>50.453125</v>
      </c>
      <c r="AF2" s="437">
        <f>INDEX(Weekly!I:I,MATCH(AD2,Weekly!E:E,0))</f>
        <v>3</v>
      </c>
      <c r="AG2" s="70">
        <f>IF(AE2=-10,"",_xlfn.RANK.EQ(AE2,TopScores,0))</f>
        <v>1</v>
      </c>
      <c r="AI2" s="70" t="s">
        <v>324</v>
      </c>
      <c r="AJ2" s="73" t="str">
        <f>INDEX(Picks!G:G,MATCH(AI2,Picks!A:A,0))</f>
        <v/>
      </c>
      <c r="AK2" s="437">
        <f>INDEX(Weekly!I:I,MATCH(AI2,Weekly!E:E,0))</f>
        <v>0</v>
      </c>
      <c r="AL2" s="70" t="str">
        <f>IF(AJ2="","",_xlfn.RANK.EQ(AJ2,TopMaxScores,0))</f>
        <v/>
      </c>
    </row>
    <row r="3" spans="1:40">
      <c r="A3" s="644" t="str">
        <f>A2</f>
        <v>Alan Bond</v>
      </c>
      <c r="B3" s="446" t="str">
        <f t="shared" ref="B3:B59" si="1">IF(J3="","",J3)</f>
        <v>Ipswich draw</v>
      </c>
      <c r="C3" s="516">
        <f>IF(J3="","",INDEX(Odds!C:C,MATCH(J3,Odds!G:G,0)))</f>
        <v>7</v>
      </c>
      <c r="D3" s="447">
        <f t="shared" ref="D3:D60" si="2">IF(J3="","",L3)</f>
        <v>3.3</v>
      </c>
      <c r="E3" s="460" t="str">
        <f t="shared" ref="E3:E66" si="3">IF(J3="","",IF(M3=1,"√","x"))</f>
        <v>√</v>
      </c>
      <c r="F3" s="448"/>
      <c r="G3" s="449"/>
      <c r="H3" s="207"/>
      <c r="I3" s="380"/>
      <c r="J3" s="442" t="s">
        <v>639</v>
      </c>
      <c r="K3" s="191" t="str">
        <f>INDEX(Odds!H:H,MATCH(J3,Odds!G:G,0))</f>
        <v>23/10</v>
      </c>
      <c r="L3" s="450">
        <f>INDEX(Odds!I:I,MATCH(J3,Odds!G:G,0))</f>
        <v>3.3</v>
      </c>
      <c r="M3" s="444">
        <f>INDEX(Odds!J:J,MATCH(J3,Odds!G:G,0))</f>
        <v>1</v>
      </c>
      <c r="N3" s="445">
        <f>L3*M3</f>
        <v>3.3</v>
      </c>
      <c r="O3" s="577"/>
      <c r="P3" s="574" t="str">
        <f>IF(Match!B3="","",Match!V3)</f>
        <v xml:space="preserve">Arsenal 1-1 Brentford </v>
      </c>
      <c r="Q3" s="89"/>
      <c r="R3" s="36" t="str">
        <f>IF(Odds!G3="","",Odds!G3)</f>
        <v>Arsenal</v>
      </c>
      <c r="S3" s="37" t="str">
        <f>INDEX(Odds!H:H,MATCH(R3,Odds!G:G,0))</f>
        <v>4/11</v>
      </c>
      <c r="T3" s="41">
        <f t="shared" si="0"/>
        <v>0</v>
      </c>
      <c r="U3" s="21" t="str">
        <f>INDEX(Match!Q:Q,MATCH(P3,Match!V:V,0))</f>
        <v>Arsenal</v>
      </c>
      <c r="V3" s="21">
        <f>INDEX(Match!G:G,MATCH(P3,Match!V:V,0))</f>
        <v>1</v>
      </c>
      <c r="W3" s="21" t="str">
        <f>INDEX(Match!R:R,MATCH(P3,Match!V:V,0))</f>
        <v>Brentford</v>
      </c>
      <c r="X3" s="21">
        <f>INDEX(Match!H:H,MATCH(P3,Match!V:V,0))</f>
        <v>1</v>
      </c>
      <c r="AB3" s="582" t="str">
        <f>IF(O3="","",INDEX(Odds!H:H,MATCH(O3,Odds!G:G,0)))</f>
        <v/>
      </c>
      <c r="AC3" s="604">
        <f>IF(J3="","",INDEX(Odds!K:K,MATCH(J3,Odds!G:G,0)))</f>
        <v>1</v>
      </c>
      <c r="AD3" s="70" t="s">
        <v>301</v>
      </c>
      <c r="AE3" s="73">
        <f>INDEX(Picks!F:F,MATCH(AD3,Picks!A:A,0))</f>
        <v>36.625</v>
      </c>
      <c r="AF3" s="437">
        <f>INDEX(Weekly!I:I,MATCH(AD3,Weekly!E:E,0))</f>
        <v>3</v>
      </c>
      <c r="AG3" s="70">
        <f>IF(AE3=-10,"",_xlfn.RANK.EQ(AE3,TopScores,0))</f>
        <v>2</v>
      </c>
      <c r="AI3" s="72" t="s">
        <v>366</v>
      </c>
      <c r="AJ3" s="73" t="str">
        <f>INDEX(Picks!G:G,MATCH(AI3,Picks!A:A,0))</f>
        <v/>
      </c>
      <c r="AK3" s="437">
        <f>INDEX(Weekly!I:I,MATCH(AI3,Weekly!E:E,0))</f>
        <v>0</v>
      </c>
      <c r="AL3" s="70" t="str">
        <f>IF(AJ3="","",_xlfn.RANK.EQ(AJ3,TopMaxScores,0))</f>
        <v/>
      </c>
    </row>
    <row r="4" spans="1:40" ht="13.5" thickBot="1">
      <c r="A4" s="645" t="str">
        <f>A2</f>
        <v>Alan Bond</v>
      </c>
      <c r="B4" s="451" t="str">
        <f t="shared" si="1"/>
        <v>Plymouth</v>
      </c>
      <c r="C4" s="517">
        <f>IF(J4="","",INDEX(Odds!C:C,MATCH(J4,Odds!G:G,0)))</f>
        <v>7</v>
      </c>
      <c r="D4" s="452">
        <f t="shared" si="2"/>
        <v>2.0499999999999998</v>
      </c>
      <c r="E4" s="460" t="str">
        <f t="shared" si="3"/>
        <v>√</v>
      </c>
      <c r="F4" s="448"/>
      <c r="G4" s="449"/>
      <c r="H4" s="207"/>
      <c r="I4" s="380"/>
      <c r="J4" s="453" t="s">
        <v>585</v>
      </c>
      <c r="K4" s="192" t="str">
        <f>INDEX(Odds!H:H,MATCH(J4,Odds!G:G,0))</f>
        <v>21/20</v>
      </c>
      <c r="L4" s="454">
        <f>INDEX(Odds!I:I,MATCH(J4,Odds!G:G,0))</f>
        <v>2.0499999999999998</v>
      </c>
      <c r="M4" s="444">
        <f>INDEX(Odds!J:J,MATCH(J4,Odds!G:G,0))</f>
        <v>1</v>
      </c>
      <c r="N4" s="455">
        <f>L4*M4</f>
        <v>2.0499999999999998</v>
      </c>
      <c r="O4" s="578"/>
      <c r="P4" s="574" t="str">
        <f>IF(Match!B4="","",Match!V4)</f>
        <v xml:space="preserve">Bournemouth 1-1 Newcastle </v>
      </c>
      <c r="Q4" s="89"/>
      <c r="R4" s="36" t="str">
        <f>IF(Odds!G4="","",Odds!G4)</f>
        <v>Bournemouth</v>
      </c>
      <c r="S4" s="37" t="str">
        <f>INDEX(Odds!H:H,MATCH(R4,Odds!G:G,0))</f>
        <v>6/1</v>
      </c>
      <c r="T4" s="41">
        <f t="shared" si="0"/>
        <v>0</v>
      </c>
      <c r="U4" s="21" t="str">
        <f>INDEX(Match!Q:Q,MATCH(P4,Match!V:V,0))</f>
        <v>Bournemouth</v>
      </c>
      <c r="V4" s="21">
        <f>INDEX(Match!G:G,MATCH(P4,Match!V:V,0))</f>
        <v>1</v>
      </c>
      <c r="W4" s="21" t="str">
        <f>INDEX(Match!R:R,MATCH(P4,Match!V:V,0))</f>
        <v>Newcastle</v>
      </c>
      <c r="X4" s="21">
        <f>INDEX(Match!H:H,MATCH(P4,Match!V:V,0))</f>
        <v>1</v>
      </c>
      <c r="AB4" s="583" t="str">
        <f>IF(O4="","",INDEX(Odds!H:H,MATCH(O4,Odds!G:G,0)))</f>
        <v/>
      </c>
      <c r="AC4" s="604">
        <f>IF(J4="","",INDEX(Odds!K:K,MATCH(J4,Odds!G:G,0)))</f>
        <v>1</v>
      </c>
      <c r="AD4" s="72" t="s">
        <v>516</v>
      </c>
      <c r="AE4" s="73">
        <f>INDEX(Picks!F:F,MATCH(AD4,Picks!A:A,0))</f>
        <v>36.263124999999995</v>
      </c>
      <c r="AF4" s="437">
        <f>INDEX(Weekly!I:I,MATCH(AD4,Weekly!E:E,0))</f>
        <v>3</v>
      </c>
      <c r="AG4" s="70">
        <f>IF(AE4=-10,"",_xlfn.RANK.EQ(AE4,TopScores,0))</f>
        <v>3</v>
      </c>
      <c r="AI4" s="70" t="s">
        <v>296</v>
      </c>
      <c r="AJ4" s="73" t="str">
        <f>INDEX(Picks!G:G,MATCH(AI4,Picks!A:A,0))</f>
        <v/>
      </c>
      <c r="AK4" s="437">
        <f>INDEX(Weekly!I:I,MATCH(AI4,Weekly!E:E,0))</f>
        <v>0</v>
      </c>
      <c r="AL4" s="70" t="str">
        <f>IF(AJ4="","",_xlfn.RANK.EQ(AJ4,TopMaxScores,0))</f>
        <v/>
      </c>
    </row>
    <row r="5" spans="1:40" ht="13.9" thickTop="1" thickBot="1">
      <c r="A5" s="440" t="str">
        <f>Results!B5</f>
        <v>Alan Rogers</v>
      </c>
      <c r="B5" s="456" t="str">
        <f>IF(J5="","",J5)</f>
        <v>Crawley</v>
      </c>
      <c r="C5" s="516">
        <f>IF(J5="","",INDEX(Odds!C:C,MATCH(J5,Odds!G:G,0)))</f>
        <v>7</v>
      </c>
      <c r="D5" s="441">
        <f t="shared" si="2"/>
        <v>2.4</v>
      </c>
      <c r="E5" s="459" t="str">
        <f t="shared" si="3"/>
        <v>x</v>
      </c>
      <c r="F5" s="382">
        <f>IF(J5="",-10,INDEX(Results!T:T,MATCH(A5,Results!V:V,0)))</f>
        <v>-7</v>
      </c>
      <c r="G5" s="189">
        <f>IF(J5="","",INDEX(Results!AI:AI,MATCH(A5,Results!V:V,0)))</f>
        <v>56.260000000000005</v>
      </c>
      <c r="H5" s="207">
        <f>IF(G5="",0,1)</f>
        <v>1</v>
      </c>
      <c r="I5" s="379">
        <f>INDEX(Picks!AG:AG,MATCH(A5,Picks!AD:AD,0))</f>
        <v>50</v>
      </c>
      <c r="J5" s="442" t="s">
        <v>616</v>
      </c>
      <c r="K5" s="190" t="str">
        <f>INDEX(Odds!H:H,MATCH(J5,Odds!G:G,0))</f>
        <v>7/5</v>
      </c>
      <c r="L5" s="443">
        <f>INDEX(Odds!I:I,MATCH(J5,Odds!G:G,0))</f>
        <v>2.4</v>
      </c>
      <c r="M5" s="457">
        <f>INDEX(Odds!J:J,MATCH(J5,Odds!G:G,0))</f>
        <v>0</v>
      </c>
      <c r="N5" s="445">
        <f t="shared" ref="N5:N61" si="4">L5*M5</f>
        <v>0</v>
      </c>
      <c r="O5" s="577"/>
      <c r="P5" s="574" t="str">
        <f>IF(Match!B5="","",Match!V5)</f>
        <v xml:space="preserve">Fulham 2-0 Forest </v>
      </c>
      <c r="Q5" s="89"/>
      <c r="R5" s="36" t="str">
        <f>IF(Odds!G5="","",Odds!G5)</f>
        <v>Fulham</v>
      </c>
      <c r="S5" s="37" t="str">
        <f>INDEX(Odds!H:H,MATCH(R5,Odds!G:G,0))</f>
        <v>19/20</v>
      </c>
      <c r="T5" s="41">
        <f t="shared" si="0"/>
        <v>1</v>
      </c>
      <c r="U5" s="21" t="str">
        <f>INDEX(Match!Q:Q,MATCH(P5,Match!V:V,0))</f>
        <v>Fulham</v>
      </c>
      <c r="V5" s="21">
        <f>INDEX(Match!G:G,MATCH(P5,Match!V:V,0))</f>
        <v>2</v>
      </c>
      <c r="W5" s="21" t="str">
        <f>INDEX(Match!R:R,MATCH(P5,Match!V:V,0))</f>
        <v>Forest</v>
      </c>
      <c r="X5" s="21">
        <f>INDEX(Match!H:H,MATCH(P5,Match!V:V,0))</f>
        <v>0</v>
      </c>
      <c r="AB5" s="582" t="str">
        <f>IF(O5="","",INDEX(Odds!H:H,MATCH(O5,Odds!G:G,0)))</f>
        <v/>
      </c>
      <c r="AC5" s="604">
        <f>IF(J5="","",INDEX(Odds!K:K,MATCH(J5,Odds!G:G,0)))</f>
        <v>1</v>
      </c>
      <c r="AD5" s="70" t="s">
        <v>295</v>
      </c>
      <c r="AE5" s="73">
        <f>INDEX(Picks!F:F,MATCH(AD5,Picks!A:A,0))</f>
        <v>24.40625</v>
      </c>
      <c r="AF5" s="437">
        <f>INDEX(Weekly!I:I,MATCH(AD5,Weekly!E:E,0))</f>
        <v>3</v>
      </c>
      <c r="AG5" s="70">
        <f>IF(AE5=-10,"",_xlfn.RANK.EQ(AE5,TopScores,0))</f>
        <v>4</v>
      </c>
      <c r="AI5" s="70" t="s">
        <v>373</v>
      </c>
      <c r="AJ5" s="73" t="str">
        <f>INDEX(Picks!G:G,MATCH(AI5,Picks!A:A,0))</f>
        <v/>
      </c>
      <c r="AK5" s="437">
        <f>INDEX(Weekly!I:I,MATCH(AI5,Weekly!E:E,0))</f>
        <v>0</v>
      </c>
      <c r="AL5" s="70" t="str">
        <f>IF(AJ5="","",_xlfn.RANK.EQ(AJ5,TopMaxScores,0))</f>
        <v/>
      </c>
    </row>
    <row r="6" spans="1:40">
      <c r="A6" s="644" t="str">
        <f>A5</f>
        <v>Alan Rogers</v>
      </c>
      <c r="B6" s="446" t="str">
        <f t="shared" si="1"/>
        <v>Mansfield draw</v>
      </c>
      <c r="C6" s="516">
        <f>IF(J6="","",INDEX(Odds!C:C,MATCH(J6,Odds!G:G,0)))</f>
        <v>7</v>
      </c>
      <c r="D6" s="447">
        <f t="shared" si="2"/>
        <v>3.5</v>
      </c>
      <c r="E6" s="460" t="str">
        <f t="shared" si="3"/>
        <v>x</v>
      </c>
      <c r="F6" s="448"/>
      <c r="G6" s="449"/>
      <c r="H6" s="207"/>
      <c r="I6" s="380"/>
      <c r="J6" s="442" t="s">
        <v>648</v>
      </c>
      <c r="K6" s="191" t="str">
        <f>INDEX(Odds!H:H,MATCH(J6,Odds!G:G,0))</f>
        <v>5/2</v>
      </c>
      <c r="L6" s="450">
        <f>INDEX(Odds!I:I,MATCH(J6,Odds!G:G,0))</f>
        <v>3.5</v>
      </c>
      <c r="M6" s="444">
        <f>INDEX(Odds!J:J,MATCH(J6,Odds!G:G,0))</f>
        <v>0</v>
      </c>
      <c r="N6" s="445">
        <f t="shared" si="4"/>
        <v>0</v>
      </c>
      <c r="O6" s="577"/>
      <c r="P6" s="574" t="str">
        <f>IF(Match!B6="","",Match!V6)</f>
        <v xml:space="preserve">Leicester 4-1 Spurs </v>
      </c>
      <c r="Q6" s="89"/>
      <c r="R6" s="36" t="str">
        <f>IF(Odds!G6="","",Odds!G6)</f>
        <v>Leicester</v>
      </c>
      <c r="S6" s="37" t="str">
        <f>INDEX(Odds!H:H,MATCH(R6,Odds!G:G,0))</f>
        <v>12/5</v>
      </c>
      <c r="T6" s="41">
        <f t="shared" si="0"/>
        <v>1</v>
      </c>
      <c r="U6" s="21" t="str">
        <f>INDEX(Match!Q:Q,MATCH(P6,Match!V:V,0))</f>
        <v>Leicester</v>
      </c>
      <c r="V6" s="21">
        <f>INDEX(Match!G:G,MATCH(P6,Match!V:V,0))</f>
        <v>4</v>
      </c>
      <c r="W6" s="21" t="str">
        <f>INDEX(Match!R:R,MATCH(P6,Match!V:V,0))</f>
        <v>Spurs</v>
      </c>
      <c r="X6" s="21">
        <f>INDEX(Match!H:H,MATCH(P6,Match!V:V,0))</f>
        <v>1</v>
      </c>
      <c r="AB6" s="582" t="str">
        <f>IF(O6="","",INDEX(Odds!H:H,MATCH(O6,Odds!G:G,0)))</f>
        <v/>
      </c>
      <c r="AC6" s="604">
        <f>IF(J6="","",INDEX(Odds!K:K,MATCH(J6,Odds!G:G,0)))</f>
        <v>1</v>
      </c>
      <c r="AD6" s="70" t="s">
        <v>285</v>
      </c>
      <c r="AE6" s="73">
        <f>INDEX(Picks!F:F,MATCH(AD6,Picks!A:A,0))</f>
        <v>17.963636363636361</v>
      </c>
      <c r="AF6" s="437">
        <f>INDEX(Weekly!I:I,MATCH(AD6,Weekly!E:E,0))</f>
        <v>3</v>
      </c>
      <c r="AG6" s="70">
        <f>IF(AE6=-10,"",_xlfn.RANK.EQ(AE6,TopScores,0))</f>
        <v>5</v>
      </c>
      <c r="AI6" s="72" t="s">
        <v>315</v>
      </c>
      <c r="AJ6" s="73" t="str">
        <f>INDEX(Picks!G:G,MATCH(AI6,Picks!A:A,0))</f>
        <v/>
      </c>
      <c r="AK6" s="437">
        <f>INDEX(Weekly!I:I,MATCH(AI6,Weekly!E:E,0))</f>
        <v>0</v>
      </c>
      <c r="AL6" s="70" t="str">
        <f>IF(AJ6="","",_xlfn.RANK.EQ(AJ6,TopMaxScores,0))</f>
        <v/>
      </c>
    </row>
    <row r="7" spans="1:40" ht="13.5" thickBot="1">
      <c r="A7" s="645" t="str">
        <f>A5</f>
        <v>Alan Rogers</v>
      </c>
      <c r="B7" s="451" t="str">
        <f t="shared" si="1"/>
        <v>Orient</v>
      </c>
      <c r="C7" s="517">
        <f>IF(J7="","",INDEX(Odds!C:C,MATCH(J7,Odds!G:G,0)))</f>
        <v>7</v>
      </c>
      <c r="D7" s="452">
        <f t="shared" si="2"/>
        <v>3.2</v>
      </c>
      <c r="E7" s="460" t="str">
        <f t="shared" si="3"/>
        <v>x</v>
      </c>
      <c r="F7" s="448"/>
      <c r="G7" s="449"/>
      <c r="H7" s="207"/>
      <c r="I7" s="380"/>
      <c r="J7" s="453" t="s">
        <v>628</v>
      </c>
      <c r="K7" s="192" t="str">
        <f>INDEX(Odds!H:H,MATCH(J7,Odds!G:G,0))</f>
        <v>11/5</v>
      </c>
      <c r="L7" s="454">
        <f>INDEX(Odds!I:I,MATCH(J7,Odds!G:G,0))</f>
        <v>3.2</v>
      </c>
      <c r="M7" s="444">
        <f>INDEX(Odds!J:J,MATCH(J7,Odds!G:G,0))</f>
        <v>0</v>
      </c>
      <c r="N7" s="455">
        <f t="shared" si="4"/>
        <v>0</v>
      </c>
      <c r="O7" s="578"/>
      <c r="P7" s="574" t="str">
        <f>IF(Match!B7="","",Match!V7)</f>
        <v xml:space="preserve">Palace 1-1 Brighton </v>
      </c>
      <c r="Q7" s="89"/>
      <c r="R7" s="36" t="str">
        <f>IF(Odds!G7="","",Odds!G7)</f>
        <v>Palace</v>
      </c>
      <c r="S7" s="37" t="str">
        <f>INDEX(Odds!H:H,MATCH(R7,Odds!G:G,0))</f>
        <v>13/5</v>
      </c>
      <c r="T7" s="41">
        <f t="shared" si="0"/>
        <v>0</v>
      </c>
      <c r="U7" s="21" t="str">
        <f>INDEX(Match!Q:Q,MATCH(P7,Match!V:V,0))</f>
        <v>Palace</v>
      </c>
      <c r="V7" s="21">
        <f>INDEX(Match!G:G,MATCH(P7,Match!V:V,0))</f>
        <v>1</v>
      </c>
      <c r="W7" s="21" t="str">
        <f>INDEX(Match!R:R,MATCH(P7,Match!V:V,0))</f>
        <v>Brighton</v>
      </c>
      <c r="X7" s="21">
        <f>INDEX(Match!H:H,MATCH(P7,Match!V:V,0))</f>
        <v>1</v>
      </c>
      <c r="AB7" s="583" t="str">
        <f>IF(O7="","",INDEX(Odds!H:H,MATCH(O7,Odds!G:G,0)))</f>
        <v/>
      </c>
      <c r="AC7" s="604">
        <f>IF(J7="","",INDEX(Odds!K:K,MATCH(J7,Odds!G:G,0)))</f>
        <v>1</v>
      </c>
      <c r="AD7" s="70" t="s">
        <v>519</v>
      </c>
      <c r="AE7" s="73">
        <f>INDEX(Picks!F:F,MATCH(AD7,Picks!A:A,0))</f>
        <v>12.606060606060606</v>
      </c>
      <c r="AF7" s="437">
        <f>INDEX(Weekly!I:I,MATCH(AD7,Weekly!E:E,0))</f>
        <v>3</v>
      </c>
      <c r="AG7" s="70">
        <f>IF(AE7=-10,"",_xlfn.RANK.EQ(AE7,TopScores,0))</f>
        <v>6</v>
      </c>
      <c r="AI7" s="72" t="s">
        <v>311</v>
      </c>
      <c r="AJ7" s="73">
        <f>INDEX(Picks!G:G,MATCH(AI7,Picks!A:A,0))</f>
        <v>87.090625000000003</v>
      </c>
      <c r="AK7" s="437">
        <f>INDEX(Weekly!I:I,MATCH(AI7,Weekly!E:E,0))</f>
        <v>2</v>
      </c>
      <c r="AL7" s="70">
        <f>IF(AJ7="","",_xlfn.RANK.EQ(AJ7,TopMaxScores,0))</f>
        <v>1</v>
      </c>
    </row>
    <row r="8" spans="1:40" ht="13.9" thickTop="1" thickBot="1">
      <c r="A8" s="440" t="str">
        <f>Results!B8</f>
        <v>Alan White</v>
      </c>
      <c r="B8" s="456" t="str">
        <f t="shared" si="1"/>
        <v>Shrewsbury</v>
      </c>
      <c r="C8" s="516">
        <f>IF(J8="","",INDEX(Odds!C:C,MATCH(J8,Odds!G:G,0)))</f>
        <v>7</v>
      </c>
      <c r="D8" s="441">
        <f t="shared" si="2"/>
        <v>2.25</v>
      </c>
      <c r="E8" s="459" t="str">
        <f t="shared" si="3"/>
        <v>√</v>
      </c>
      <c r="F8" s="382">
        <f>IF(J8="",-10,INDEX(Results!T:T,MATCH(A8,Results!V:V,0)))</f>
        <v>-4.75</v>
      </c>
      <c r="G8" s="189">
        <f>IF(J8="","",INDEX(Results!AI:AI,MATCH(A8,Results!V:V,0)))</f>
        <v>47.965000000000003</v>
      </c>
      <c r="H8" s="207">
        <f>IF(G8="",0,1)</f>
        <v>1</v>
      </c>
      <c r="I8" s="379">
        <f>INDEX(Picks!AG:AG,MATCH(A8,Picks!AD:AD,0))</f>
        <v>41</v>
      </c>
      <c r="J8" s="442" t="s">
        <v>522</v>
      </c>
      <c r="K8" s="190" t="str">
        <f>INDEX(Odds!H:H,MATCH(J8,Odds!G:G,0))</f>
        <v>5/4</v>
      </c>
      <c r="L8" s="443">
        <f>INDEX(Odds!I:I,MATCH(J8,Odds!G:G,0))</f>
        <v>2.25</v>
      </c>
      <c r="M8" s="457">
        <f>INDEX(Odds!J:J,MATCH(J8,Odds!G:G,0))</f>
        <v>1</v>
      </c>
      <c r="N8" s="445">
        <f t="shared" si="4"/>
        <v>2.25</v>
      </c>
      <c r="O8" s="577"/>
      <c r="P8" s="574" t="str">
        <f>IF(Match!B8="","",Match!V8)</f>
        <v xml:space="preserve">Southampton 1-2 Wolves </v>
      </c>
      <c r="Q8" s="89"/>
      <c r="R8" s="36" t="str">
        <f>IF(Odds!G8="","",Odds!G8)</f>
        <v>Southampton</v>
      </c>
      <c r="S8" s="37" t="str">
        <f>INDEX(Odds!H:H,MATCH(R8,Odds!G:G,0))</f>
        <v>9/5</v>
      </c>
      <c r="T8" s="41">
        <f t="shared" si="0"/>
        <v>0</v>
      </c>
      <c r="U8" s="21" t="str">
        <f>INDEX(Match!Q:Q,MATCH(P8,Match!V:V,0))</f>
        <v>Southampton</v>
      </c>
      <c r="V8" s="21">
        <f>INDEX(Match!G:G,MATCH(P8,Match!V:V,0))</f>
        <v>1</v>
      </c>
      <c r="W8" s="21" t="str">
        <f>INDEX(Match!R:R,MATCH(P8,Match!V:V,0))</f>
        <v>Wolves</v>
      </c>
      <c r="X8" s="21">
        <f>INDEX(Match!H:H,MATCH(P8,Match!V:V,0))</f>
        <v>2</v>
      </c>
      <c r="AB8" s="582" t="str">
        <f>IF(O8="","",INDEX(Odds!H:H,MATCH(O8,Odds!G:G,0)))</f>
        <v/>
      </c>
      <c r="AC8" s="604">
        <f>IF(J8="","",INDEX(Odds!K:K,MATCH(J8,Odds!G:G,0)))</f>
        <v>1</v>
      </c>
      <c r="AD8" s="72" t="s">
        <v>311</v>
      </c>
      <c r="AE8" s="73">
        <f>INDEX(Picks!F:F,MATCH(AD8,Picks!A:A,0))</f>
        <v>11.40625</v>
      </c>
      <c r="AF8" s="437">
        <f>INDEX(Weekly!I:I,MATCH(AD8,Weekly!E:E,0))</f>
        <v>2</v>
      </c>
      <c r="AG8" s="70">
        <f>IF(AE8=-10,"",_xlfn.RANK.EQ(AE8,TopScores,0))</f>
        <v>7</v>
      </c>
      <c r="AI8" s="72" t="s">
        <v>305</v>
      </c>
      <c r="AJ8" s="73">
        <f>INDEX(Picks!G:G,MATCH(AI8,Picks!A:A,0))</f>
        <v>85.807999999999993</v>
      </c>
      <c r="AK8" s="437">
        <f>INDEX(Weekly!I:I,MATCH(AI8,Weekly!E:E,0))</f>
        <v>1</v>
      </c>
      <c r="AL8" s="70">
        <f>IF(AJ8="","",_xlfn.RANK.EQ(AJ8,TopMaxScores,0))</f>
        <v>2</v>
      </c>
    </row>
    <row r="9" spans="1:40" ht="13.5" customHeight="1">
      <c r="A9" s="644" t="str">
        <f>A8</f>
        <v>Alan White</v>
      </c>
      <c r="B9" s="446" t="str">
        <f t="shared" si="1"/>
        <v>Northampton</v>
      </c>
      <c r="C9" s="516">
        <f>IF(J9="","",INDEX(Odds!C:C,MATCH(J9,Odds!G:G,0)))</f>
        <v>7</v>
      </c>
      <c r="D9" s="447">
        <f t="shared" si="2"/>
        <v>3.1</v>
      </c>
      <c r="E9" s="460" t="str">
        <f t="shared" si="3"/>
        <v>x</v>
      </c>
      <c r="F9" s="448"/>
      <c r="G9" s="449"/>
      <c r="H9" s="207"/>
      <c r="I9" s="380"/>
      <c r="J9" s="442" t="s">
        <v>625</v>
      </c>
      <c r="K9" s="191" t="str">
        <f>INDEX(Odds!H:H,MATCH(J9,Odds!G:G,0))</f>
        <v>21/10</v>
      </c>
      <c r="L9" s="450">
        <f>INDEX(Odds!I:I,MATCH(J9,Odds!G:G,0))</f>
        <v>3.1</v>
      </c>
      <c r="M9" s="444">
        <f>INDEX(Odds!J:J,MATCH(J9,Odds!G:G,0))</f>
        <v>0</v>
      </c>
      <c r="N9" s="445">
        <f t="shared" si="4"/>
        <v>0</v>
      </c>
      <c r="O9" s="577"/>
      <c r="P9" s="574" t="str">
        <f>IF(Match!B9="","",Match!V9)</f>
        <v xml:space="preserve">West Ham 1-1 Chelsea </v>
      </c>
      <c r="Q9" s="89"/>
      <c r="R9" s="36" t="str">
        <f>IF(Odds!G9="","",Odds!G9)</f>
        <v>West Ham</v>
      </c>
      <c r="S9" s="37" t="str">
        <f>INDEX(Odds!H:H,MATCH(R9,Odds!G:G,0))</f>
        <v>23/10</v>
      </c>
      <c r="T9" s="41">
        <f t="shared" si="0"/>
        <v>0</v>
      </c>
      <c r="U9" s="21" t="str">
        <f>INDEX(Match!Q:Q,MATCH(P9,Match!V:V,0))</f>
        <v>West Ham</v>
      </c>
      <c r="V9" s="21">
        <f>INDEX(Match!G:G,MATCH(P9,Match!V:V,0))</f>
        <v>1</v>
      </c>
      <c r="W9" s="21" t="str">
        <f>INDEX(Match!R:R,MATCH(P9,Match!V:V,0))</f>
        <v>Chelsea</v>
      </c>
      <c r="X9" s="21">
        <f>INDEX(Match!H:H,MATCH(P9,Match!V:V,0))</f>
        <v>1</v>
      </c>
      <c r="AB9" s="582" t="str">
        <f>IF(O9="","",INDEX(Odds!H:H,MATCH(O9,Odds!G:G,0)))</f>
        <v/>
      </c>
      <c r="AC9" s="604">
        <f>IF(J9="","",INDEX(Odds!K:K,MATCH(J9,Odds!G:G,0)))</f>
        <v>1</v>
      </c>
      <c r="AD9" s="70" t="s">
        <v>367</v>
      </c>
      <c r="AE9" s="73">
        <f>INDEX(Picks!F:F,MATCH(AD9,Picks!A:A,0))</f>
        <v>10.919999999999998</v>
      </c>
      <c r="AF9" s="437">
        <f>INDEX(Weekly!I:I,MATCH(AD9,Weekly!E:E,0))</f>
        <v>2</v>
      </c>
      <c r="AG9" s="70">
        <f>IF(AE9=-10,"",_xlfn.RANK.EQ(AE9,TopScores,0))</f>
        <v>8</v>
      </c>
      <c r="AI9" s="72" t="s">
        <v>310</v>
      </c>
      <c r="AJ9" s="73">
        <f>INDEX(Picks!G:G,MATCH(AI9,Picks!A:A,0))</f>
        <v>81.056000000000012</v>
      </c>
      <c r="AK9" s="437">
        <f>INDEX(Weekly!I:I,MATCH(AI9,Weekly!E:E,0))</f>
        <v>1</v>
      </c>
      <c r="AL9" s="70">
        <f>IF(AJ9="","",_xlfn.RANK.EQ(AJ9,TopMaxScores,0))</f>
        <v>3</v>
      </c>
    </row>
    <row r="10" spans="1:40" ht="13.5" thickBot="1">
      <c r="A10" s="645" t="str">
        <f>A8</f>
        <v>Alan White</v>
      </c>
      <c r="B10" s="451" t="str">
        <f t="shared" si="1"/>
        <v>Orient</v>
      </c>
      <c r="C10" s="517">
        <f>IF(J10="","",INDEX(Odds!C:C,MATCH(J10,Odds!G:G,0)))</f>
        <v>7</v>
      </c>
      <c r="D10" s="452">
        <f t="shared" si="2"/>
        <v>3.2</v>
      </c>
      <c r="E10" s="460" t="str">
        <f t="shared" si="3"/>
        <v>x</v>
      </c>
      <c r="F10" s="448"/>
      <c r="G10" s="449"/>
      <c r="H10" s="207"/>
      <c r="I10" s="380"/>
      <c r="J10" s="453" t="s">
        <v>628</v>
      </c>
      <c r="K10" s="192" t="str">
        <f>INDEX(Odds!H:H,MATCH(J10,Odds!G:G,0))</f>
        <v>11/5</v>
      </c>
      <c r="L10" s="454">
        <f>INDEX(Odds!I:I,MATCH(J10,Odds!G:G,0))</f>
        <v>3.2</v>
      </c>
      <c r="M10" s="444">
        <f>INDEX(Odds!J:J,MATCH(J10,Odds!G:G,0))</f>
        <v>0</v>
      </c>
      <c r="N10" s="455">
        <f t="shared" si="4"/>
        <v>0</v>
      </c>
      <c r="O10" s="578"/>
      <c r="P10" s="574" t="str">
        <f>IF(Match!B10="","",Match!V10)</f>
        <v xml:space="preserve">Blackpool 0-0 Rotherham </v>
      </c>
      <c r="Q10" s="89"/>
      <c r="R10" s="36" t="str">
        <f>IF(Odds!G10="","",Odds!G10)</f>
        <v>Blackpool</v>
      </c>
      <c r="S10" s="37" t="str">
        <f>INDEX(Odds!H:H,MATCH(R10,Odds!G:G,0))</f>
        <v>23/20</v>
      </c>
      <c r="T10" s="41">
        <f t="shared" si="0"/>
        <v>0</v>
      </c>
      <c r="U10" s="21" t="str">
        <f>INDEX(Match!Q:Q,MATCH(P10,Match!V:V,0))</f>
        <v>Blackpool</v>
      </c>
      <c r="V10" s="21">
        <f>INDEX(Match!G:G,MATCH(P10,Match!V:V,0))</f>
        <v>0</v>
      </c>
      <c r="W10" s="21" t="str">
        <f>INDEX(Match!R:R,MATCH(P10,Match!V:V,0))</f>
        <v>Rotherham</v>
      </c>
      <c r="X10" s="21">
        <f>INDEX(Match!H:H,MATCH(P10,Match!V:V,0))</f>
        <v>0</v>
      </c>
      <c r="AB10" s="583" t="str">
        <f>IF(O10="","",INDEX(Odds!H:H,MATCH(O10,Odds!G:G,0)))</f>
        <v/>
      </c>
      <c r="AC10" s="604">
        <f>IF(J10="","",INDEX(Odds!K:K,MATCH(J10,Odds!G:G,0)))</f>
        <v>1</v>
      </c>
      <c r="AD10" s="70" t="s">
        <v>279</v>
      </c>
      <c r="AE10" s="73">
        <f>INDEX(Picks!F:F,MATCH(AD10,Picks!A:A,0))</f>
        <v>10.059999999999999</v>
      </c>
      <c r="AF10" s="437">
        <f>INDEX(Weekly!I:I,MATCH(AD10,Weekly!E:E,0))</f>
        <v>2</v>
      </c>
      <c r="AG10" s="70">
        <f>IF(AE10=-10,"",_xlfn.RANK.EQ(AE10,TopScores,0))</f>
        <v>9</v>
      </c>
      <c r="AI10" s="72" t="s">
        <v>518</v>
      </c>
      <c r="AJ10" s="73">
        <f>INDEX(Picks!G:G,MATCH(AI10,Picks!A:A,0))</f>
        <v>71.474999999999994</v>
      </c>
      <c r="AK10" s="437">
        <f>INDEX(Weekly!I:I,MATCH(AI10,Weekly!E:E,0))</f>
        <v>1</v>
      </c>
      <c r="AL10" s="70">
        <f>IF(AJ10="","",_xlfn.RANK.EQ(AJ10,TopMaxScores,0))</f>
        <v>4</v>
      </c>
    </row>
    <row r="11" spans="1:40" ht="13.9" thickTop="1" thickBot="1">
      <c r="A11" s="440" t="str">
        <f>Results!B11</f>
        <v>Alex Griffin</v>
      </c>
      <c r="B11" s="456" t="str">
        <f t="shared" si="1"/>
        <v>Bournemouth draw</v>
      </c>
      <c r="C11" s="516">
        <f>IF(J11="","",INDEX(Odds!C:C,MATCH(J11,Odds!G:G,0)))</f>
        <v>7</v>
      </c>
      <c r="D11" s="441">
        <f t="shared" si="2"/>
        <v>4</v>
      </c>
      <c r="E11" s="459" t="str">
        <f t="shared" si="3"/>
        <v>√</v>
      </c>
      <c r="F11" s="382">
        <f>IF(J11="",-10,INDEX(Results!T:T,MATCH(A11,Results!V:V,0)))</f>
        <v>3.1111111111111107</v>
      </c>
      <c r="G11" s="189">
        <f>IF(J11="","",INDEX(Results!AI:AI,MATCH(A11,Results!V:V,0)))</f>
        <v>69.777777777777771</v>
      </c>
      <c r="H11" s="207">
        <f>IF(G11="",0,1)</f>
        <v>1</v>
      </c>
      <c r="I11" s="379">
        <f>INDEX(Picks!AG:AG,MATCH(A11,Picks!AD:AD,0))</f>
        <v>14</v>
      </c>
      <c r="J11" s="442" t="s">
        <v>638</v>
      </c>
      <c r="K11" s="190" t="str">
        <f>INDEX(Odds!H:H,MATCH(J11,Odds!G:G,0))</f>
        <v>3/1</v>
      </c>
      <c r="L11" s="443">
        <f>INDEX(Odds!I:I,MATCH(J11,Odds!G:G,0))</f>
        <v>4</v>
      </c>
      <c r="M11" s="457">
        <f>INDEX(Odds!J:J,MATCH(J11,Odds!G:G,0))</f>
        <v>1</v>
      </c>
      <c r="N11" s="445">
        <f t="shared" si="4"/>
        <v>4</v>
      </c>
      <c r="O11" s="577"/>
      <c r="P11" s="574" t="str">
        <f>IF(Match!B11="","",Match!V11)</f>
        <v xml:space="preserve">Bristol C 1-0 Norwich </v>
      </c>
      <c r="Q11" s="89"/>
      <c r="R11" s="36" t="str">
        <f>IF(Odds!G11="","",Odds!G11)</f>
        <v>Bristol C</v>
      </c>
      <c r="S11" s="37" t="str">
        <f>INDEX(Odds!H:H,MATCH(R11,Odds!G:G,0))</f>
        <v>2/1</v>
      </c>
      <c r="T11" s="41">
        <f t="shared" si="0"/>
        <v>1</v>
      </c>
      <c r="U11" s="21" t="str">
        <f>INDEX(Match!Q:Q,MATCH(P11,Match!V:V,0))</f>
        <v>Bristol C</v>
      </c>
      <c r="V11" s="21">
        <f>INDEX(Match!G:G,MATCH(P11,Match!V:V,0))</f>
        <v>1</v>
      </c>
      <c r="W11" s="21" t="str">
        <f>INDEX(Match!R:R,MATCH(P11,Match!V:V,0))</f>
        <v>Norwich</v>
      </c>
      <c r="X11" s="21">
        <f>INDEX(Match!H:H,MATCH(P11,Match!V:V,0))</f>
        <v>0</v>
      </c>
      <c r="AB11" s="582" t="str">
        <f>IF(O11="","",INDEX(Odds!H:H,MATCH(O11,Odds!G:G,0)))</f>
        <v/>
      </c>
      <c r="AC11" s="604">
        <f>IF(J11="","",INDEX(Odds!K:K,MATCH(J11,Odds!G:G,0)))</f>
        <v>1</v>
      </c>
      <c r="AD11" s="70" t="s">
        <v>306</v>
      </c>
      <c r="AE11" s="73">
        <f>INDEX(Picks!F:F,MATCH(AD11,Picks!A:A,0))</f>
        <v>8.1616161616161627</v>
      </c>
      <c r="AF11" s="437">
        <f>INDEX(Weekly!I:I,MATCH(AD11,Weekly!E:E,0))</f>
        <v>3</v>
      </c>
      <c r="AG11" s="70">
        <f>IF(AE11=-10,"",_xlfn.RANK.EQ(AE11,TopScores,0))</f>
        <v>10</v>
      </c>
      <c r="AI11" s="70" t="s">
        <v>316</v>
      </c>
      <c r="AJ11" s="73">
        <f>INDEX(Picks!G:G,MATCH(AI11,Picks!A:A,0))</f>
        <v>71.463999999999999</v>
      </c>
      <c r="AK11" s="437">
        <f>INDEX(Weekly!I:I,MATCH(AI11,Weekly!E:E,0))</f>
        <v>1</v>
      </c>
      <c r="AL11" s="70">
        <f>IF(AJ11="","",_xlfn.RANK.EQ(AJ11,TopMaxScores,0))</f>
        <v>5</v>
      </c>
    </row>
    <row r="12" spans="1:40">
      <c r="A12" s="644" t="str">
        <f>A11</f>
        <v>Alex Griffin</v>
      </c>
      <c r="B12" s="446" t="str">
        <f t="shared" si="1"/>
        <v>Man C</v>
      </c>
      <c r="C12" s="516">
        <f>IF(J12="","",INDEX(Odds!C:C,MATCH(J12,Odds!G:G,0)))</f>
        <v>1</v>
      </c>
      <c r="D12" s="447">
        <f t="shared" si="2"/>
        <v>1.2222222222222223</v>
      </c>
      <c r="E12" s="460" t="str">
        <f t="shared" si="3"/>
        <v>√</v>
      </c>
      <c r="F12" s="448"/>
      <c r="G12" s="449"/>
      <c r="H12" s="207"/>
      <c r="I12" s="380"/>
      <c r="J12" s="442" t="s">
        <v>630</v>
      </c>
      <c r="K12" s="191" t="str">
        <f>INDEX(Odds!H:H,MATCH(J12,Odds!G:G,0))</f>
        <v>2/9</v>
      </c>
      <c r="L12" s="450">
        <f>INDEX(Odds!I:I,MATCH(J12,Odds!G:G,0))</f>
        <v>1.2222222222222223</v>
      </c>
      <c r="M12" s="444">
        <f>INDEX(Odds!J:J,MATCH(J12,Odds!G:G,0))</f>
        <v>1</v>
      </c>
      <c r="N12" s="445">
        <f t="shared" si="4"/>
        <v>1.2222222222222223</v>
      </c>
      <c r="O12" s="577"/>
      <c r="P12" s="574" t="str">
        <f>IF(Match!B12="","",Match!V12)</f>
        <v xml:space="preserve">Burnley 3-0 Preston </v>
      </c>
      <c r="Q12" s="89"/>
      <c r="R12" s="36" t="str">
        <f>IF(Odds!G12="","",Odds!G12)</f>
        <v>Burnley</v>
      </c>
      <c r="S12" s="37" t="str">
        <f>INDEX(Odds!H:H,MATCH(R12,Odds!G:G,0))</f>
        <v>1/2</v>
      </c>
      <c r="T12" s="41">
        <f t="shared" si="0"/>
        <v>1</v>
      </c>
      <c r="U12" s="21" t="str">
        <f>INDEX(Match!Q:Q,MATCH(P12,Match!V:V,0))</f>
        <v>Burnley</v>
      </c>
      <c r="V12" s="21">
        <f>INDEX(Match!G:G,MATCH(P12,Match!V:V,0))</f>
        <v>3</v>
      </c>
      <c r="W12" s="21" t="str">
        <f>INDEX(Match!R:R,MATCH(P12,Match!V:V,0))</f>
        <v>Preston</v>
      </c>
      <c r="X12" s="21">
        <f>INDEX(Match!H:H,MATCH(P12,Match!V:V,0))</f>
        <v>0</v>
      </c>
      <c r="AB12" s="582" t="str">
        <f>IF(O12="","",INDEX(Odds!H:H,MATCH(O12,Odds!G:G,0)))</f>
        <v/>
      </c>
      <c r="AC12" s="604">
        <f>IF(J12="","",INDEX(Odds!K:K,MATCH(J12,Odds!G:G,0)))</f>
        <v>1</v>
      </c>
      <c r="AD12" s="70" t="s">
        <v>288</v>
      </c>
      <c r="AE12" s="73">
        <f>INDEX(Picks!F:F,MATCH(AD12,Picks!A:A,0))</f>
        <v>5.5</v>
      </c>
      <c r="AF12" s="437">
        <f>INDEX(Weekly!I:I,MATCH(AD12,Weekly!E:E,0))</f>
        <v>2</v>
      </c>
      <c r="AG12" s="70">
        <f>IF(AE12=-10,"",_xlfn.RANK.EQ(AE12,TopScores,0))</f>
        <v>11</v>
      </c>
      <c r="AI12" s="72" t="s">
        <v>567</v>
      </c>
      <c r="AJ12" s="73">
        <f>INDEX(Picks!G:G,MATCH(AI12,Picks!A:A,0))</f>
        <v>69.777777777777771</v>
      </c>
      <c r="AK12" s="437">
        <f>INDEX(Weekly!I:I,MATCH(AI12,Weekly!E:E,0))</f>
        <v>2</v>
      </c>
      <c r="AL12" s="70">
        <f>IF(AJ12="","",_xlfn.RANK.EQ(AJ12,TopMaxScores,0))</f>
        <v>6</v>
      </c>
    </row>
    <row r="13" spans="1:40" ht="13.5" thickBot="1">
      <c r="A13" s="645" t="str">
        <f>A11</f>
        <v>Alex Griffin</v>
      </c>
      <c r="B13" s="451" t="str">
        <f>IF(J13="","",J13)</f>
        <v>Man C draw</v>
      </c>
      <c r="C13" s="517">
        <f>IF(J13="","",INDEX(Odds!C:C,MATCH(J13,Odds!G:G,0)))</f>
        <v>1</v>
      </c>
      <c r="D13" s="452">
        <f t="shared" si="2"/>
        <v>6</v>
      </c>
      <c r="E13" s="460" t="str">
        <f t="shared" si="3"/>
        <v>x</v>
      </c>
      <c r="F13" s="448"/>
      <c r="G13" s="449"/>
      <c r="H13" s="207"/>
      <c r="I13" s="380"/>
      <c r="J13" s="453" t="s">
        <v>647</v>
      </c>
      <c r="K13" s="192" t="str">
        <f>INDEX(Odds!H:H,MATCH(J13,Odds!G:G,0))</f>
        <v>5/1</v>
      </c>
      <c r="L13" s="454">
        <f>INDEX(Odds!I:I,MATCH(J13,Odds!G:G,0))</f>
        <v>6</v>
      </c>
      <c r="M13" s="444">
        <f>INDEX(Odds!J:J,MATCH(J13,Odds!G:G,0))</f>
        <v>0</v>
      </c>
      <c r="N13" s="455">
        <f t="shared" si="4"/>
        <v>0</v>
      </c>
      <c r="O13" s="578"/>
      <c r="P13" s="574" t="str">
        <f>IF(Match!B13="","",Match!V13)</f>
        <v xml:space="preserve">Cardiff 1-3 Middlesbro </v>
      </c>
      <c r="Q13" s="89"/>
      <c r="R13" s="36" t="str">
        <f>IF(Odds!G13="","",Odds!G13)</f>
        <v>Cardiff</v>
      </c>
      <c r="S13" s="37" t="str">
        <f>INDEX(Odds!H:H,MATCH(R13,Odds!G:G,0))</f>
        <v>12/5</v>
      </c>
      <c r="T13" s="41">
        <f t="shared" si="0"/>
        <v>0</v>
      </c>
      <c r="U13" s="21" t="str">
        <f>INDEX(Match!Q:Q,MATCH(P13,Match!V:V,0))</f>
        <v>Cardiff</v>
      </c>
      <c r="V13" s="21">
        <f>INDEX(Match!G:G,MATCH(P13,Match!V:V,0))</f>
        <v>1</v>
      </c>
      <c r="W13" s="21" t="str">
        <f>INDEX(Match!R:R,MATCH(P13,Match!V:V,0))</f>
        <v>Middlesbro</v>
      </c>
      <c r="X13" s="21">
        <f>INDEX(Match!H:H,MATCH(P13,Match!V:V,0))</f>
        <v>3</v>
      </c>
      <c r="AB13" s="583" t="str">
        <f>IF(O13="","",INDEX(Odds!H:H,MATCH(O13,Odds!G:G,0)))</f>
        <v/>
      </c>
      <c r="AC13" s="604">
        <f>IF(J13="","",INDEX(Odds!K:K,MATCH(J13,Odds!G:G,0)))</f>
        <v>1</v>
      </c>
      <c r="AD13" s="70" t="s">
        <v>304</v>
      </c>
      <c r="AE13" s="73">
        <f>INDEX(Picks!F:F,MATCH(AD13,Picks!A:A,0))</f>
        <v>3.6363636363636367</v>
      </c>
      <c r="AF13" s="437">
        <f>INDEX(Weekly!I:I,MATCH(AD13,Weekly!E:E,0))</f>
        <v>2</v>
      </c>
      <c r="AG13" s="70">
        <f>IF(AE13=-10,"",_xlfn.RANK.EQ(AE13,TopScores,0))</f>
        <v>12</v>
      </c>
      <c r="AI13" s="72" t="s">
        <v>279</v>
      </c>
      <c r="AJ13" s="73">
        <f>INDEX(Picks!G:G,MATCH(AI13,Picks!A:A,0))</f>
        <v>66.046000000000006</v>
      </c>
      <c r="AK13" s="437">
        <f>INDEX(Weekly!I:I,MATCH(AI13,Weekly!E:E,0))</f>
        <v>2</v>
      </c>
      <c r="AL13" s="70">
        <f>IF(AJ13="","",_xlfn.RANK.EQ(AJ13,TopMaxScores,0))</f>
        <v>7</v>
      </c>
    </row>
    <row r="14" spans="1:40" ht="13.9" thickTop="1" thickBot="1">
      <c r="A14" s="440" t="str">
        <f>Results!B14</f>
        <v>Alfie Davies</v>
      </c>
      <c r="B14" s="456" t="str">
        <f t="shared" si="1"/>
        <v>Chelsea</v>
      </c>
      <c r="C14" s="516">
        <f>IF(J14="","",INDEX(Odds!C:C,MATCH(J14,Odds!G:G,0)))</f>
        <v>7</v>
      </c>
      <c r="D14" s="441">
        <f t="shared" si="2"/>
        <v>2.25</v>
      </c>
      <c r="E14" s="459" t="str">
        <f t="shared" si="3"/>
        <v>x</v>
      </c>
      <c r="F14" s="382">
        <f>IF(J14="",-10,INDEX(Results!T:T,MATCH(A14,Results!V:V,0)))</f>
        <v>1.96875</v>
      </c>
      <c r="G14" s="189">
        <f>IF(J14="","",INDEX(Results!AI:AI,MATCH(A14,Results!V:V,0)))</f>
        <v>24.3984375</v>
      </c>
      <c r="H14" s="207">
        <f>IF(G14="",0,1)</f>
        <v>1</v>
      </c>
      <c r="I14" s="379">
        <f>INDEX(Picks!AG:AG,MATCH(A14,Picks!AD:AD,0))</f>
        <v>17</v>
      </c>
      <c r="J14" s="442" t="s">
        <v>576</v>
      </c>
      <c r="K14" s="190" t="str">
        <f>INDEX(Odds!H:H,MATCH(J14,Odds!G:G,0))</f>
        <v>5/4</v>
      </c>
      <c r="L14" s="443">
        <f>INDEX(Odds!I:I,MATCH(J14,Odds!G:G,0))</f>
        <v>2.25</v>
      </c>
      <c r="M14" s="457">
        <f>INDEX(Odds!J:J,MATCH(J14,Odds!G:G,0))</f>
        <v>0</v>
      </c>
      <c r="N14" s="445">
        <f t="shared" si="4"/>
        <v>0</v>
      </c>
      <c r="O14" s="577"/>
      <c r="P14" s="574" t="str">
        <f>IF(Match!B14="","",Match!V14)</f>
        <v xml:space="preserve">Coventry 1-1 Luton </v>
      </c>
      <c r="Q14" s="89"/>
      <c r="R14" s="36" t="str">
        <f>IF(Odds!G14="","",Odds!G14)</f>
        <v>Coventry</v>
      </c>
      <c r="S14" s="37" t="str">
        <f>INDEX(Odds!H:H,MATCH(R14,Odds!G:G,0))</f>
        <v>6/5</v>
      </c>
      <c r="T14" s="41">
        <f t="shared" si="0"/>
        <v>0</v>
      </c>
      <c r="U14" s="21" t="str">
        <f>INDEX(Match!Q:Q,MATCH(P14,Match!V:V,0))</f>
        <v>Coventry</v>
      </c>
      <c r="V14" s="21">
        <f>INDEX(Match!G:G,MATCH(P14,Match!V:V,0))</f>
        <v>1</v>
      </c>
      <c r="W14" s="21" t="str">
        <f>INDEX(Match!R:R,MATCH(P14,Match!V:V,0))</f>
        <v>Luton</v>
      </c>
      <c r="X14" s="21">
        <f>INDEX(Match!H:H,MATCH(P14,Match!V:V,0))</f>
        <v>1</v>
      </c>
      <c r="AB14" s="582" t="str">
        <f>IF(O14="","",INDEX(Odds!H:H,MATCH(O14,Odds!G:G,0)))</f>
        <v/>
      </c>
      <c r="AC14" s="604">
        <f>IF(J14="","",INDEX(Odds!K:K,MATCH(J14,Odds!G:G,0)))</f>
        <v>1</v>
      </c>
      <c r="AD14" s="70" t="s">
        <v>323</v>
      </c>
      <c r="AE14" s="73">
        <f>INDEX(Picks!F:F,MATCH(AD14,Picks!A:A,0))</f>
        <v>3.6099999999999994</v>
      </c>
      <c r="AF14" s="437">
        <f>INDEX(Weekly!I:I,MATCH(AD14,Weekly!E:E,0))</f>
        <v>2</v>
      </c>
      <c r="AG14" s="70">
        <f>IF(AE14=-10,"",_xlfn.RANK.EQ(AE14,TopScores,0))</f>
        <v>13</v>
      </c>
      <c r="AI14" s="72" t="s">
        <v>371</v>
      </c>
      <c r="AJ14" s="73">
        <f>INDEX(Picks!G:G,MATCH(AI14,Picks!A:A,0))</f>
        <v>62.875</v>
      </c>
      <c r="AK14" s="437">
        <f>INDEX(Weekly!I:I,MATCH(AI14,Weekly!E:E,0))</f>
        <v>1</v>
      </c>
      <c r="AL14" s="70">
        <f>IF(AJ14="","",_xlfn.RANK.EQ(AJ14,TopMaxScores,0))</f>
        <v>8</v>
      </c>
    </row>
    <row r="15" spans="1:40">
      <c r="A15" s="644" t="str">
        <f>A14</f>
        <v>Alfie Davies</v>
      </c>
      <c r="B15" s="446" t="str">
        <f t="shared" si="1"/>
        <v>Wolves</v>
      </c>
      <c r="C15" s="516">
        <f>IF(J15="","",INDEX(Odds!C:C,MATCH(J15,Odds!G:G,0)))</f>
        <v>7</v>
      </c>
      <c r="D15" s="447">
        <f t="shared" si="2"/>
        <v>2.625</v>
      </c>
      <c r="E15" s="460" t="str">
        <f t="shared" si="3"/>
        <v>√</v>
      </c>
      <c r="F15" s="448"/>
      <c r="G15" s="449"/>
      <c r="H15" s="207"/>
      <c r="I15" s="380"/>
      <c r="J15" s="442" t="s">
        <v>580</v>
      </c>
      <c r="K15" s="191" t="str">
        <f>INDEX(Odds!H:H,MATCH(J15,Odds!G:G,0))</f>
        <v>13/8</v>
      </c>
      <c r="L15" s="450">
        <f>INDEX(Odds!I:I,MATCH(J15,Odds!G:G,0))</f>
        <v>2.625</v>
      </c>
      <c r="M15" s="444">
        <f>INDEX(Odds!J:J,MATCH(J15,Odds!G:G,0))</f>
        <v>1</v>
      </c>
      <c r="N15" s="445">
        <f t="shared" si="4"/>
        <v>2.625</v>
      </c>
      <c r="O15" s="577"/>
      <c r="P15" s="574" t="str">
        <f>IF(Match!B15="","",Match!V15)</f>
        <v xml:space="preserve">QPR 1-2 Millwall </v>
      </c>
      <c r="Q15" s="89"/>
      <c r="R15" s="36" t="str">
        <f>IF(Odds!G15="","",Odds!G15)</f>
        <v>QPR</v>
      </c>
      <c r="S15" s="37" t="str">
        <f>INDEX(Odds!H:H,MATCH(R15,Odds!G:G,0))</f>
        <v>8/5</v>
      </c>
      <c r="T15" s="41">
        <f t="shared" si="0"/>
        <v>0</v>
      </c>
      <c r="U15" s="21" t="str">
        <f>INDEX(Match!Q:Q,MATCH(P15,Match!V:V,0))</f>
        <v>QPR</v>
      </c>
      <c r="V15" s="21">
        <f>INDEX(Match!G:G,MATCH(P15,Match!V:V,0))</f>
        <v>1</v>
      </c>
      <c r="W15" s="21" t="str">
        <f>INDEX(Match!R:R,MATCH(P15,Match!V:V,0))</f>
        <v>Millwall</v>
      </c>
      <c r="X15" s="21">
        <f>INDEX(Match!H:H,MATCH(P15,Match!V:V,0))</f>
        <v>2</v>
      </c>
      <c r="AB15" s="582" t="str">
        <f>IF(O15="","",INDEX(Odds!H:H,MATCH(O15,Odds!G:G,0)))</f>
        <v/>
      </c>
      <c r="AC15" s="604">
        <f>IF(J15="","",INDEX(Odds!K:K,MATCH(J15,Odds!G:G,0)))</f>
        <v>1</v>
      </c>
      <c r="AD15" s="70" t="s">
        <v>567</v>
      </c>
      <c r="AE15" s="73">
        <f>INDEX(Picks!F:F,MATCH(AD15,Picks!A:A,0))</f>
        <v>3.1111111111111107</v>
      </c>
      <c r="AF15" s="437">
        <f>INDEX(Weekly!I:I,MATCH(AD15,Weekly!E:E,0))</f>
        <v>2</v>
      </c>
      <c r="AG15" s="70">
        <f>IF(AE15=-10,"",_xlfn.RANK.EQ(AE15,TopScores,0))</f>
        <v>14</v>
      </c>
      <c r="AI15" s="610" t="s">
        <v>297</v>
      </c>
      <c r="AJ15" s="73">
        <f>INDEX(Picks!G:G,MATCH(AI15,Picks!A:A,0))</f>
        <v>56.260000000000005</v>
      </c>
      <c r="AK15" s="437">
        <f>INDEX(Weekly!I:I,MATCH(AI15,Weekly!E:E,0))</f>
        <v>0</v>
      </c>
      <c r="AL15" s="70">
        <f>IF(AJ15="","",_xlfn.RANK.EQ(AJ15,TopMaxScores,0))</f>
        <v>9</v>
      </c>
    </row>
    <row r="16" spans="1:40" ht="13.5" thickBot="1">
      <c r="A16" s="645" t="str">
        <f>A14</f>
        <v>Alfie Davies</v>
      </c>
      <c r="B16" s="451" t="str">
        <f t="shared" si="1"/>
        <v>Man U</v>
      </c>
      <c r="C16" s="517">
        <f>IF(J16="","",INDEX(Odds!C:C,MATCH(J16,Odds!G:G,0)))</f>
        <v>1</v>
      </c>
      <c r="D16" s="452">
        <f t="shared" si="2"/>
        <v>1.75</v>
      </c>
      <c r="E16" s="460" t="str">
        <f t="shared" si="3"/>
        <v>√</v>
      </c>
      <c r="F16" s="448"/>
      <c r="G16" s="449"/>
      <c r="H16" s="207"/>
      <c r="I16" s="380"/>
      <c r="J16" s="453" t="s">
        <v>555</v>
      </c>
      <c r="K16" s="192" t="str">
        <f>INDEX(Odds!H:H,MATCH(J16,Odds!G:G,0))</f>
        <v>3/4</v>
      </c>
      <c r="L16" s="454">
        <f>INDEX(Odds!I:I,MATCH(J16,Odds!G:G,0))</f>
        <v>1.75</v>
      </c>
      <c r="M16" s="444">
        <f>INDEX(Odds!J:J,MATCH(J16,Odds!G:G,0))</f>
        <v>1</v>
      </c>
      <c r="N16" s="455">
        <f t="shared" si="4"/>
        <v>1.75</v>
      </c>
      <c r="O16" s="578"/>
      <c r="P16" s="574" t="str">
        <f>IF(Match!B16="","",Match!V16)</f>
        <v xml:space="preserve">Sheff U 3-0 Swansea </v>
      </c>
      <c r="Q16" s="89"/>
      <c r="R16" s="36" t="str">
        <f>IF(Odds!G16="","",Odds!G16)</f>
        <v>Sheff U</v>
      </c>
      <c r="S16" s="37" t="str">
        <f>INDEX(Odds!H:H,MATCH(R16,Odds!G:G,0))</f>
        <v>5/6</v>
      </c>
      <c r="T16" s="41">
        <f t="shared" si="0"/>
        <v>1</v>
      </c>
      <c r="U16" s="21" t="str">
        <f>INDEX(Match!Q:Q,MATCH(P16,Match!V:V,0))</f>
        <v>Sheff U</v>
      </c>
      <c r="V16" s="21">
        <f>INDEX(Match!G:G,MATCH(P16,Match!V:V,0))</f>
        <v>3</v>
      </c>
      <c r="W16" s="21" t="str">
        <f>INDEX(Match!R:R,MATCH(P16,Match!V:V,0))</f>
        <v>Swansea</v>
      </c>
      <c r="X16" s="21">
        <f>INDEX(Match!H:H,MATCH(P16,Match!V:V,0))</f>
        <v>0</v>
      </c>
      <c r="AB16" s="583" t="str">
        <f>IF(O16="","",INDEX(Odds!H:H,MATCH(O16,Odds!G:G,0)))</f>
        <v/>
      </c>
      <c r="AC16" s="604">
        <f>IF(J16="","",INDEX(Odds!K:K,MATCH(J16,Odds!G:G,0)))</f>
        <v>1</v>
      </c>
      <c r="AD16" s="70" t="s">
        <v>302</v>
      </c>
      <c r="AE16" s="73">
        <f>INDEX(Picks!F:F,MATCH(AD16,Picks!A:A,0))</f>
        <v>2.2708333333333339</v>
      </c>
      <c r="AF16" s="437">
        <f>INDEX(Weekly!I:I,MATCH(AD16,Weekly!E:E,0))</f>
        <v>2</v>
      </c>
      <c r="AG16" s="70">
        <f>IF(AE16=-10,"",_xlfn.RANK.EQ(AE16,TopScores,0))</f>
        <v>15</v>
      </c>
      <c r="AI16" s="72" t="s">
        <v>376</v>
      </c>
      <c r="AJ16" s="73">
        <f>INDEX(Picks!G:G,MATCH(AI16,Picks!A:A,0))</f>
        <v>56.260000000000005</v>
      </c>
      <c r="AK16" s="437">
        <f>INDEX(Weekly!I:I,MATCH(AI16,Weekly!E:E,0))</f>
        <v>1</v>
      </c>
      <c r="AL16" s="70">
        <f>IF(AJ16="","",_xlfn.RANK.EQ(AJ16,TopMaxScores,0))</f>
        <v>9</v>
      </c>
    </row>
    <row r="17" spans="1:38" ht="13.9" thickTop="1" thickBot="1">
      <c r="A17" s="440" t="str">
        <f>Results!B17</f>
        <v>Alick Rocca</v>
      </c>
      <c r="B17" s="456" t="str">
        <f t="shared" si="1"/>
        <v>Lincoln Draw</v>
      </c>
      <c r="C17" s="516">
        <f>IF(J17="","",INDEX(Odds!C:C,MATCH(J17,Odds!G:G,0)))</f>
        <v>7</v>
      </c>
      <c r="D17" s="441">
        <f t="shared" si="2"/>
        <v>3.3</v>
      </c>
      <c r="E17" s="459" t="str">
        <f t="shared" si="3"/>
        <v>x</v>
      </c>
      <c r="F17" s="382">
        <f>IF(J17="",-10,INDEX(Results!T:T,MATCH(A17,Results!V:V,0)))</f>
        <v>-3.8</v>
      </c>
      <c r="G17" s="189">
        <f>IF(J17="","",INDEX(Results!AI:AI,MATCH(A17,Results!V:V,0)))</f>
        <v>71.463999999999999</v>
      </c>
      <c r="H17" s="207">
        <f>IF(G17="",0,1)</f>
        <v>1</v>
      </c>
      <c r="I17" s="379">
        <f>INDEX(Picks!AG:AG,MATCH(A17,Picks!AD:AD,0))</f>
        <v>35</v>
      </c>
      <c r="J17" s="442" t="s">
        <v>640</v>
      </c>
      <c r="K17" s="190" t="str">
        <f>INDEX(Odds!H:H,MATCH(J17,Odds!G:G,0))</f>
        <v>23/10</v>
      </c>
      <c r="L17" s="443">
        <f>INDEX(Odds!I:I,MATCH(J17,Odds!G:G,0))</f>
        <v>3.3</v>
      </c>
      <c r="M17" s="457">
        <f>INDEX(Odds!J:J,MATCH(J17,Odds!G:G,0))</f>
        <v>0</v>
      </c>
      <c r="N17" s="445">
        <f t="shared" si="4"/>
        <v>0</v>
      </c>
      <c r="O17" s="577"/>
      <c r="P17" s="574" t="str">
        <f>IF(Match!B17="","",Match!V17)</f>
        <v xml:space="preserve">Stoke 0-0 Hull </v>
      </c>
      <c r="Q17" s="89"/>
      <c r="R17" s="36" t="str">
        <f>IF(Odds!G17="","",Odds!G17)</f>
        <v>Stoke</v>
      </c>
      <c r="S17" s="37" t="str">
        <f>INDEX(Odds!H:H,MATCH(R17,Odds!G:G,0))</f>
        <v>1/1</v>
      </c>
      <c r="T17" s="41">
        <f t="shared" si="0"/>
        <v>0</v>
      </c>
      <c r="U17" s="21" t="str">
        <f>INDEX(Match!Q:Q,MATCH(P17,Match!V:V,0))</f>
        <v>Stoke</v>
      </c>
      <c r="V17" s="21">
        <f>INDEX(Match!G:G,MATCH(P17,Match!V:V,0))</f>
        <v>0</v>
      </c>
      <c r="W17" s="21" t="str">
        <f>INDEX(Match!R:R,MATCH(P17,Match!V:V,0))</f>
        <v>Hull</v>
      </c>
      <c r="X17" s="21">
        <f>INDEX(Match!H:H,MATCH(P17,Match!V:V,0))</f>
        <v>0</v>
      </c>
      <c r="AB17" s="582" t="str">
        <f>IF(O17="","",INDEX(Odds!H:H,MATCH(O17,Odds!G:G,0)))</f>
        <v/>
      </c>
      <c r="AC17" s="604">
        <f>IF(J17="","",INDEX(Odds!K:K,MATCH(J17,Odds!G:G,0)))</f>
        <v>1</v>
      </c>
      <c r="AD17" s="70" t="s">
        <v>280</v>
      </c>
      <c r="AE17" s="73">
        <f>INDEX(Picks!F:F,MATCH(AD17,Picks!A:A,0))</f>
        <v>2.2375000000000007</v>
      </c>
      <c r="AF17" s="437">
        <f>INDEX(Weekly!I:I,MATCH(AD17,Weekly!E:E,0))</f>
        <v>2</v>
      </c>
      <c r="AG17" s="70">
        <f>IF(AE17=-10,"",_xlfn.RANK.EQ(AE17,TopScores,0))</f>
        <v>16</v>
      </c>
      <c r="AI17" s="70" t="s">
        <v>367</v>
      </c>
      <c r="AJ17" s="73">
        <f>INDEX(Picks!G:G,MATCH(AI17,Picks!A:A,0))</f>
        <v>53.489999999999995</v>
      </c>
      <c r="AK17" s="437">
        <f>INDEX(Weekly!I:I,MATCH(AI17,Weekly!E:E,0))</f>
        <v>2</v>
      </c>
      <c r="AL17" s="70">
        <f>IF(AJ17="","",_xlfn.RANK.EQ(AJ17,TopMaxScores,0))</f>
        <v>11</v>
      </c>
    </row>
    <row r="18" spans="1:38">
      <c r="A18" s="644" t="str">
        <f>A17</f>
        <v>Alick Rocca</v>
      </c>
      <c r="B18" s="446" t="str">
        <f>IF(J18="","",J18)</f>
        <v>Wycombe Draw</v>
      </c>
      <c r="C18" s="516">
        <f>IF(J18="","",INDEX(Odds!C:C,MATCH(J18,Odds!G:G,0)))</f>
        <v>7</v>
      </c>
      <c r="D18" s="447">
        <f t="shared" si="2"/>
        <v>3.4</v>
      </c>
      <c r="E18" s="460" t="str">
        <f t="shared" si="3"/>
        <v>x</v>
      </c>
      <c r="F18" s="448"/>
      <c r="G18" s="449"/>
      <c r="H18" s="207"/>
      <c r="I18" s="380"/>
      <c r="J18" s="442" t="s">
        <v>641</v>
      </c>
      <c r="K18" s="191" t="str">
        <f>INDEX(Odds!H:H,MATCH(J18,Odds!G:G,0))</f>
        <v>12/5</v>
      </c>
      <c r="L18" s="450">
        <f>INDEX(Odds!I:I,MATCH(J18,Odds!G:G,0))</f>
        <v>3.4</v>
      </c>
      <c r="M18" s="444">
        <f>INDEX(Odds!J:J,MATCH(J18,Odds!G:G,0))</f>
        <v>0</v>
      </c>
      <c r="N18" s="445">
        <f t="shared" si="4"/>
        <v>0</v>
      </c>
      <c r="O18" s="577"/>
      <c r="P18" s="574" t="str">
        <f>IF(Match!B18="","",Match!V18)</f>
        <v xml:space="preserve">Sunderland 1-0 Reading </v>
      </c>
      <c r="Q18" s="89"/>
      <c r="R18" s="36" t="str">
        <f>IF(Odds!G18="","",Odds!G18)</f>
        <v>Sunderland</v>
      </c>
      <c r="S18" s="37" t="str">
        <f>INDEX(Odds!H:H,MATCH(R18,Odds!G:G,0))</f>
        <v>10/11</v>
      </c>
      <c r="T18" s="41">
        <f t="shared" si="0"/>
        <v>1</v>
      </c>
      <c r="U18" s="21" t="str">
        <f>INDEX(Match!Q:Q,MATCH(P18,Match!V:V,0))</f>
        <v>Sunderland</v>
      </c>
      <c r="V18" s="21">
        <f>INDEX(Match!G:G,MATCH(P18,Match!V:V,0))</f>
        <v>1</v>
      </c>
      <c r="W18" s="21" t="str">
        <f>INDEX(Match!R:R,MATCH(P18,Match!V:V,0))</f>
        <v>Reading</v>
      </c>
      <c r="X18" s="21">
        <f>INDEX(Match!H:H,MATCH(P18,Match!V:V,0))</f>
        <v>0</v>
      </c>
      <c r="AB18" s="582" t="str">
        <f>IF(O18="","",INDEX(Odds!H:H,MATCH(O18,Odds!G:G,0)))</f>
        <v/>
      </c>
      <c r="AC18" s="604">
        <f>IF(J18="","",INDEX(Odds!K:K,MATCH(J18,Odds!G:G,0)))</f>
        <v>1</v>
      </c>
      <c r="AD18" s="70" t="s">
        <v>300</v>
      </c>
      <c r="AE18" s="73">
        <f>INDEX(Picks!F:F,MATCH(AD18,Picks!A:A,0))</f>
        <v>1.96875</v>
      </c>
      <c r="AF18" s="437">
        <f>INDEX(Weekly!I:I,MATCH(AD18,Weekly!E:E,0))</f>
        <v>2</v>
      </c>
      <c r="AG18" s="70">
        <f>IF(AE18=-10,"",_xlfn.RANK.EQ(AE18,TopScores,0))</f>
        <v>17</v>
      </c>
      <c r="AI18" s="72" t="s">
        <v>370</v>
      </c>
      <c r="AJ18" s="73">
        <f>INDEX(Picks!G:G,MATCH(AI18,Picks!A:A,0))</f>
        <v>53.199999999999996</v>
      </c>
      <c r="AK18" s="437">
        <f>INDEX(Weekly!I:I,MATCH(AI18,Weekly!E:E,0))</f>
        <v>0</v>
      </c>
      <c r="AL18" s="70">
        <f>IF(AJ18="","",_xlfn.RANK.EQ(AJ18,TopMaxScores,0))</f>
        <v>12</v>
      </c>
    </row>
    <row r="19" spans="1:38" ht="13.5" thickBot="1">
      <c r="A19" s="645" t="str">
        <f>A17</f>
        <v>Alick Rocca</v>
      </c>
      <c r="B19" s="451" t="str">
        <f t="shared" si="1"/>
        <v>Hartlepool Draw</v>
      </c>
      <c r="C19" s="517">
        <f>IF(J19="","",INDEX(Odds!C:C,MATCH(J19,Odds!G:G,0)))</f>
        <v>7</v>
      </c>
      <c r="D19" s="452">
        <f t="shared" si="2"/>
        <v>3.2</v>
      </c>
      <c r="E19" s="460" t="str">
        <f t="shared" si="3"/>
        <v>√</v>
      </c>
      <c r="F19" s="448"/>
      <c r="G19" s="449"/>
      <c r="H19" s="207"/>
      <c r="I19" s="380"/>
      <c r="J19" s="453" t="s">
        <v>642</v>
      </c>
      <c r="K19" s="192" t="str">
        <f>INDEX(Odds!H:H,MATCH(J19,Odds!G:G,0))</f>
        <v>11/5</v>
      </c>
      <c r="L19" s="454">
        <f>INDEX(Odds!I:I,MATCH(J19,Odds!G:G,0))</f>
        <v>3.2</v>
      </c>
      <c r="M19" s="444">
        <f>INDEX(Odds!J:J,MATCH(J19,Odds!G:G,0))</f>
        <v>1</v>
      </c>
      <c r="N19" s="455">
        <f t="shared" si="4"/>
        <v>3.2</v>
      </c>
      <c r="O19" s="578"/>
      <c r="P19" s="574" t="str">
        <f>IF(Match!B19="","",Match!V19)</f>
        <v xml:space="preserve">Watford 1-1 Blackburn </v>
      </c>
      <c r="Q19" s="89"/>
      <c r="R19" s="36" t="str">
        <f>IF(Odds!G19="","",Odds!G19)</f>
        <v>Watford</v>
      </c>
      <c r="S19" s="37" t="str">
        <f>INDEX(Odds!H:H,MATCH(R19,Odds!G:G,0))</f>
        <v>1/1</v>
      </c>
      <c r="T19" s="41">
        <f t="shared" si="0"/>
        <v>0</v>
      </c>
      <c r="U19" s="21" t="str">
        <f>INDEX(Match!Q:Q,MATCH(P19,Match!V:V,0))</f>
        <v>Watford</v>
      </c>
      <c r="V19" s="21">
        <f>INDEX(Match!G:G,MATCH(P19,Match!V:V,0))</f>
        <v>1</v>
      </c>
      <c r="W19" s="21" t="str">
        <f>INDEX(Match!R:R,MATCH(P19,Match!V:V,0))</f>
        <v>Blackburn</v>
      </c>
      <c r="X19" s="21">
        <f>INDEX(Match!H:H,MATCH(P19,Match!V:V,0))</f>
        <v>1</v>
      </c>
      <c r="AB19" s="583" t="str">
        <f>IF(O19="","",INDEX(Odds!H:H,MATCH(O19,Odds!G:G,0)))</f>
        <v/>
      </c>
      <c r="AC19" s="604">
        <f>IF(J19="","",INDEX(Odds!K:K,MATCH(J19,Odds!G:G,0)))</f>
        <v>1</v>
      </c>
      <c r="AD19" s="70" t="s">
        <v>375</v>
      </c>
      <c r="AE19" s="73">
        <f>INDEX(Picks!F:F,MATCH(AD19,Picks!A:A,0))</f>
        <v>1.96875</v>
      </c>
      <c r="AF19" s="437">
        <f>INDEX(Weekly!I:I,MATCH(AD19,Weekly!E:E,0))</f>
        <v>2</v>
      </c>
      <c r="AG19" s="70">
        <f>IF(AE19=-10,"",_xlfn.RANK.EQ(AE19,TopScores,0))</f>
        <v>17</v>
      </c>
      <c r="AI19" s="72" t="s">
        <v>312</v>
      </c>
      <c r="AJ19" s="73">
        <f>INDEX(Picks!G:G,MATCH(AI19,Picks!A:A,0))</f>
        <v>50.453125</v>
      </c>
      <c r="AK19" s="437">
        <f>INDEX(Weekly!I:I,MATCH(AI19,Weekly!E:E,0))</f>
        <v>3</v>
      </c>
      <c r="AL19" s="70">
        <f>IF(AJ19="","",_xlfn.RANK.EQ(AJ19,TopMaxScores,0))</f>
        <v>13</v>
      </c>
    </row>
    <row r="20" spans="1:38" ht="13.9" thickTop="1" thickBot="1">
      <c r="A20" s="440" t="str">
        <f>Results!B20</f>
        <v>Andy Charleston</v>
      </c>
      <c r="B20" s="456" t="str">
        <f t="shared" si="1"/>
        <v>Southampton</v>
      </c>
      <c r="C20" s="516">
        <f>IF(J20="","",INDEX(Odds!C:C,MATCH(J20,Odds!G:G,0)))</f>
        <v>7</v>
      </c>
      <c r="D20" s="441">
        <f t="shared" si="2"/>
        <v>2.8</v>
      </c>
      <c r="E20" s="459" t="str">
        <f t="shared" si="3"/>
        <v>x</v>
      </c>
      <c r="F20" s="382">
        <f>IF(J20="",-10,INDEX(Results!T:T,MATCH(A20,Results!V:V,0)))</f>
        <v>-4.625</v>
      </c>
      <c r="G20" s="189">
        <f>IF(J20="","",INDEX(Results!AI:AI,MATCH(A20,Results!V:V,0)))</f>
        <v>33.681249999999999</v>
      </c>
      <c r="H20" s="207">
        <f>IF(G20="",0,1)</f>
        <v>1</v>
      </c>
      <c r="I20" s="379">
        <f>INDEX(Picks!AG:AG,MATCH(A20,Picks!AD:AD,0))</f>
        <v>37</v>
      </c>
      <c r="J20" s="442" t="s">
        <v>594</v>
      </c>
      <c r="K20" s="190" t="str">
        <f>INDEX(Odds!H:H,MATCH(J20,Odds!G:G,0))</f>
        <v>9/5</v>
      </c>
      <c r="L20" s="443">
        <f>INDEX(Odds!I:I,MATCH(J20,Odds!G:G,0))</f>
        <v>2.8</v>
      </c>
      <c r="M20" s="457">
        <f>INDEX(Odds!J:J,MATCH(J20,Odds!G:G,0))</f>
        <v>0</v>
      </c>
      <c r="N20" s="445">
        <f t="shared" si="4"/>
        <v>0</v>
      </c>
      <c r="O20" s="577"/>
      <c r="P20" s="574" t="str">
        <f>IF(Match!B20="","",Match!V20)</f>
        <v xml:space="preserve">Wigan 1-0 Huddersfield </v>
      </c>
      <c r="Q20" s="89"/>
      <c r="R20" s="36" t="str">
        <f>IF(Odds!G20="","",Odds!G20)</f>
        <v>Wigan</v>
      </c>
      <c r="S20" s="37" t="str">
        <f>INDEX(Odds!H:H,MATCH(R20,Odds!G:G,0))</f>
        <v>11/8</v>
      </c>
      <c r="T20" s="41">
        <f t="shared" si="0"/>
        <v>1</v>
      </c>
      <c r="U20" s="21" t="str">
        <f>INDEX(Match!Q:Q,MATCH(P20,Match!V:V,0))</f>
        <v>Wigan</v>
      </c>
      <c r="V20" s="21">
        <f>INDEX(Match!G:G,MATCH(P20,Match!V:V,0))</f>
        <v>1</v>
      </c>
      <c r="W20" s="21" t="str">
        <f>INDEX(Match!R:R,MATCH(P20,Match!V:V,0))</f>
        <v>Huddersfield</v>
      </c>
      <c r="X20" s="21">
        <f>INDEX(Match!H:H,MATCH(P20,Match!V:V,0))</f>
        <v>0</v>
      </c>
      <c r="AB20" s="582" t="str">
        <f>IF(O20="","",INDEX(Odds!H:H,MATCH(O20,Odds!G:G,0)))</f>
        <v/>
      </c>
      <c r="AC20" s="604">
        <f>IF(J20="","",INDEX(Odds!K:K,MATCH(J20,Odds!G:G,0)))</f>
        <v>1</v>
      </c>
      <c r="AD20" s="70" t="s">
        <v>299</v>
      </c>
      <c r="AE20" s="73">
        <f>INDEX(Picks!F:F,MATCH(AD20,Picks!A:A,0))</f>
        <v>1.5625</v>
      </c>
      <c r="AF20" s="437">
        <f>INDEX(Weekly!I:I,MATCH(AD20,Weekly!E:E,0))</f>
        <v>2</v>
      </c>
      <c r="AG20" s="70">
        <f>IF(AE20=-10,"",_xlfn.RANK.EQ(AE20,TopScores,0))</f>
        <v>19</v>
      </c>
      <c r="AI20" s="72" t="s">
        <v>517</v>
      </c>
      <c r="AJ20" s="73">
        <f>INDEX(Picks!G:G,MATCH(AI20,Picks!A:A,0))</f>
        <v>49.683999999999997</v>
      </c>
      <c r="AK20" s="437">
        <f>INDEX(Weekly!I:I,MATCH(AI20,Weekly!E:E,0))</f>
        <v>0</v>
      </c>
      <c r="AL20" s="70">
        <f>IF(AJ20="","",_xlfn.RANK.EQ(AJ20,TopMaxScores,0))</f>
        <v>14</v>
      </c>
    </row>
    <row r="21" spans="1:38">
      <c r="A21" s="644" t="str">
        <f>A20</f>
        <v>Andy Charleston</v>
      </c>
      <c r="B21" s="446" t="str">
        <f t="shared" si="1"/>
        <v>Chelsea</v>
      </c>
      <c r="C21" s="516">
        <f>IF(J21="","",INDEX(Odds!C:C,MATCH(J21,Odds!G:G,0)))</f>
        <v>7</v>
      </c>
      <c r="D21" s="447">
        <f t="shared" si="2"/>
        <v>2.25</v>
      </c>
      <c r="E21" s="460" t="str">
        <f t="shared" si="3"/>
        <v>x</v>
      </c>
      <c r="F21" s="448"/>
      <c r="G21" s="449"/>
      <c r="H21" s="207"/>
      <c r="I21" s="380"/>
      <c r="J21" s="442" t="s">
        <v>576</v>
      </c>
      <c r="K21" s="191" t="str">
        <f>INDEX(Odds!H:H,MATCH(J21,Odds!G:G,0))</f>
        <v>5/4</v>
      </c>
      <c r="L21" s="450">
        <f>INDEX(Odds!I:I,MATCH(J21,Odds!G:G,0))</f>
        <v>2.25</v>
      </c>
      <c r="M21" s="444">
        <f>INDEX(Odds!J:J,MATCH(J21,Odds!G:G,0))</f>
        <v>0</v>
      </c>
      <c r="N21" s="445">
        <f t="shared" si="4"/>
        <v>0</v>
      </c>
      <c r="O21" s="577"/>
      <c r="P21" s="574" t="str">
        <f>IF(Match!B21="","",Match!V21)</f>
        <v xml:space="preserve">Barnsley 2-0 Cambridge </v>
      </c>
      <c r="Q21" s="89"/>
      <c r="R21" s="36" t="str">
        <f>IF(Odds!G21="","",Odds!G21)</f>
        <v>Barnsley</v>
      </c>
      <c r="S21" s="37" t="str">
        <f>INDEX(Odds!H:H,MATCH(R21,Odds!G:G,0))</f>
        <v>1/2</v>
      </c>
      <c r="T21" s="41">
        <f t="shared" si="0"/>
        <v>1</v>
      </c>
      <c r="U21" s="21" t="str">
        <f>INDEX(Match!Q:Q,MATCH(P21,Match!V:V,0))</f>
        <v>Barnsley</v>
      </c>
      <c r="V21" s="21">
        <f>INDEX(Match!G:G,MATCH(P21,Match!V:V,0))</f>
        <v>2</v>
      </c>
      <c r="W21" s="21" t="str">
        <f>INDEX(Match!R:R,MATCH(P21,Match!V:V,0))</f>
        <v>Cambridge</v>
      </c>
      <c r="X21" s="21">
        <f>INDEX(Match!H:H,MATCH(P21,Match!V:V,0))</f>
        <v>0</v>
      </c>
      <c r="AB21" s="582" t="str">
        <f>IF(O21="","",INDEX(Odds!H:H,MATCH(O21,Odds!G:G,0)))</f>
        <v/>
      </c>
      <c r="AC21" s="604">
        <f>IF(J21="","",INDEX(Odds!K:K,MATCH(J21,Odds!G:G,0)))</f>
        <v>1</v>
      </c>
      <c r="AD21" s="70" t="s">
        <v>308</v>
      </c>
      <c r="AE21" s="73">
        <f>INDEX(Picks!F:F,MATCH(AD21,Picks!A:A,0))</f>
        <v>1.454545454545455</v>
      </c>
      <c r="AF21" s="437">
        <f>INDEX(Weekly!I:I,MATCH(AD21,Weekly!E:E,0))</f>
        <v>2</v>
      </c>
      <c r="AG21" s="70">
        <f>IF(AE21=-10,"",_xlfn.RANK.EQ(AE21,TopScores,0))</f>
        <v>20</v>
      </c>
      <c r="AI21" s="70" t="s">
        <v>304</v>
      </c>
      <c r="AJ21" s="73">
        <f>INDEX(Picks!G:G,MATCH(AI21,Picks!A:A,0))</f>
        <v>49.018181818181816</v>
      </c>
      <c r="AK21" s="437">
        <f>INDEX(Weekly!I:I,MATCH(AI21,Weekly!E:E,0))</f>
        <v>2</v>
      </c>
      <c r="AL21" s="70">
        <f>IF(AJ21="","",_xlfn.RANK.EQ(AJ21,TopMaxScores,0))</f>
        <v>15</v>
      </c>
    </row>
    <row r="22" spans="1:38" ht="13.5" thickBot="1">
      <c r="A22" s="645" t="str">
        <f>A20</f>
        <v>Andy Charleston</v>
      </c>
      <c r="B22" s="451" t="str">
        <f t="shared" si="1"/>
        <v>Wigan</v>
      </c>
      <c r="C22" s="517">
        <f>IF(J22="","",INDEX(Odds!C:C,MATCH(J22,Odds!G:G,0)))</f>
        <v>7</v>
      </c>
      <c r="D22" s="452">
        <f t="shared" si="2"/>
        <v>2.375</v>
      </c>
      <c r="E22" s="460" t="str">
        <f t="shared" si="3"/>
        <v>√</v>
      </c>
      <c r="F22" s="448"/>
      <c r="G22" s="449"/>
      <c r="H22" s="207"/>
      <c r="I22" s="380"/>
      <c r="J22" s="453" t="s">
        <v>357</v>
      </c>
      <c r="K22" s="192" t="str">
        <f>INDEX(Odds!H:H,MATCH(J22,Odds!G:G,0))</f>
        <v>11/8</v>
      </c>
      <c r="L22" s="454">
        <f>INDEX(Odds!I:I,MATCH(J22,Odds!G:G,0))</f>
        <v>2.375</v>
      </c>
      <c r="M22" s="444">
        <f>INDEX(Odds!J:J,MATCH(J22,Odds!G:G,0))</f>
        <v>1</v>
      </c>
      <c r="N22" s="455">
        <f t="shared" si="4"/>
        <v>2.375</v>
      </c>
      <c r="O22" s="578"/>
      <c r="P22" s="574" t="str">
        <f>IF(Match!B22="","",Match!V22)</f>
        <v xml:space="preserve">Burton 1-0 Exeter </v>
      </c>
      <c r="Q22" s="89"/>
      <c r="R22" s="36" t="str">
        <f>IF(Odds!G22="","",Odds!G22)</f>
        <v>Burton</v>
      </c>
      <c r="S22" s="37" t="str">
        <f>INDEX(Odds!H:H,MATCH(R22,Odds!G:G,0))</f>
        <v>6/4</v>
      </c>
      <c r="T22" s="41">
        <f t="shared" si="0"/>
        <v>1</v>
      </c>
      <c r="U22" s="21" t="str">
        <f>INDEX(Match!Q:Q,MATCH(P22,Match!V:V,0))</f>
        <v>Burton</v>
      </c>
      <c r="V22" s="21">
        <f>INDEX(Match!G:G,MATCH(P22,Match!V:V,0))</f>
        <v>1</v>
      </c>
      <c r="W22" s="21" t="str">
        <f>INDEX(Match!R:R,MATCH(P22,Match!V:V,0))</f>
        <v>Exeter</v>
      </c>
      <c r="X22" s="21">
        <f>INDEX(Match!H:H,MATCH(P22,Match!V:V,0))</f>
        <v>0</v>
      </c>
      <c r="AB22" s="583" t="str">
        <f>IF(O22="","",INDEX(Odds!H:H,MATCH(O22,Odds!G:G,0)))</f>
        <v/>
      </c>
      <c r="AC22" s="604">
        <f>IF(J22="","",INDEX(Odds!K:K,MATCH(J22,Odds!G:G,0)))</f>
        <v>1</v>
      </c>
      <c r="AD22" s="70" t="s">
        <v>372</v>
      </c>
      <c r="AE22" s="73">
        <f>INDEX(Picks!F:F,MATCH(AD22,Picks!A:A,0))</f>
        <v>1.2925000000000004</v>
      </c>
      <c r="AF22" s="437">
        <f>INDEX(Weekly!I:I,MATCH(AD22,Weekly!E:E,0))</f>
        <v>2</v>
      </c>
      <c r="AG22" s="70">
        <f>IF(AE22=-10,"",_xlfn.RANK.EQ(AE22,TopScores,0))</f>
        <v>21</v>
      </c>
      <c r="AI22" s="72" t="s">
        <v>444</v>
      </c>
      <c r="AJ22" s="73">
        <f>INDEX(Picks!G:G,MATCH(AI22,Picks!A:A,0))</f>
        <v>47.965000000000003</v>
      </c>
      <c r="AK22" s="437">
        <f>INDEX(Weekly!I:I,MATCH(AI22,Weekly!E:E,0))</f>
        <v>1</v>
      </c>
      <c r="AL22" s="70">
        <f>IF(AJ22="","",_xlfn.RANK.EQ(AJ22,TopMaxScores,0))</f>
        <v>16</v>
      </c>
    </row>
    <row r="23" spans="1:38" ht="13.9" thickTop="1" thickBot="1">
      <c r="A23" s="440" t="str">
        <f>Results!B23</f>
        <v>Andy White</v>
      </c>
      <c r="B23" s="456" t="str">
        <f t="shared" si="1"/>
        <v>Fulham</v>
      </c>
      <c r="C23" s="516">
        <f>IF(J23="","",INDEX(Odds!C:C,MATCH(J23,Odds!G:G,0)))</f>
        <v>7</v>
      </c>
      <c r="D23" s="441">
        <f t="shared" si="2"/>
        <v>1.95</v>
      </c>
      <c r="E23" s="459" t="str">
        <f t="shared" si="3"/>
        <v>√</v>
      </c>
      <c r="F23" s="382">
        <f>IF(J23="",-10,INDEX(Results!T:T,MATCH(A23,Results!V:V,0)))</f>
        <v>-5.05</v>
      </c>
      <c r="G23" s="189">
        <f>IF(J23="","",INDEX(Results!AI:AI,MATCH(A23,Results!V:V,0)))</f>
        <v>19.892249999999997</v>
      </c>
      <c r="H23" s="207">
        <f>IF(G23="",0,1)</f>
        <v>1</v>
      </c>
      <c r="I23" s="379">
        <f>INDEX(Picks!AG:AG,MATCH(A23,Picks!AD:AD,0))</f>
        <v>46</v>
      </c>
      <c r="J23" s="442" t="s">
        <v>575</v>
      </c>
      <c r="K23" s="190" t="str">
        <f>INDEX(Odds!H:H,MATCH(J23,Odds!G:G,0))</f>
        <v>19/20</v>
      </c>
      <c r="L23" s="443">
        <f>INDEX(Odds!I:I,MATCH(J23,Odds!G:G,0))</f>
        <v>1.95</v>
      </c>
      <c r="M23" s="457">
        <f>INDEX(Odds!J:J,MATCH(J23,Odds!G:G,0))</f>
        <v>1</v>
      </c>
      <c r="N23" s="445">
        <f t="shared" si="4"/>
        <v>1.95</v>
      </c>
      <c r="O23" s="577"/>
      <c r="P23" s="574" t="str">
        <f>IF(Match!B23="","",Match!V23)</f>
        <v xml:space="preserve">Charlton 1-2 Fleetwood </v>
      </c>
      <c r="Q23" s="89"/>
      <c r="R23" s="36" t="str">
        <f>IF(Odds!G23="","",Odds!G23)</f>
        <v>Charlton</v>
      </c>
      <c r="S23" s="37" t="str">
        <f>INDEX(Odds!H:H,MATCH(R23,Odds!G:G,0))</f>
        <v>1/1</v>
      </c>
      <c r="T23" s="41">
        <f t="shared" si="0"/>
        <v>0</v>
      </c>
      <c r="U23" s="21" t="str">
        <f>INDEX(Match!Q:Q,MATCH(P23,Match!V:V,0))</f>
        <v>Charlton</v>
      </c>
      <c r="V23" s="21">
        <f>INDEX(Match!G:G,MATCH(P23,Match!V:V,0))</f>
        <v>1</v>
      </c>
      <c r="W23" s="21" t="str">
        <f>INDEX(Match!R:R,MATCH(P23,Match!V:V,0))</f>
        <v>Fleetwood</v>
      </c>
      <c r="X23" s="21">
        <f>INDEX(Match!H:H,MATCH(P23,Match!V:V,0))</f>
        <v>2</v>
      </c>
      <c r="AB23" s="582" t="str">
        <f>IF(O23="","",INDEX(Odds!H:H,MATCH(O23,Odds!G:G,0)))</f>
        <v/>
      </c>
      <c r="AC23" s="604">
        <f>IF(J23="","",INDEX(Odds!K:K,MATCH(J23,Odds!G:G,0)))</f>
        <v>1</v>
      </c>
      <c r="AD23" s="610" t="s">
        <v>369</v>
      </c>
      <c r="AE23" s="73">
        <f>INDEX(Picks!F:F,MATCH(AD23,Picks!A:A,0))</f>
        <v>1.0625</v>
      </c>
      <c r="AF23" s="437">
        <f>INDEX(Weekly!I:I,MATCH(AD23,Weekly!E:E,0))</f>
        <v>2</v>
      </c>
      <c r="AG23" s="70">
        <f>IF(AE23=-10,"",_xlfn.RANK.EQ(AE23,TopScores,0))</f>
        <v>22</v>
      </c>
      <c r="AI23" s="72" t="s">
        <v>288</v>
      </c>
      <c r="AJ23" s="73">
        <f>INDEX(Picks!G:G,MATCH(AI23,Picks!A:A,0))</f>
        <v>47.35</v>
      </c>
      <c r="AK23" s="437">
        <f>INDEX(Weekly!I:I,MATCH(AI23,Weekly!E:E,0))</f>
        <v>2</v>
      </c>
      <c r="AL23" s="70">
        <f>IF(AJ23="","",_xlfn.RANK.EQ(AJ23,TopMaxScores,0))</f>
        <v>17</v>
      </c>
    </row>
    <row r="24" spans="1:38">
      <c r="A24" s="644" t="str">
        <f>A23</f>
        <v>Andy White</v>
      </c>
      <c r="B24" s="446" t="str">
        <f t="shared" si="1"/>
        <v>Spurs</v>
      </c>
      <c r="C24" s="516">
        <f>IF(J24="","",INDEX(Odds!C:C,MATCH(J24,Odds!G:G,0)))</f>
        <v>7</v>
      </c>
      <c r="D24" s="447">
        <f t="shared" si="2"/>
        <v>2.0499999999999998</v>
      </c>
      <c r="E24" s="460" t="str">
        <f t="shared" si="3"/>
        <v>x</v>
      </c>
      <c r="F24" s="448"/>
      <c r="G24" s="449"/>
      <c r="H24" s="207"/>
      <c r="I24" s="380"/>
      <c r="J24" s="442" t="s">
        <v>438</v>
      </c>
      <c r="K24" s="191" t="str">
        <f>INDEX(Odds!H:H,MATCH(J24,Odds!G:G,0))</f>
        <v>21/20</v>
      </c>
      <c r="L24" s="450">
        <f>INDEX(Odds!I:I,MATCH(J24,Odds!G:G,0))</f>
        <v>2.0499999999999998</v>
      </c>
      <c r="M24" s="444">
        <f>INDEX(Odds!J:J,MATCH(J24,Odds!G:G,0))</f>
        <v>0</v>
      </c>
      <c r="N24" s="445">
        <f t="shared" si="4"/>
        <v>0</v>
      </c>
      <c r="O24" s="577"/>
      <c r="P24" s="574" t="str">
        <f>IF(Match!B24="","",Match!V24)</f>
        <v xml:space="preserve">Cheltenham 0-0 Accrington </v>
      </c>
      <c r="Q24" s="89"/>
      <c r="R24" s="36" t="str">
        <f>IF(Odds!G24="","",Odds!G24)</f>
        <v>Cheltenham</v>
      </c>
      <c r="S24" s="37" t="str">
        <f>INDEX(Odds!H:H,MATCH(R24,Odds!G:G,0))</f>
        <v>7/5</v>
      </c>
      <c r="T24" s="41">
        <f t="shared" si="0"/>
        <v>0</v>
      </c>
      <c r="U24" s="21" t="str">
        <f>INDEX(Match!Q:Q,MATCH(P24,Match!V:V,0))</f>
        <v>Cheltenham</v>
      </c>
      <c r="V24" s="21">
        <f>INDEX(Match!G:G,MATCH(P24,Match!V:V,0))</f>
        <v>0</v>
      </c>
      <c r="W24" s="21" t="str">
        <f>INDEX(Match!R:R,MATCH(P24,Match!V:V,0))</f>
        <v>Accrington</v>
      </c>
      <c r="X24" s="21">
        <f>INDEX(Match!H:H,MATCH(P24,Match!V:V,0))</f>
        <v>0</v>
      </c>
      <c r="AB24" s="582" t="str">
        <f>IF(O24="","",INDEX(Odds!H:H,MATCH(O24,Odds!G:G,0)))</f>
        <v/>
      </c>
      <c r="AC24" s="604">
        <f>IF(J24="","",INDEX(Odds!K:K,MATCH(J24,Odds!G:G,0)))</f>
        <v>1</v>
      </c>
      <c r="AD24" s="72" t="s">
        <v>294</v>
      </c>
      <c r="AE24" s="73">
        <f>INDEX(Picks!F:F,MATCH(AD24,Picks!A:A,0))</f>
        <v>0.92500000000000071</v>
      </c>
      <c r="AF24" s="437">
        <f>INDEX(Weekly!I:I,MATCH(AD24,Weekly!E:E,0))</f>
        <v>2</v>
      </c>
      <c r="AG24" s="70">
        <f>IF(AE24=-10,"",_xlfn.RANK.EQ(AE24,TopScores,0))</f>
        <v>23</v>
      </c>
      <c r="AI24" s="72" t="s">
        <v>323</v>
      </c>
      <c r="AJ24" s="73">
        <f>INDEX(Picks!G:G,MATCH(AI24,Picks!A:A,0))</f>
        <v>39.600999999999999</v>
      </c>
      <c r="AK24" s="437">
        <f>INDEX(Weekly!I:I,MATCH(AI24,Weekly!E:E,0))</f>
        <v>2</v>
      </c>
      <c r="AL24" s="70">
        <f>IF(AJ24="","",_xlfn.RANK.EQ(AJ24,TopMaxScores,0))</f>
        <v>18</v>
      </c>
    </row>
    <row r="25" spans="1:38" ht="13.5" thickBot="1">
      <c r="A25" s="645" t="str">
        <f>A23</f>
        <v>Andy White</v>
      </c>
      <c r="B25" s="451" t="str">
        <f t="shared" si="1"/>
        <v>Brighton</v>
      </c>
      <c r="C25" s="517">
        <f>IF(J25="","",INDEX(Odds!C:C,MATCH(J25,Odds!G:G,0)))</f>
        <v>7</v>
      </c>
      <c r="D25" s="452">
        <f t="shared" si="2"/>
        <v>2.1</v>
      </c>
      <c r="E25" s="460" t="str">
        <f t="shared" si="3"/>
        <v>x</v>
      </c>
      <c r="F25" s="448"/>
      <c r="G25" s="449"/>
      <c r="H25" s="207"/>
      <c r="I25" s="380"/>
      <c r="J25" s="453" t="s">
        <v>553</v>
      </c>
      <c r="K25" s="192" t="str">
        <f>INDEX(Odds!H:H,MATCH(J25,Odds!G:G,0))</f>
        <v>11/10</v>
      </c>
      <c r="L25" s="454">
        <f>INDEX(Odds!I:I,MATCH(J25,Odds!G:G,0))</f>
        <v>2.1</v>
      </c>
      <c r="M25" s="444">
        <f>INDEX(Odds!J:J,MATCH(J25,Odds!G:G,0))</f>
        <v>0</v>
      </c>
      <c r="N25" s="455">
        <f t="shared" si="4"/>
        <v>0</v>
      </c>
      <c r="O25" s="578"/>
      <c r="P25" s="574" t="str">
        <f>IF(Match!B25="","",Match!V25)</f>
        <v xml:space="preserve">Ipswich 2-2 Sheff W </v>
      </c>
      <c r="Q25" s="89"/>
      <c r="R25" s="36" t="str">
        <f>IF(Odds!G25="","",Odds!G25)</f>
        <v>Ipswich</v>
      </c>
      <c r="S25" s="37" t="str">
        <f>INDEX(Odds!H:H,MATCH(R25,Odds!G:G,0))</f>
        <v>11/10</v>
      </c>
      <c r="T25" s="41">
        <f t="shared" si="0"/>
        <v>0</v>
      </c>
      <c r="U25" s="21" t="str">
        <f>INDEX(Match!Q:Q,MATCH(P25,Match!V:V,0))</f>
        <v>Ipswich</v>
      </c>
      <c r="V25" s="21">
        <f>INDEX(Match!G:G,MATCH(P25,Match!V:V,0))</f>
        <v>2</v>
      </c>
      <c r="W25" s="21" t="str">
        <f>INDEX(Match!R:R,MATCH(P25,Match!V:V,0))</f>
        <v>Sheff W</v>
      </c>
      <c r="X25" s="21">
        <f>INDEX(Match!H:H,MATCH(P25,Match!V:V,0))</f>
        <v>2</v>
      </c>
      <c r="AB25" s="583" t="str">
        <f>IF(O25="","",INDEX(Odds!H:H,MATCH(O25,Odds!G:G,0)))</f>
        <v/>
      </c>
      <c r="AC25" s="604">
        <f>IF(J25="","",INDEX(Odds!K:K,MATCH(J25,Odds!G:G,0)))</f>
        <v>1</v>
      </c>
      <c r="AD25" s="72" t="s">
        <v>290</v>
      </c>
      <c r="AE25" s="73">
        <f>INDEX(Picks!F:F,MATCH(AD25,Picks!A:A,0))</f>
        <v>0.77500000000000036</v>
      </c>
      <c r="AF25" s="437">
        <f>INDEX(Weekly!I:I,MATCH(AD25,Weekly!E:E,0))</f>
        <v>2</v>
      </c>
      <c r="AG25" s="70">
        <f>IF(AE25=-10,"",_xlfn.RANK.EQ(AE25,TopScores,0))</f>
        <v>24</v>
      </c>
      <c r="AI25" s="70" t="s">
        <v>307</v>
      </c>
      <c r="AJ25" s="73">
        <f>INDEX(Picks!G:G,MATCH(AI25,Picks!A:A,0))</f>
        <v>37.5</v>
      </c>
      <c r="AK25" s="437">
        <f>INDEX(Weekly!I:I,MATCH(AI25,Weekly!E:E,0))</f>
        <v>1</v>
      </c>
      <c r="AL25" s="70">
        <f>IF(AJ25="","",_xlfn.RANK.EQ(AJ25,TopMaxScores,0))</f>
        <v>19</v>
      </c>
    </row>
    <row r="26" spans="1:38" ht="13.9" thickTop="1" thickBot="1">
      <c r="A26" s="440" t="str">
        <f>Results!B26</f>
        <v>Ashley Houghton</v>
      </c>
      <c r="B26" s="456" t="str">
        <f t="shared" si="1"/>
        <v>Charlton</v>
      </c>
      <c r="C26" s="516">
        <f>IF(J26="","",INDEX(Odds!C:C,MATCH(J26,Odds!G:G,0)))</f>
        <v>7</v>
      </c>
      <c r="D26" s="441">
        <f t="shared" si="2"/>
        <v>2</v>
      </c>
      <c r="E26" s="459" t="str">
        <f t="shared" si="3"/>
        <v>x</v>
      </c>
      <c r="F26" s="382">
        <f>IF(J26="",-10,INDEX(Results!T:T,MATCH(A26,Results!V:V,0)))</f>
        <v>-7</v>
      </c>
      <c r="G26" s="189">
        <f>IF(J26="","",INDEX(Results!AI:AI,MATCH(A26,Results!V:V,0)))</f>
        <v>53.199999999999996</v>
      </c>
      <c r="H26" s="207">
        <f>IF(G26="",0,1)</f>
        <v>1</v>
      </c>
      <c r="I26" s="379">
        <f>INDEX(Picks!AG:AG,MATCH(A26,Picks!AD:AD,0))</f>
        <v>50</v>
      </c>
      <c r="J26" s="442" t="s">
        <v>605</v>
      </c>
      <c r="K26" s="190" t="str">
        <f>INDEX(Odds!H:H,MATCH(J26,Odds!G:G,0))</f>
        <v>1/1</v>
      </c>
      <c r="L26" s="443">
        <f>INDEX(Odds!I:I,MATCH(J26,Odds!G:G,0))</f>
        <v>2</v>
      </c>
      <c r="M26" s="457">
        <f>INDEX(Odds!J:J,MATCH(J26,Odds!G:G,0))</f>
        <v>0</v>
      </c>
      <c r="N26" s="445">
        <f t="shared" si="4"/>
        <v>0</v>
      </c>
      <c r="O26" s="577"/>
      <c r="P26" s="574" t="str">
        <f>IF(Match!B26="","",Match!V26)</f>
        <v xml:space="preserve">Lincoln 1-0 Bristol R </v>
      </c>
      <c r="Q26" s="89"/>
      <c r="R26" s="36" t="str">
        <f>IF(Odds!G26="","",Odds!G26)</f>
        <v>Lincoln</v>
      </c>
      <c r="S26" s="37" t="str">
        <f>INDEX(Odds!H:H,MATCH(R26,Odds!G:G,0))</f>
        <v>13/10</v>
      </c>
      <c r="T26" s="41">
        <f t="shared" si="0"/>
        <v>1</v>
      </c>
      <c r="U26" s="21" t="str">
        <f>INDEX(Match!Q:Q,MATCH(P26,Match!V:V,0))</f>
        <v>Lincoln</v>
      </c>
      <c r="V26" s="21">
        <f>INDEX(Match!G:G,MATCH(P26,Match!V:V,0))</f>
        <v>1</v>
      </c>
      <c r="W26" s="21" t="str">
        <f>INDEX(Match!R:R,MATCH(P26,Match!V:V,0))</f>
        <v>Bristol R</v>
      </c>
      <c r="X26" s="21">
        <f>INDEX(Match!H:H,MATCH(P26,Match!V:V,0))</f>
        <v>0</v>
      </c>
      <c r="AB26" s="582" t="str">
        <f>IF(O26="","",INDEX(Odds!H:H,MATCH(O26,Odds!G:G,0)))</f>
        <v/>
      </c>
      <c r="AC26" s="604">
        <f>IF(J26="","",INDEX(Odds!K:K,MATCH(J26,Odds!G:G,0)))</f>
        <v>1</v>
      </c>
      <c r="AD26" s="70" t="s">
        <v>283</v>
      </c>
      <c r="AE26" s="73">
        <f>INDEX(Picks!F:F,MATCH(AD26,Picks!A:A,0))</f>
        <v>0.4375</v>
      </c>
      <c r="AF26" s="437">
        <f>INDEX(Weekly!I:I,MATCH(AD26,Weekly!E:E,0))</f>
        <v>2</v>
      </c>
      <c r="AG26" s="70">
        <f>IF(AE26=-10,"",_xlfn.RANK.EQ(AE26,TopScores,0))</f>
        <v>25</v>
      </c>
      <c r="AI26" s="72" t="s">
        <v>301</v>
      </c>
      <c r="AJ26" s="73">
        <f>INDEX(Picks!G:G,MATCH(AI26,Picks!A:A,0))</f>
        <v>36.625</v>
      </c>
      <c r="AK26" s="437">
        <f>INDEX(Weekly!I:I,MATCH(AI26,Weekly!E:E,0))</f>
        <v>3</v>
      </c>
      <c r="AL26" s="70">
        <f>IF(AJ26="","",_xlfn.RANK.EQ(AJ26,TopMaxScores,0))</f>
        <v>20</v>
      </c>
    </row>
    <row r="27" spans="1:38">
      <c r="A27" s="644" t="str">
        <f>A26</f>
        <v>Ashley Houghton</v>
      </c>
      <c r="B27" s="446" t="str">
        <f t="shared" si="1"/>
        <v>Hull</v>
      </c>
      <c r="C27" s="516">
        <f>IF(J27="","",INDEX(Odds!C:C,MATCH(J27,Odds!G:G,0)))</f>
        <v>7</v>
      </c>
      <c r="D27" s="447">
        <f t="shared" si="2"/>
        <v>3.8</v>
      </c>
      <c r="E27" s="460" t="str">
        <f t="shared" si="3"/>
        <v>x</v>
      </c>
      <c r="F27" s="448"/>
      <c r="G27" s="449"/>
      <c r="H27" s="207"/>
      <c r="I27" s="380"/>
      <c r="J27" s="442" t="s">
        <v>531</v>
      </c>
      <c r="K27" s="191" t="str">
        <f>INDEX(Odds!H:H,MATCH(J27,Odds!G:G,0))</f>
        <v>14/5</v>
      </c>
      <c r="L27" s="450">
        <f>INDEX(Odds!I:I,MATCH(J27,Odds!G:G,0))</f>
        <v>3.8</v>
      </c>
      <c r="M27" s="444">
        <f>INDEX(Odds!J:J,MATCH(J27,Odds!G:G,0))</f>
        <v>0</v>
      </c>
      <c r="N27" s="445">
        <f t="shared" si="4"/>
        <v>0</v>
      </c>
      <c r="O27" s="577"/>
      <c r="P27" s="574" t="str">
        <f>IF(Match!B27="","",Match!V27)</f>
        <v xml:space="preserve">MK Dons 1-1 Oxford </v>
      </c>
      <c r="Q27" s="89"/>
      <c r="R27" s="36" t="str">
        <f>IF(Odds!G27="","",Odds!G27)</f>
        <v>MK Dons</v>
      </c>
      <c r="S27" s="37" t="str">
        <f>INDEX(Odds!H:H,MATCH(R27,Odds!G:G,0))</f>
        <v>6/4</v>
      </c>
      <c r="T27" s="41">
        <f t="shared" si="0"/>
        <v>0</v>
      </c>
      <c r="U27" s="21" t="str">
        <f>INDEX(Match!Q:Q,MATCH(P27,Match!V:V,0))</f>
        <v>MK Dons</v>
      </c>
      <c r="V27" s="21">
        <f>INDEX(Match!G:G,MATCH(P27,Match!V:V,0))</f>
        <v>1</v>
      </c>
      <c r="W27" s="21" t="str">
        <f>INDEX(Match!R:R,MATCH(P27,Match!V:V,0))</f>
        <v>Oxford</v>
      </c>
      <c r="X27" s="21">
        <f>INDEX(Match!H:H,MATCH(P27,Match!V:V,0))</f>
        <v>1</v>
      </c>
      <c r="AB27" s="582" t="str">
        <f>IF(O27="","",INDEX(Odds!H:H,MATCH(O27,Odds!G:G,0)))</f>
        <v/>
      </c>
      <c r="AC27" s="604">
        <f>IF(J27="","",INDEX(Odds!K:K,MATCH(J27,Odds!G:G,0)))</f>
        <v>1</v>
      </c>
      <c r="AD27" s="70" t="s">
        <v>289</v>
      </c>
      <c r="AE27" s="73">
        <f>INDEX(Picks!F:F,MATCH(AD27,Picks!A:A,0))</f>
        <v>0.2424242424242431</v>
      </c>
      <c r="AF27" s="437">
        <f>INDEX(Weekly!I:I,MATCH(AD27,Weekly!E:E,0))</f>
        <v>2</v>
      </c>
      <c r="AG27" s="70">
        <f>IF(AE27=-10,"",_xlfn.RANK.EQ(AE27,TopScores,0))</f>
        <v>26</v>
      </c>
      <c r="AI27" s="72" t="s">
        <v>516</v>
      </c>
      <c r="AJ27" s="73">
        <f>INDEX(Picks!G:G,MATCH(AI27,Picks!A:A,0))</f>
        <v>36.263124999999995</v>
      </c>
      <c r="AK27" s="437">
        <f>INDEX(Weekly!I:I,MATCH(AI27,Weekly!E:E,0))</f>
        <v>3</v>
      </c>
      <c r="AL27" s="70">
        <f>IF(AJ27="","",_xlfn.RANK.EQ(AJ27,TopMaxScores,0))</f>
        <v>21</v>
      </c>
    </row>
    <row r="28" spans="1:38" ht="13.5" thickBot="1">
      <c r="A28" s="645" t="str">
        <f>A26</f>
        <v>Ashley Houghton</v>
      </c>
      <c r="B28" s="451" t="str">
        <f t="shared" si="1"/>
        <v>Luton</v>
      </c>
      <c r="C28" s="517">
        <f>IF(J28="","",INDEX(Odds!C:C,MATCH(J28,Odds!G:G,0)))</f>
        <v>7</v>
      </c>
      <c r="D28" s="452">
        <f t="shared" si="2"/>
        <v>3.25</v>
      </c>
      <c r="E28" s="460" t="str">
        <f t="shared" si="3"/>
        <v>x</v>
      </c>
      <c r="F28" s="448"/>
      <c r="G28" s="449"/>
      <c r="H28" s="207"/>
      <c r="I28" s="380"/>
      <c r="J28" s="453" t="s">
        <v>554</v>
      </c>
      <c r="K28" s="192" t="str">
        <f>INDEX(Odds!H:H,MATCH(J28,Odds!G:G,0))</f>
        <v>9/4</v>
      </c>
      <c r="L28" s="454">
        <f>INDEX(Odds!I:I,MATCH(J28,Odds!G:G,0))</f>
        <v>3.25</v>
      </c>
      <c r="M28" s="444">
        <f>INDEX(Odds!J:J,MATCH(J28,Odds!G:G,0))</f>
        <v>0</v>
      </c>
      <c r="N28" s="455">
        <f t="shared" si="4"/>
        <v>0</v>
      </c>
      <c r="O28" s="578"/>
      <c r="P28" s="574" t="str">
        <f>IF(Match!B28="","",Match!V28)</f>
        <v xml:space="preserve">Morecambe 1-1 Forest Green </v>
      </c>
      <c r="Q28" s="89"/>
      <c r="R28" s="36" t="str">
        <f>IF(Odds!G28="","",Odds!G28)</f>
        <v>Morecambe</v>
      </c>
      <c r="S28" s="37" t="str">
        <f>INDEX(Odds!H:H,MATCH(R28,Odds!G:G,0))</f>
        <v>7/5</v>
      </c>
      <c r="T28" s="41">
        <f t="shared" si="0"/>
        <v>0</v>
      </c>
      <c r="U28" s="21" t="str">
        <f>INDEX(Match!Q:Q,MATCH(P28,Match!V:V,0))</f>
        <v>Morecambe</v>
      </c>
      <c r="V28" s="21">
        <f>INDEX(Match!G:G,MATCH(P28,Match!V:V,0))</f>
        <v>1</v>
      </c>
      <c r="W28" s="21" t="str">
        <f>INDEX(Match!R:R,MATCH(P28,Match!V:V,0))</f>
        <v>Forest Green</v>
      </c>
      <c r="X28" s="21">
        <f>INDEX(Match!H:H,MATCH(P28,Match!V:V,0))</f>
        <v>1</v>
      </c>
      <c r="AB28" s="583" t="str">
        <f>IF(O28="","",INDEX(Odds!H:H,MATCH(O28,Odds!G:G,0)))</f>
        <v/>
      </c>
      <c r="AC28" s="604">
        <f>IF(J28="","",INDEX(Odds!K:K,MATCH(J28,Odds!G:G,0)))</f>
        <v>1</v>
      </c>
      <c r="AD28" s="70" t="s">
        <v>368</v>
      </c>
      <c r="AE28" s="73">
        <f>INDEX(Picks!F:F,MATCH(AD28,Picks!A:A,0))</f>
        <v>-0.125</v>
      </c>
      <c r="AF28" s="437">
        <f>INDEX(Weekly!I:I,MATCH(AD28,Weekly!E:E,0))</f>
        <v>2</v>
      </c>
      <c r="AG28" s="70">
        <f>IF(AE28=-10,"",_xlfn.RANK.EQ(AE28,TopScores,0))</f>
        <v>27</v>
      </c>
      <c r="AI28" s="70" t="s">
        <v>291</v>
      </c>
      <c r="AJ28" s="73">
        <f>INDEX(Picks!G:G,MATCH(AI28,Picks!A:A,0))</f>
        <v>35.972499999999997</v>
      </c>
      <c r="AK28" s="437">
        <f>INDEX(Weekly!I:I,MATCH(AI28,Weekly!E:E,0))</f>
        <v>0</v>
      </c>
      <c r="AL28" s="70">
        <f>IF(AJ28="","",_xlfn.RANK.EQ(AJ28,TopMaxScores,0))</f>
        <v>22</v>
      </c>
    </row>
    <row r="29" spans="1:38" ht="13.9" thickTop="1" thickBot="1">
      <c r="A29" s="440" t="str">
        <f>Results!B29</f>
        <v>Barry Birchall</v>
      </c>
      <c r="B29" s="456" t="str">
        <f t="shared" si="1"/>
        <v>Carlisle</v>
      </c>
      <c r="C29" s="516">
        <f>IF(J29="","",INDEX(Odds!C:C,MATCH(J29,Odds!G:G,0)))</f>
        <v>7</v>
      </c>
      <c r="D29" s="441">
        <f t="shared" si="2"/>
        <v>2.5</v>
      </c>
      <c r="E29" s="459" t="str">
        <f t="shared" si="3"/>
        <v>x</v>
      </c>
      <c r="F29" s="382">
        <f>IF(J29="",-10,INDEX(Results!T:T,MATCH(A29,Results!V:V,0)))</f>
        <v>-7</v>
      </c>
      <c r="G29" s="189">
        <f>IF(J29="","",INDEX(Results!AI:AI,MATCH(A29,Results!V:V,0)))</f>
        <v>34.734999999999999</v>
      </c>
      <c r="H29" s="207">
        <f>IF(G29="",0,1)</f>
        <v>1</v>
      </c>
      <c r="I29" s="379">
        <f>INDEX(Picks!AG:AG,MATCH(A29,Picks!AD:AD,0))</f>
        <v>50</v>
      </c>
      <c r="J29" s="442" t="s">
        <v>570</v>
      </c>
      <c r="K29" s="190" t="str">
        <f>INDEX(Odds!H:H,MATCH(J29,Odds!G:G,0))</f>
        <v>6/4</v>
      </c>
      <c r="L29" s="443">
        <f>INDEX(Odds!I:I,MATCH(J29,Odds!G:G,0))</f>
        <v>2.5</v>
      </c>
      <c r="M29" s="457">
        <f>INDEX(Odds!J:J,MATCH(J29,Odds!G:G,0))</f>
        <v>0</v>
      </c>
      <c r="N29" s="445">
        <f t="shared" si="4"/>
        <v>0</v>
      </c>
      <c r="O29" s="577"/>
      <c r="P29" s="574" t="str">
        <f>IF(Match!B29="","",Match!V29)</f>
        <v xml:space="preserve">Peterborough 0-5 Bolton </v>
      </c>
      <c r="Q29" s="89"/>
      <c r="R29" s="36" t="str">
        <f>IF(Odds!G29="","",Odds!G29)</f>
        <v>Peterborough</v>
      </c>
      <c r="S29" s="37" t="str">
        <f>INDEX(Odds!H:H,MATCH(R29,Odds!G:G,0))</f>
        <v>11/8</v>
      </c>
      <c r="T29" s="41">
        <f t="shared" si="0"/>
        <v>0</v>
      </c>
      <c r="U29" s="21" t="str">
        <f>INDEX(Match!Q:Q,MATCH(P29,Match!V:V,0))</f>
        <v>Peterborough</v>
      </c>
      <c r="V29" s="21">
        <f>INDEX(Match!G:G,MATCH(P29,Match!V:V,0))</f>
        <v>0</v>
      </c>
      <c r="W29" s="21" t="str">
        <f>INDEX(Match!R:R,MATCH(P29,Match!V:V,0))</f>
        <v>Bolton</v>
      </c>
      <c r="X29" s="21">
        <f>INDEX(Match!H:H,MATCH(P29,Match!V:V,0))</f>
        <v>5</v>
      </c>
      <c r="AB29" s="582" t="str">
        <f>IF(O29="","",INDEX(Odds!H:H,MATCH(O29,Odds!G:G,0)))</f>
        <v/>
      </c>
      <c r="AC29" s="604">
        <f>IF(J29="","",INDEX(Odds!K:K,MATCH(J29,Odds!G:G,0)))</f>
        <v>1</v>
      </c>
      <c r="AD29" s="70" t="s">
        <v>520</v>
      </c>
      <c r="AE29" s="73">
        <f>INDEX(Picks!F:F,MATCH(AD29,Picks!A:A,0))</f>
        <v>-0.91666666666666607</v>
      </c>
      <c r="AF29" s="437">
        <f>INDEX(Weekly!I:I,MATCH(AD29,Weekly!E:E,0))</f>
        <v>2</v>
      </c>
      <c r="AG29" s="70">
        <f>IF(AE29=-10,"",_xlfn.RANK.EQ(AE29,TopScores,0))</f>
        <v>28</v>
      </c>
      <c r="AI29" s="610" t="s">
        <v>374</v>
      </c>
      <c r="AJ29" s="73">
        <f>INDEX(Picks!G:G,MATCH(AI29,Picks!A:A,0))</f>
        <v>35.658999999999999</v>
      </c>
      <c r="AK29" s="437">
        <f>INDEX(Weekly!I:I,MATCH(AI29,Weekly!E:E,0))</f>
        <v>1</v>
      </c>
      <c r="AL29" s="70">
        <f>IF(AJ29="","",_xlfn.RANK.EQ(AJ29,TopMaxScores,0))</f>
        <v>23</v>
      </c>
    </row>
    <row r="30" spans="1:38">
      <c r="A30" s="644" t="str">
        <f>A29</f>
        <v>Barry Birchall</v>
      </c>
      <c r="B30" s="446" t="str">
        <f t="shared" si="1"/>
        <v>Exeter</v>
      </c>
      <c r="C30" s="516">
        <f>IF(J30="","",INDEX(Odds!C:C,MATCH(J30,Odds!G:G,0)))</f>
        <v>7</v>
      </c>
      <c r="D30" s="447">
        <f t="shared" si="2"/>
        <v>2.7</v>
      </c>
      <c r="E30" s="460" t="str">
        <f t="shared" si="3"/>
        <v>x</v>
      </c>
      <c r="F30" s="448"/>
      <c r="G30" s="449"/>
      <c r="H30" s="207"/>
      <c r="I30" s="380"/>
      <c r="J30" s="442" t="s">
        <v>569</v>
      </c>
      <c r="K30" s="191" t="str">
        <f>INDEX(Odds!H:H,MATCH(J30,Odds!G:G,0))</f>
        <v>17/10</v>
      </c>
      <c r="L30" s="450">
        <f>INDEX(Odds!I:I,MATCH(J30,Odds!G:G,0))</f>
        <v>2.7</v>
      </c>
      <c r="M30" s="444">
        <f>INDEX(Odds!J:J,MATCH(J30,Odds!G:G,0))</f>
        <v>0</v>
      </c>
      <c r="N30" s="445">
        <f t="shared" si="4"/>
        <v>0</v>
      </c>
      <c r="O30" s="577"/>
      <c r="P30" s="574" t="str">
        <f>IF(Match!B30="","",Match!V30)</f>
        <v xml:space="preserve">Plymouth 3-1 Portsmouth </v>
      </c>
      <c r="Q30" s="89"/>
      <c r="R30" s="36" t="str">
        <f>IF(Odds!G30="","",Odds!G30)</f>
        <v>Plymouth</v>
      </c>
      <c r="S30" s="37" t="str">
        <f>INDEX(Odds!H:H,MATCH(R30,Odds!G:G,0))</f>
        <v>21/20</v>
      </c>
      <c r="T30" s="41">
        <f t="shared" si="0"/>
        <v>1</v>
      </c>
      <c r="U30" s="21" t="str">
        <f>INDEX(Match!Q:Q,MATCH(P30,Match!V:V,0))</f>
        <v>Plymouth</v>
      </c>
      <c r="V30" s="21">
        <f>INDEX(Match!G:G,MATCH(P30,Match!V:V,0))</f>
        <v>3</v>
      </c>
      <c r="W30" s="21" t="str">
        <f>INDEX(Match!R:R,MATCH(P30,Match!V:V,0))</f>
        <v>Portsmouth</v>
      </c>
      <c r="X30" s="21">
        <f>INDEX(Match!H:H,MATCH(P30,Match!V:V,0))</f>
        <v>1</v>
      </c>
      <c r="AB30" s="582" t="str">
        <f>IF(O30="","",INDEX(Odds!H:H,MATCH(O30,Odds!G:G,0)))</f>
        <v/>
      </c>
      <c r="AC30" s="604">
        <f>IF(J30="","",INDEX(Odds!K:K,MATCH(J30,Odds!G:G,0)))</f>
        <v>1</v>
      </c>
      <c r="AD30" s="70" t="s">
        <v>286</v>
      </c>
      <c r="AE30" s="73">
        <f>INDEX(Picks!F:F,MATCH(AD30,Picks!A:A,0))</f>
        <v>-0.91666666666666607</v>
      </c>
      <c r="AF30" s="437">
        <f>INDEX(Weekly!I:I,MATCH(AD30,Weekly!E:E,0))</f>
        <v>2</v>
      </c>
      <c r="AG30" s="70">
        <f>IF(AE30=-10,"",_xlfn.RANK.EQ(AE30,TopScores,0))</f>
        <v>28</v>
      </c>
      <c r="AI30" s="72" t="s">
        <v>300</v>
      </c>
      <c r="AJ30" s="73">
        <f>INDEX(Picks!G:G,MATCH(AI30,Picks!A:A,0))</f>
        <v>34.865624999999994</v>
      </c>
      <c r="AK30" s="437">
        <f>INDEX(Weekly!I:I,MATCH(AI30,Weekly!E:E,0))</f>
        <v>2</v>
      </c>
      <c r="AL30" s="70">
        <f>IF(AJ30="","",_xlfn.RANK.EQ(AJ30,TopMaxScores,0))</f>
        <v>24</v>
      </c>
    </row>
    <row r="31" spans="1:38" ht="13.5" thickBot="1">
      <c r="A31" s="645" t="str">
        <f>A29</f>
        <v>Barry Birchall</v>
      </c>
      <c r="B31" s="451" t="str">
        <f t="shared" si="1"/>
        <v>Norwich</v>
      </c>
      <c r="C31" s="517">
        <f>IF(J31="","",INDEX(Odds!C:C,MATCH(J31,Odds!G:G,0)))</f>
        <v>7</v>
      </c>
      <c r="D31" s="452">
        <f t="shared" si="2"/>
        <v>2.2999999999999998</v>
      </c>
      <c r="E31" s="460" t="str">
        <f t="shared" si="3"/>
        <v>x</v>
      </c>
      <c r="F31" s="448"/>
      <c r="G31" s="449"/>
      <c r="H31" s="207"/>
      <c r="I31" s="380"/>
      <c r="J31" s="453" t="s">
        <v>598</v>
      </c>
      <c r="K31" s="192" t="str">
        <f>INDEX(Odds!H:H,MATCH(J31,Odds!G:G,0))</f>
        <v>13/10</v>
      </c>
      <c r="L31" s="454">
        <f>INDEX(Odds!I:I,MATCH(J31,Odds!G:G,0))</f>
        <v>2.2999999999999998</v>
      </c>
      <c r="M31" s="444">
        <f>INDEX(Odds!J:J,MATCH(J31,Odds!G:G,0))</f>
        <v>0</v>
      </c>
      <c r="N31" s="455">
        <f t="shared" si="4"/>
        <v>0</v>
      </c>
      <c r="O31" s="578"/>
      <c r="P31" s="574" t="str">
        <f>IF(Match!B31="","",Match!V31)</f>
        <v xml:space="preserve">Shrewsbury 3-2 Port Vale </v>
      </c>
      <c r="Q31" s="89"/>
      <c r="R31" s="36" t="str">
        <f>IF(Odds!G31="","",Odds!G31)</f>
        <v>Shrewsbury</v>
      </c>
      <c r="S31" s="37" t="str">
        <f>INDEX(Odds!H:H,MATCH(R31,Odds!G:G,0))</f>
        <v>5/4</v>
      </c>
      <c r="T31" s="41">
        <f t="shared" si="0"/>
        <v>1</v>
      </c>
      <c r="U31" s="21" t="str">
        <f>INDEX(Match!Q:Q,MATCH(P31,Match!V:V,0))</f>
        <v>Shrewsbury</v>
      </c>
      <c r="V31" s="21">
        <f>INDEX(Match!G:G,MATCH(P31,Match!V:V,0))</f>
        <v>3</v>
      </c>
      <c r="W31" s="21" t="str">
        <f>INDEX(Match!R:R,MATCH(P31,Match!V:V,0))</f>
        <v>Port Vale</v>
      </c>
      <c r="X31" s="21">
        <f>INDEX(Match!H:H,MATCH(P31,Match!V:V,0))</f>
        <v>2</v>
      </c>
      <c r="AB31" s="583" t="str">
        <f>IF(O31="","",INDEX(Odds!H:H,MATCH(O31,Odds!G:G,0)))</f>
        <v/>
      </c>
      <c r="AC31" s="604">
        <f>IF(J31="","",INDEX(Odds!K:K,MATCH(J31,Odds!G:G,0)))</f>
        <v>1</v>
      </c>
      <c r="AD31" s="70" t="s">
        <v>566</v>
      </c>
      <c r="AE31" s="73">
        <f>INDEX(Picks!F:F,MATCH(AD31,Picks!A:A,0))</f>
        <v>-1.25</v>
      </c>
      <c r="AF31" s="437">
        <f>INDEX(Weekly!I:I,MATCH(AD31,Weekly!E:E,0))</f>
        <v>2</v>
      </c>
      <c r="AG31" s="70">
        <f>IF(AE31=-10,"",_xlfn.RANK.EQ(AE31,TopScores,0))</f>
        <v>30</v>
      </c>
      <c r="AI31" s="70" t="s">
        <v>281</v>
      </c>
      <c r="AJ31" s="73">
        <f>INDEX(Picks!G:G,MATCH(AI31,Picks!A:A,0))</f>
        <v>34.734999999999999</v>
      </c>
      <c r="AK31" s="437">
        <f>INDEX(Weekly!I:I,MATCH(AI31,Weekly!E:E,0))</f>
        <v>0</v>
      </c>
      <c r="AL31" s="70">
        <f>IF(AJ31="","",_xlfn.RANK.EQ(AJ31,TopMaxScores,0))</f>
        <v>25</v>
      </c>
    </row>
    <row r="32" spans="1:38" ht="13.9" thickTop="1" thickBot="1">
      <c r="A32" s="440" t="str">
        <f>Results!B32</f>
        <v>Ben Rosser</v>
      </c>
      <c r="B32" s="456" t="str">
        <f t="shared" si="1"/>
        <v>Leicester</v>
      </c>
      <c r="C32" s="516">
        <f>IF(J32="","",INDEX(Odds!C:C,MATCH(J32,Odds!G:G,0)))</f>
        <v>7</v>
      </c>
      <c r="D32" s="441">
        <f t="shared" si="2"/>
        <v>3.4</v>
      </c>
      <c r="E32" s="459" t="str">
        <f t="shared" si="3"/>
        <v>√</v>
      </c>
      <c r="F32" s="382">
        <f>IF(J32="",-10,INDEX(Results!T:T,MATCH(A32,Results!V:V,0)))</f>
        <v>10.919999999999998</v>
      </c>
      <c r="G32" s="189">
        <f>IF(J32="","",INDEX(Results!AI:AI,MATCH(A32,Results!V:V,0)))</f>
        <v>53.489999999999995</v>
      </c>
      <c r="H32" s="207">
        <f>IF(G32="",0,1)</f>
        <v>1</v>
      </c>
      <c r="I32" s="379">
        <f>INDEX(Picks!AG:AG,MATCH(A32,Picks!AD:AD,0))</f>
        <v>8</v>
      </c>
      <c r="J32" s="442" t="s">
        <v>552</v>
      </c>
      <c r="K32" s="190" t="str">
        <f>INDEX(Odds!H:H,MATCH(J32,Odds!G:G,0))</f>
        <v>12/5</v>
      </c>
      <c r="L32" s="443">
        <f>INDEX(Odds!I:I,MATCH(J32,Odds!G:G,0))</f>
        <v>3.4</v>
      </c>
      <c r="M32" s="457">
        <f>INDEX(Odds!J:J,MATCH(J32,Odds!G:G,0))</f>
        <v>1</v>
      </c>
      <c r="N32" s="445">
        <f t="shared" si="4"/>
        <v>3.4</v>
      </c>
      <c r="O32" s="577"/>
      <c r="P32" s="574" t="str">
        <f>IF(Match!B32="","",Match!V32)</f>
        <v xml:space="preserve">Wycombe 3-2 Derby </v>
      </c>
      <c r="Q32" s="89"/>
      <c r="R32" s="36" t="str">
        <f>IF(Odds!G32="","",Odds!G32)</f>
        <v>Wycombe</v>
      </c>
      <c r="S32" s="37" t="str">
        <f>INDEX(Odds!H:H,MATCH(R32,Odds!G:G,0))</f>
        <v>19/10</v>
      </c>
      <c r="T32" s="41">
        <f t="shared" si="0"/>
        <v>1</v>
      </c>
      <c r="U32" s="21" t="str">
        <f>INDEX(Match!Q:Q,MATCH(P32,Match!V:V,0))</f>
        <v>Wycombe</v>
      </c>
      <c r="V32" s="21">
        <f>INDEX(Match!G:G,MATCH(P32,Match!V:V,0))</f>
        <v>3</v>
      </c>
      <c r="W32" s="21" t="str">
        <f>INDEX(Match!R:R,MATCH(P32,Match!V:V,0))</f>
        <v>Derby</v>
      </c>
      <c r="X32" s="21">
        <f>INDEX(Match!H:H,MATCH(P32,Match!V:V,0))</f>
        <v>2</v>
      </c>
      <c r="AB32" s="582" t="str">
        <f>IF(O32="","",INDEX(Odds!H:H,MATCH(O32,Odds!G:G,0)))</f>
        <v/>
      </c>
      <c r="AC32" s="604">
        <f>IF(J32="","",INDEX(Odds!K:K,MATCH(J32,Odds!G:G,0)))</f>
        <v>1</v>
      </c>
      <c r="AD32" s="70" t="s">
        <v>377</v>
      </c>
      <c r="AE32" s="73">
        <f>INDEX(Picks!F:F,MATCH(AD32,Picks!A:A,0))</f>
        <v>-1.8888888888888884</v>
      </c>
      <c r="AF32" s="437">
        <f>INDEX(Weekly!I:I,MATCH(AD32,Weekly!E:E,0))</f>
        <v>2</v>
      </c>
      <c r="AG32" s="70">
        <f>IF(AE32=-10,"",_xlfn.RANK.EQ(AE32,TopScores,0))</f>
        <v>31</v>
      </c>
      <c r="AI32" s="72" t="s">
        <v>527</v>
      </c>
      <c r="AJ32" s="73">
        <f>INDEX(Picks!G:G,MATCH(AI32,Picks!A:A,0))</f>
        <v>34.734999999999999</v>
      </c>
      <c r="AK32" s="437">
        <f>INDEX(Weekly!I:I,MATCH(AI32,Weekly!E:E,0))</f>
        <v>1</v>
      </c>
      <c r="AL32" s="70">
        <f>IF(AJ32="","",_xlfn.RANK.EQ(AJ32,TopMaxScores,0))</f>
        <v>25</v>
      </c>
    </row>
    <row r="33" spans="1:38">
      <c r="A33" s="644" t="str">
        <f>A32</f>
        <v>Ben Rosser</v>
      </c>
      <c r="B33" s="446" t="str">
        <f t="shared" si="1"/>
        <v>Palace draw</v>
      </c>
      <c r="C33" s="516">
        <f>IF(J33="","",INDEX(Odds!C:C,MATCH(J33,Odds!G:G,0)))</f>
        <v>7</v>
      </c>
      <c r="D33" s="447">
        <f t="shared" si="2"/>
        <v>3.3</v>
      </c>
      <c r="E33" s="460" t="str">
        <f t="shared" si="3"/>
        <v>√</v>
      </c>
      <c r="F33" s="448"/>
      <c r="G33" s="449"/>
      <c r="H33" s="207"/>
      <c r="I33" s="380"/>
      <c r="J33" s="442" t="s">
        <v>635</v>
      </c>
      <c r="K33" s="191" t="str">
        <f>INDEX(Odds!H:H,MATCH(J33,Odds!G:G,0))</f>
        <v>23/10</v>
      </c>
      <c r="L33" s="450">
        <f>INDEX(Odds!I:I,MATCH(J33,Odds!G:G,0))</f>
        <v>3.3</v>
      </c>
      <c r="M33" s="444">
        <f>INDEX(Odds!J:J,MATCH(J33,Odds!G:G,0))</f>
        <v>1</v>
      </c>
      <c r="N33" s="445">
        <f t="shared" si="4"/>
        <v>3.3</v>
      </c>
      <c r="O33" s="577"/>
      <c r="P33" s="574" t="str">
        <f>IF(Match!B33="","",Match!V33)</f>
        <v xml:space="preserve">Barrow 0-1 Newport </v>
      </c>
      <c r="Q33" s="89"/>
      <c r="R33" s="36" t="str">
        <f>IF(Odds!G33="","",Odds!G33)</f>
        <v>Barrow</v>
      </c>
      <c r="S33" s="37" t="str">
        <f>INDEX(Odds!H:H,MATCH(R33,Odds!G:G,0))</f>
        <v>13/10</v>
      </c>
      <c r="T33" s="41">
        <f t="shared" si="0"/>
        <v>0</v>
      </c>
      <c r="U33" s="21" t="str">
        <f>INDEX(Match!Q:Q,MATCH(P33,Match!V:V,0))</f>
        <v>Barrow</v>
      </c>
      <c r="V33" s="21">
        <f>INDEX(Match!G:G,MATCH(P33,Match!V:V,0))</f>
        <v>0</v>
      </c>
      <c r="W33" s="21" t="str">
        <f>INDEX(Match!R:R,MATCH(P33,Match!V:V,0))</f>
        <v>Newport</v>
      </c>
      <c r="X33" s="21">
        <f>INDEX(Match!H:H,MATCH(P33,Match!V:V,0))</f>
        <v>1</v>
      </c>
      <c r="AB33" s="582" t="str">
        <f>IF(O33="","",INDEX(Odds!H:H,MATCH(O33,Odds!G:G,0)))</f>
        <v/>
      </c>
      <c r="AC33" s="604">
        <f>IF(J33="","",INDEX(Odds!K:K,MATCH(J33,Odds!G:G,0)))</f>
        <v>1</v>
      </c>
      <c r="AD33" s="70" t="s">
        <v>305</v>
      </c>
      <c r="AE33" s="73">
        <f>INDEX(Picks!F:F,MATCH(AD33,Picks!A:A,0))</f>
        <v>-2.8</v>
      </c>
      <c r="AF33" s="437">
        <f>INDEX(Weekly!I:I,MATCH(AD33,Weekly!E:E,0))</f>
        <v>1</v>
      </c>
      <c r="AG33" s="70">
        <f>IF(AE33=-10,"",_xlfn.RANK.EQ(AE33,TopScores,0))</f>
        <v>32</v>
      </c>
      <c r="AI33" s="70" t="s">
        <v>313</v>
      </c>
      <c r="AJ33" s="73">
        <f>INDEX(Picks!G:G,MATCH(AI33,Picks!A:A,0))</f>
        <v>34.075000000000003</v>
      </c>
      <c r="AK33" s="437">
        <f>INDEX(Weekly!I:I,MATCH(AI33,Weekly!E:E,0))</f>
        <v>0</v>
      </c>
      <c r="AL33" s="70">
        <f>IF(AJ33="","",_xlfn.RANK.EQ(AJ33,TopMaxScores,0))</f>
        <v>27</v>
      </c>
    </row>
    <row r="34" spans="1:38" ht="13.5" thickBot="1">
      <c r="A34" s="645" t="str">
        <f>A32</f>
        <v>Ben Rosser</v>
      </c>
      <c r="B34" s="451" t="str">
        <f t="shared" si="1"/>
        <v>Chelsea</v>
      </c>
      <c r="C34" s="517">
        <f>IF(J34="","",INDEX(Odds!C:C,MATCH(J34,Odds!G:G,0)))</f>
        <v>7</v>
      </c>
      <c r="D34" s="452">
        <f t="shared" si="2"/>
        <v>2.25</v>
      </c>
      <c r="E34" s="460" t="str">
        <f t="shared" si="3"/>
        <v>x</v>
      </c>
      <c r="F34" s="448"/>
      <c r="G34" s="449"/>
      <c r="H34" s="207"/>
      <c r="I34" s="380"/>
      <c r="J34" s="453" t="s">
        <v>576</v>
      </c>
      <c r="K34" s="192" t="str">
        <f>INDEX(Odds!H:H,MATCH(J34,Odds!G:G,0))</f>
        <v>5/4</v>
      </c>
      <c r="L34" s="454">
        <f>INDEX(Odds!I:I,MATCH(J34,Odds!G:G,0))</f>
        <v>2.25</v>
      </c>
      <c r="M34" s="444">
        <f>INDEX(Odds!J:J,MATCH(J34,Odds!G:G,0))</f>
        <v>0</v>
      </c>
      <c r="N34" s="455">
        <f t="shared" si="4"/>
        <v>0</v>
      </c>
      <c r="O34" s="578"/>
      <c r="P34" s="574" t="str">
        <f>IF(Match!B34="","",Match!V34)</f>
        <v xml:space="preserve">Crawley 2-2 Crewe </v>
      </c>
      <c r="Q34" s="89"/>
      <c r="R34" s="36" t="str">
        <f>IF(Odds!G34="","",Odds!G34)</f>
        <v>Crawley</v>
      </c>
      <c r="S34" s="37" t="str">
        <f>INDEX(Odds!H:H,MATCH(R34,Odds!G:G,0))</f>
        <v>7/5</v>
      </c>
      <c r="T34" s="41">
        <f t="shared" si="0"/>
        <v>0</v>
      </c>
      <c r="U34" s="21" t="str">
        <f>INDEX(Match!Q:Q,MATCH(P34,Match!V:V,0))</f>
        <v>Crawley</v>
      </c>
      <c r="V34" s="21">
        <f>INDEX(Match!G:G,MATCH(P34,Match!V:V,0))</f>
        <v>2</v>
      </c>
      <c r="W34" s="21" t="str">
        <f>INDEX(Match!R:R,MATCH(P34,Match!V:V,0))</f>
        <v>Crewe</v>
      </c>
      <c r="X34" s="21">
        <f>INDEX(Match!H:H,MATCH(P34,Match!V:V,0))</f>
        <v>2</v>
      </c>
      <c r="AB34" s="583" t="str">
        <f>IF(O34="","",INDEX(Odds!H:H,MATCH(O34,Odds!G:G,0)))</f>
        <v/>
      </c>
      <c r="AC34" s="604">
        <f>IF(J34="","",INDEX(Odds!K:K,MATCH(J34,Odds!G:G,0)))</f>
        <v>1</v>
      </c>
      <c r="AD34" s="70" t="s">
        <v>310</v>
      </c>
      <c r="AE34" s="73">
        <f>INDEX(Picks!F:F,MATCH(AD34,Picks!A:A,0))</f>
        <v>-3.4</v>
      </c>
      <c r="AF34" s="437">
        <f>INDEX(Weekly!I:I,MATCH(AD34,Weekly!E:E,0))</f>
        <v>1</v>
      </c>
      <c r="AG34" s="70">
        <f>IF(AE34=-10,"",_xlfn.RANK.EQ(AE34,TopScores,0))</f>
        <v>33</v>
      </c>
      <c r="AI34" s="72" t="s">
        <v>292</v>
      </c>
      <c r="AJ34" s="73">
        <f>INDEX(Picks!G:G,MATCH(AI34,Picks!A:A,0))</f>
        <v>33.681249999999999</v>
      </c>
      <c r="AK34" s="437">
        <f>INDEX(Weekly!I:I,MATCH(AI34,Weekly!E:E,0))</f>
        <v>1</v>
      </c>
      <c r="AL34" s="70">
        <f>IF(AJ34="","",_xlfn.RANK.EQ(AJ34,TopMaxScores,0))</f>
        <v>28</v>
      </c>
    </row>
    <row r="35" spans="1:38" ht="13.9" thickTop="1" thickBot="1">
      <c r="A35" s="440" t="str">
        <f>Results!B35</f>
        <v>Bob Bailey</v>
      </c>
      <c r="B35" s="456" t="str">
        <f t="shared" si="1"/>
        <v>Watford draw</v>
      </c>
      <c r="C35" s="516">
        <f>IF(J35="","",INDEX(Odds!C:C,MATCH(J35,Odds!G:G,0)))</f>
        <v>7</v>
      </c>
      <c r="D35" s="441">
        <f t="shared" si="2"/>
        <v>3.25</v>
      </c>
      <c r="E35" s="459" t="str">
        <f t="shared" si="3"/>
        <v>√</v>
      </c>
      <c r="F35" s="382">
        <f>IF(J35="",-10,INDEX(Results!T:T,MATCH(A35,Results!V:V,0)))</f>
        <v>-3.75</v>
      </c>
      <c r="G35" s="189">
        <f>IF(J35="","",INDEX(Results!AI:AI,MATCH(A35,Results!V:V,0)))</f>
        <v>71.474999999999994</v>
      </c>
      <c r="H35" s="207">
        <f>IF(G35="",0,1)</f>
        <v>1</v>
      </c>
      <c r="I35" s="379">
        <f>INDEX(Picks!AG:AG,MATCH(A35,Picks!AD:AD,0))</f>
        <v>34</v>
      </c>
      <c r="J35" s="442" t="s">
        <v>644</v>
      </c>
      <c r="K35" s="190" t="str">
        <f>INDEX(Odds!H:H,MATCH(J35,Odds!G:G,0))</f>
        <v>9/4</v>
      </c>
      <c r="L35" s="443">
        <f>INDEX(Odds!I:I,MATCH(J35,Odds!G:G,0))</f>
        <v>3.25</v>
      </c>
      <c r="M35" s="457">
        <f>INDEX(Odds!J:J,MATCH(J35,Odds!G:G,0))</f>
        <v>1</v>
      </c>
      <c r="N35" s="445">
        <f t="shared" si="4"/>
        <v>3.25</v>
      </c>
      <c r="O35" s="577"/>
      <c r="P35" s="574" t="str">
        <f>IF(Match!B35="","",Match!V35)</f>
        <v xml:space="preserve">Grimsby 0-1 Colchester </v>
      </c>
      <c r="Q35" s="89"/>
      <c r="R35" s="36" t="str">
        <f>IF(Odds!G35="","",Odds!G35)</f>
        <v>Grimsby</v>
      </c>
      <c r="S35" s="37" t="str">
        <f>INDEX(Odds!H:H,MATCH(R35,Odds!G:G,0))</f>
        <v>21/20</v>
      </c>
      <c r="T35" s="41">
        <f t="shared" si="0"/>
        <v>0</v>
      </c>
      <c r="U35" s="21" t="str">
        <f>INDEX(Match!Q:Q,MATCH(P35,Match!V:V,0))</f>
        <v>Grimsby</v>
      </c>
      <c r="V35" s="21">
        <f>INDEX(Match!G:G,MATCH(P35,Match!V:V,0))</f>
        <v>0</v>
      </c>
      <c r="W35" s="21" t="str">
        <f>INDEX(Match!R:R,MATCH(P35,Match!V:V,0))</f>
        <v>Colchester</v>
      </c>
      <c r="X35" s="21">
        <f>INDEX(Match!H:H,MATCH(P35,Match!V:V,0))</f>
        <v>1</v>
      </c>
      <c r="AB35" s="582" t="str">
        <f>IF(O35="","",INDEX(Odds!H:H,MATCH(O35,Odds!G:G,0)))</f>
        <v/>
      </c>
      <c r="AC35" s="604">
        <f>IF(J35="","",INDEX(Odds!K:K,MATCH(J35,Odds!G:G,0)))</f>
        <v>1</v>
      </c>
      <c r="AD35" s="70" t="s">
        <v>518</v>
      </c>
      <c r="AE35" s="73">
        <f>INDEX(Picks!F:F,MATCH(AD35,Picks!A:A,0))</f>
        <v>-3.75</v>
      </c>
      <c r="AF35" s="437">
        <f>INDEX(Weekly!I:I,MATCH(AD35,Weekly!E:E,0))</f>
        <v>1</v>
      </c>
      <c r="AG35" s="70">
        <f>IF(AE35=-10,"",_xlfn.RANK.EQ(AE35,TopScores,0))</f>
        <v>34</v>
      </c>
      <c r="AI35" s="72" t="s">
        <v>294</v>
      </c>
      <c r="AJ35" s="73">
        <f>INDEX(Picks!G:G,MATCH(AI35,Picks!A:A,0))</f>
        <v>29.931249999999999</v>
      </c>
      <c r="AK35" s="437">
        <f>INDEX(Weekly!I:I,MATCH(AI35,Weekly!E:E,0))</f>
        <v>2</v>
      </c>
      <c r="AL35" s="70">
        <f>IF(AJ35="","",_xlfn.RANK.EQ(AJ35,TopMaxScores,0))</f>
        <v>29</v>
      </c>
    </row>
    <row r="36" spans="1:38">
      <c r="A36" s="644" t="str">
        <f>A35</f>
        <v>Bob Bailey</v>
      </c>
      <c r="B36" s="446" t="str">
        <f t="shared" si="1"/>
        <v>Peterborough draw</v>
      </c>
      <c r="C36" s="516">
        <f>IF(J36="","",INDEX(Odds!C:C,MATCH(J36,Odds!G:G,0)))</f>
        <v>7</v>
      </c>
      <c r="D36" s="447">
        <f t="shared" si="2"/>
        <v>3.25</v>
      </c>
      <c r="E36" s="460" t="str">
        <f t="shared" si="3"/>
        <v>x</v>
      </c>
      <c r="F36" s="448"/>
      <c r="G36" s="449"/>
      <c r="H36" s="207"/>
      <c r="I36" s="380"/>
      <c r="J36" s="442" t="s">
        <v>636</v>
      </c>
      <c r="K36" s="191" t="str">
        <f>INDEX(Odds!H:H,MATCH(J36,Odds!G:G,0))</f>
        <v>9/4</v>
      </c>
      <c r="L36" s="450">
        <f>INDEX(Odds!I:I,MATCH(J36,Odds!G:G,0))</f>
        <v>3.25</v>
      </c>
      <c r="M36" s="444">
        <f>INDEX(Odds!J:J,MATCH(J36,Odds!G:G,0))</f>
        <v>0</v>
      </c>
      <c r="N36" s="445">
        <f t="shared" si="4"/>
        <v>0</v>
      </c>
      <c r="O36" s="577"/>
      <c r="P36" s="574" t="str">
        <f>IF(Match!B36="","",Match!V36)</f>
        <v xml:space="preserve">Harrogate 1-3 Stockport </v>
      </c>
      <c r="Q36" s="89"/>
      <c r="R36" s="36" t="str">
        <f>IF(Odds!G36="","",Odds!G36)</f>
        <v>Harrogate</v>
      </c>
      <c r="S36" s="37" t="str">
        <f>INDEX(Odds!H:H,MATCH(R36,Odds!G:G,0))</f>
        <v>17/5</v>
      </c>
      <c r="T36" s="41">
        <f t="shared" si="0"/>
        <v>0</v>
      </c>
      <c r="U36" s="21" t="str">
        <f>INDEX(Match!Q:Q,MATCH(P36,Match!V:V,0))</f>
        <v>Harrogate</v>
      </c>
      <c r="V36" s="21">
        <f>INDEX(Match!G:G,MATCH(P36,Match!V:V,0))</f>
        <v>1</v>
      </c>
      <c r="W36" s="21" t="str">
        <f>INDEX(Match!R:R,MATCH(P36,Match!V:V,0))</f>
        <v>Stockport</v>
      </c>
      <c r="X36" s="21">
        <f>INDEX(Match!H:H,MATCH(P36,Match!V:V,0))</f>
        <v>3</v>
      </c>
      <c r="AB36" s="582" t="str">
        <f>IF(O36="","",INDEX(Odds!H:H,MATCH(O36,Odds!G:G,0)))</f>
        <v/>
      </c>
      <c r="AC36" s="604">
        <f>IF(J36="","",INDEX(Odds!K:K,MATCH(J36,Odds!G:G,0)))</f>
        <v>1</v>
      </c>
      <c r="AD36" s="70" t="s">
        <v>316</v>
      </c>
      <c r="AE36" s="73">
        <f>INDEX(Picks!F:F,MATCH(AD36,Picks!A:A,0))</f>
        <v>-3.8</v>
      </c>
      <c r="AF36" s="437">
        <f>INDEX(Weekly!I:I,MATCH(AD36,Weekly!E:E,0))</f>
        <v>1</v>
      </c>
      <c r="AG36" s="70">
        <f>IF(AE36=-10,"",_xlfn.RANK.EQ(AE36,TopScores,0))</f>
        <v>35</v>
      </c>
      <c r="AI36" s="70" t="s">
        <v>443</v>
      </c>
      <c r="AJ36" s="73">
        <f>INDEX(Picks!G:G,MATCH(AI36,Picks!A:A,0))</f>
        <v>29.884</v>
      </c>
      <c r="AK36" s="437">
        <f>INDEX(Weekly!I:I,MATCH(AI36,Weekly!E:E,0))</f>
        <v>1</v>
      </c>
      <c r="AL36" s="70">
        <f>IF(AJ36="","",_xlfn.RANK.EQ(AJ36,TopMaxScores,0))</f>
        <v>30</v>
      </c>
    </row>
    <row r="37" spans="1:38" ht="13.5" thickBot="1">
      <c r="A37" s="645" t="str">
        <f>A35</f>
        <v>Bob Bailey</v>
      </c>
      <c r="B37" s="451" t="str">
        <f t="shared" si="1"/>
        <v>Wycombe draw</v>
      </c>
      <c r="C37" s="517">
        <f>IF(J37="","",INDEX(Odds!C:C,MATCH(J37,Odds!G:G,0)))</f>
        <v>7</v>
      </c>
      <c r="D37" s="452">
        <f t="shared" si="2"/>
        <v>3.4</v>
      </c>
      <c r="E37" s="460" t="str">
        <f t="shared" si="3"/>
        <v>x</v>
      </c>
      <c r="F37" s="448"/>
      <c r="G37" s="449"/>
      <c r="H37" s="207"/>
      <c r="I37" s="380"/>
      <c r="J37" s="453" t="s">
        <v>645</v>
      </c>
      <c r="K37" s="192" t="str">
        <f>INDEX(Odds!H:H,MATCH(J37,Odds!G:G,0))</f>
        <v>12/5</v>
      </c>
      <c r="L37" s="454">
        <f>INDEX(Odds!I:I,MATCH(J37,Odds!G:G,0))</f>
        <v>3.4</v>
      </c>
      <c r="M37" s="444">
        <f>INDEX(Odds!J:J,MATCH(J37,Odds!G:G,0))</f>
        <v>0</v>
      </c>
      <c r="N37" s="455">
        <f t="shared" si="4"/>
        <v>0</v>
      </c>
      <c r="O37" s="578"/>
      <c r="P37" s="574" t="str">
        <f>IF(Match!B37="","",Match!V37)</f>
        <v xml:space="preserve">Hartlepool 2-2 Sutton </v>
      </c>
      <c r="Q37" s="89"/>
      <c r="R37" s="36" t="str">
        <f>IF(Odds!G37="","",Odds!G37)</f>
        <v>Hartlepool</v>
      </c>
      <c r="S37" s="37" t="str">
        <f>INDEX(Odds!H:H,MATCH(R37,Odds!G:G,0))</f>
        <v>11/5</v>
      </c>
      <c r="T37" s="41">
        <f t="shared" si="0"/>
        <v>0</v>
      </c>
      <c r="U37" s="21" t="str">
        <f>INDEX(Match!Q:Q,MATCH(P37,Match!V:V,0))</f>
        <v>Hartlepool</v>
      </c>
      <c r="V37" s="21">
        <f>INDEX(Match!G:G,MATCH(P37,Match!V:V,0))</f>
        <v>2</v>
      </c>
      <c r="W37" s="21" t="str">
        <f>INDEX(Match!R:R,MATCH(P37,Match!V:V,0))</f>
        <v>Sutton</v>
      </c>
      <c r="X37" s="21">
        <f>INDEX(Match!H:H,MATCH(P37,Match!V:V,0))</f>
        <v>2</v>
      </c>
      <c r="AB37" s="583" t="str">
        <f>IF(O37="","",INDEX(Odds!H:H,MATCH(O37,Odds!G:G,0)))</f>
        <v/>
      </c>
      <c r="AC37" s="604">
        <f>IF(J37="","",INDEX(Odds!K:K,MATCH(J37,Odds!G:G,0)))</f>
        <v>1</v>
      </c>
      <c r="AD37" s="70" t="s">
        <v>376</v>
      </c>
      <c r="AE37" s="73">
        <f>INDEX(Picks!F:F,MATCH(AD37,Picks!A:A,0))</f>
        <v>-3.8</v>
      </c>
      <c r="AF37" s="437">
        <f>INDEX(Weekly!I:I,MATCH(AD37,Weekly!E:E,0))</f>
        <v>1</v>
      </c>
      <c r="AG37" s="70">
        <f>IF(AE37=-10,"",_xlfn.RANK.EQ(AE37,TopScores,0))</f>
        <v>35</v>
      </c>
      <c r="AI37" s="70" t="s">
        <v>299</v>
      </c>
      <c r="AJ37" s="73">
        <f>INDEX(Picks!G:G,MATCH(AI37,Picks!A:A,0))</f>
        <v>25.46875</v>
      </c>
      <c r="AK37" s="437">
        <f>INDEX(Weekly!I:I,MATCH(AI37,Weekly!E:E,0))</f>
        <v>2</v>
      </c>
      <c r="AL37" s="70">
        <f>IF(AJ37="","",_xlfn.RANK.EQ(AJ37,TopMaxScores,0))</f>
        <v>31</v>
      </c>
    </row>
    <row r="38" spans="1:38" ht="13.9" thickTop="1" thickBot="1">
      <c r="A38" s="440" t="str">
        <f>Results!B38</f>
        <v>Charlie Griffiths</v>
      </c>
      <c r="B38" s="456" t="str">
        <f t="shared" si="1"/>
        <v>Man U</v>
      </c>
      <c r="C38" s="516">
        <f>IF(J38="","",INDEX(Odds!C:C,MATCH(J38,Odds!G:G,0)))</f>
        <v>1</v>
      </c>
      <c r="D38" s="441">
        <f t="shared" si="2"/>
        <v>1.75</v>
      </c>
      <c r="E38" s="459" t="str">
        <f t="shared" si="3"/>
        <v>√</v>
      </c>
      <c r="F38" s="382">
        <f>IF(J38="",-10,INDEX(Results!T:T,MATCH(A38,Results!V:V,0)))</f>
        <v>-5.25</v>
      </c>
      <c r="G38" s="189">
        <f>IF(J38="","",INDEX(Results!AI:AI,MATCH(A38,Results!V:V,0)))</f>
        <v>37.5</v>
      </c>
      <c r="H38" s="207">
        <f>IF(G38="",0,1)</f>
        <v>1</v>
      </c>
      <c r="I38" s="379">
        <f>INDEX(Picks!AG:AG,MATCH(A38,Picks!AD:AD,0))</f>
        <v>48</v>
      </c>
      <c r="J38" s="442" t="s">
        <v>555</v>
      </c>
      <c r="K38" s="190" t="str">
        <f>INDEX(Odds!H:H,MATCH(J38,Odds!G:G,0))</f>
        <v>3/4</v>
      </c>
      <c r="L38" s="443">
        <f>INDEX(Odds!I:I,MATCH(J38,Odds!G:G,0))</f>
        <v>1.75</v>
      </c>
      <c r="M38" s="457">
        <f>INDEX(Odds!J:J,MATCH(J38,Odds!G:G,0))</f>
        <v>1</v>
      </c>
      <c r="N38" s="445">
        <f t="shared" si="4"/>
        <v>1.75</v>
      </c>
      <c r="O38" s="577"/>
      <c r="P38" s="574" t="str">
        <f>IF(Match!B38="","",Match!V38)</f>
        <v xml:space="preserve">Mansfield 2-0 Gillingham </v>
      </c>
      <c r="Q38" s="89"/>
      <c r="R38" s="36" t="str">
        <f>IF(Odds!G38="","",Odds!G38)</f>
        <v>Mansfield</v>
      </c>
      <c r="S38" s="37" t="str">
        <f>INDEX(Odds!H:H,MATCH(R38,Odds!G:G,0))</f>
        <v>7/10</v>
      </c>
      <c r="T38" s="41">
        <f t="shared" si="0"/>
        <v>1</v>
      </c>
      <c r="U38" s="21" t="str">
        <f>INDEX(Match!Q:Q,MATCH(P38,Match!V:V,0))</f>
        <v>Mansfield</v>
      </c>
      <c r="V38" s="21">
        <f>INDEX(Match!G:G,MATCH(P38,Match!V:V,0))</f>
        <v>2</v>
      </c>
      <c r="W38" s="21" t="str">
        <f>INDEX(Match!R:R,MATCH(P38,Match!V:V,0))</f>
        <v>Gillingham</v>
      </c>
      <c r="X38" s="21">
        <f>INDEX(Match!H:H,MATCH(P38,Match!V:V,0))</f>
        <v>0</v>
      </c>
      <c r="AB38" s="582" t="str">
        <f>IF(O38="","",INDEX(Odds!H:H,MATCH(O38,Odds!G:G,0)))</f>
        <v/>
      </c>
      <c r="AC38" s="604">
        <f>IF(J38="","",INDEX(Odds!K:K,MATCH(J38,Odds!G:G,0)))</f>
        <v>1</v>
      </c>
      <c r="AD38" s="70" t="s">
        <v>284</v>
      </c>
      <c r="AE38" s="73">
        <f>INDEX(Picks!F:F,MATCH(AD38,Picks!A:A,0))</f>
        <v>-4.625</v>
      </c>
      <c r="AF38" s="437">
        <f>INDEX(Weekly!I:I,MATCH(AD38,Weekly!E:E,0))</f>
        <v>1</v>
      </c>
      <c r="AG38" s="70">
        <f>IF(AE38=-10,"",_xlfn.RANK.EQ(AE38,TopScores,0))</f>
        <v>37</v>
      </c>
      <c r="AI38" s="72" t="s">
        <v>282</v>
      </c>
      <c r="AJ38" s="73">
        <f>INDEX(Picks!G:G,MATCH(AI38,Picks!A:A,0))</f>
        <v>25.150000000000006</v>
      </c>
      <c r="AK38" s="437">
        <f>INDEX(Weekly!I:I,MATCH(AI38,Weekly!E:E,0))</f>
        <v>1</v>
      </c>
      <c r="AL38" s="70">
        <f>IF(AJ38="","",_xlfn.RANK.EQ(AJ38,TopMaxScores,0))</f>
        <v>32</v>
      </c>
    </row>
    <row r="39" spans="1:38">
      <c r="A39" s="644" t="str">
        <f>A38</f>
        <v>Charlie Griffiths</v>
      </c>
      <c r="B39" s="446" t="str">
        <f t="shared" si="1"/>
        <v>Man c draw</v>
      </c>
      <c r="C39" s="516">
        <f>IF(J39="","",INDEX(Odds!C:C,MATCH(J39,Odds!G:G,0)))</f>
        <v>1</v>
      </c>
      <c r="D39" s="447">
        <f t="shared" si="2"/>
        <v>6</v>
      </c>
      <c r="E39" s="460" t="str">
        <f t="shared" si="3"/>
        <v>x</v>
      </c>
      <c r="F39" s="448"/>
      <c r="G39" s="449"/>
      <c r="H39" s="207"/>
      <c r="I39" s="380"/>
      <c r="J39" s="442" t="s">
        <v>649</v>
      </c>
      <c r="K39" s="191" t="str">
        <f>INDEX(Odds!H:H,MATCH(J39,Odds!G:G,0))</f>
        <v>5/1</v>
      </c>
      <c r="L39" s="450">
        <f>INDEX(Odds!I:I,MATCH(J39,Odds!G:G,0))</f>
        <v>6</v>
      </c>
      <c r="M39" s="444">
        <f>INDEX(Odds!J:J,MATCH(J39,Odds!G:G,0))</f>
        <v>0</v>
      </c>
      <c r="N39" s="445">
        <f t="shared" si="4"/>
        <v>0</v>
      </c>
      <c r="O39" s="577"/>
      <c r="P39" s="574" t="str">
        <f>IF(Match!B39="","",Match!V39)</f>
        <v xml:space="preserve">Rochdale 1-1 Northampton </v>
      </c>
      <c r="Q39" s="89"/>
      <c r="R39" s="36" t="str">
        <f>IF(Odds!G39="","",Odds!G39)</f>
        <v>Rochdale</v>
      </c>
      <c r="S39" s="37" t="str">
        <f>INDEX(Odds!H:H,MATCH(R39,Odds!G:G,0))</f>
        <v>27/10</v>
      </c>
      <c r="T39" s="41">
        <f t="shared" si="0"/>
        <v>0</v>
      </c>
      <c r="U39" s="21" t="str">
        <f>INDEX(Match!Q:Q,MATCH(P39,Match!V:V,0))</f>
        <v>Rochdale</v>
      </c>
      <c r="V39" s="21">
        <f>INDEX(Match!G:G,MATCH(P39,Match!V:V,0))</f>
        <v>1</v>
      </c>
      <c r="W39" s="21" t="str">
        <f>INDEX(Match!R:R,MATCH(P39,Match!V:V,0))</f>
        <v>Northampton</v>
      </c>
      <c r="X39" s="21">
        <f>INDEX(Match!H:H,MATCH(P39,Match!V:V,0))</f>
        <v>1</v>
      </c>
      <c r="AB39" s="582" t="str">
        <f>IF(O39="","",INDEX(Odds!H:H,MATCH(O39,Odds!G:G,0)))</f>
        <v/>
      </c>
      <c r="AC39" s="604">
        <f>IF(J39="","",INDEX(Odds!K:K,MATCH(J39,Odds!G:G,0)))</f>
        <v>1</v>
      </c>
      <c r="AD39" s="70" t="s">
        <v>292</v>
      </c>
      <c r="AE39" s="73">
        <f>INDEX(Picks!F:F,MATCH(AD39,Picks!A:A,0))</f>
        <v>-4.625</v>
      </c>
      <c r="AF39" s="437">
        <f>INDEX(Weekly!I:I,MATCH(AD39,Weekly!E:E,0))</f>
        <v>1</v>
      </c>
      <c r="AG39" s="70">
        <f>IF(AE39=-10,"",_xlfn.RANK.EQ(AE39,TopScores,0))</f>
        <v>37</v>
      </c>
      <c r="AI39" s="610" t="s">
        <v>314</v>
      </c>
      <c r="AJ39" s="73">
        <f>INDEX(Picks!G:G,MATCH(AI39,Picks!A:A,0))</f>
        <v>24.744249999999994</v>
      </c>
      <c r="AK39" s="437">
        <f>INDEX(Weekly!I:I,MATCH(AI39,Weekly!E:E,0))</f>
        <v>1</v>
      </c>
      <c r="AL39" s="70">
        <f>IF(AJ39="","",_xlfn.RANK.EQ(AJ39,TopMaxScores,0))</f>
        <v>33</v>
      </c>
    </row>
    <row r="40" spans="1:38" ht="13.5" thickBot="1">
      <c r="A40" s="645" t="str">
        <f>A38</f>
        <v>Charlie Griffiths</v>
      </c>
      <c r="B40" s="451" t="str">
        <f t="shared" si="1"/>
        <v>Arsenal</v>
      </c>
      <c r="C40" s="517">
        <f>IF(J40="","",INDEX(Odds!C:C,MATCH(J40,Odds!G:G,0)))</f>
        <v>7</v>
      </c>
      <c r="D40" s="452">
        <f t="shared" si="2"/>
        <v>1.3636363636363638</v>
      </c>
      <c r="E40" s="460" t="str">
        <f t="shared" si="3"/>
        <v>x</v>
      </c>
      <c r="F40" s="448"/>
      <c r="G40" s="449"/>
      <c r="H40" s="207"/>
      <c r="I40" s="380"/>
      <c r="J40" s="453" t="s">
        <v>572</v>
      </c>
      <c r="K40" s="192" t="str">
        <f>INDEX(Odds!H:H,MATCH(J40,Odds!G:G,0))</f>
        <v>4/11</v>
      </c>
      <c r="L40" s="454">
        <f>INDEX(Odds!I:I,MATCH(J40,Odds!G:G,0))</f>
        <v>1.3636363636363638</v>
      </c>
      <c r="M40" s="444">
        <f>INDEX(Odds!J:J,MATCH(J40,Odds!G:G,0))</f>
        <v>0</v>
      </c>
      <c r="N40" s="455">
        <f t="shared" si="4"/>
        <v>0</v>
      </c>
      <c r="O40" s="578"/>
      <c r="P40" s="574" t="str">
        <f>IF(Match!B40="","",Match!V40)</f>
        <v xml:space="preserve">Stevenage 2-3 Bradford </v>
      </c>
      <c r="Q40" s="89"/>
      <c r="R40" s="36" t="str">
        <f>IF(Odds!G40="","",Odds!G40)</f>
        <v>Stevenage</v>
      </c>
      <c r="S40" s="37" t="str">
        <f>INDEX(Odds!H:H,MATCH(R40,Odds!G:G,0))</f>
        <v>17/20</v>
      </c>
      <c r="T40" s="41">
        <f t="shared" si="0"/>
        <v>0</v>
      </c>
      <c r="U40" s="21" t="str">
        <f>INDEX(Match!Q:Q,MATCH(P40,Match!V:V,0))</f>
        <v>Stevenage</v>
      </c>
      <c r="V40" s="21">
        <f>INDEX(Match!G:G,MATCH(P40,Match!V:V,0))</f>
        <v>2</v>
      </c>
      <c r="W40" s="21" t="str">
        <f>INDEX(Match!R:R,MATCH(P40,Match!V:V,0))</f>
        <v>Bradford</v>
      </c>
      <c r="X40" s="21">
        <f>INDEX(Match!H:H,MATCH(P40,Match!V:V,0))</f>
        <v>3</v>
      </c>
      <c r="AB40" s="583" t="str">
        <f>IF(O40="","",INDEX(Odds!H:H,MATCH(O40,Odds!G:G,0)))</f>
        <v/>
      </c>
      <c r="AC40" s="604">
        <f>IF(J40="","",INDEX(Odds!K:K,MATCH(J40,Odds!G:G,0)))</f>
        <v>1</v>
      </c>
      <c r="AD40" s="70" t="s">
        <v>371</v>
      </c>
      <c r="AE40" s="73">
        <f>INDEX(Picks!F:F,MATCH(AD40,Picks!A:A,0))</f>
        <v>-4.625</v>
      </c>
      <c r="AF40" s="437">
        <f>INDEX(Weekly!I:I,MATCH(AD40,Weekly!E:E,0))</f>
        <v>1</v>
      </c>
      <c r="AG40" s="70">
        <f>IF(AE40=-10,"",_xlfn.RANK.EQ(AE40,TopScores,0))</f>
        <v>37</v>
      </c>
      <c r="AI40" s="70" t="s">
        <v>295</v>
      </c>
      <c r="AJ40" s="73">
        <f>INDEX(Picks!G:G,MATCH(AI40,Picks!A:A,0))</f>
        <v>24.40625</v>
      </c>
      <c r="AK40" s="437">
        <f>INDEX(Weekly!I:I,MATCH(AI40,Weekly!E:E,0))</f>
        <v>3</v>
      </c>
      <c r="AL40" s="70">
        <f>IF(AJ40="","",_xlfn.RANK.EQ(AJ40,TopMaxScores,0))</f>
        <v>34</v>
      </c>
    </row>
    <row r="41" spans="1:38" ht="13.9" thickTop="1" thickBot="1">
      <c r="A41" s="440" t="str">
        <f>Results!B41</f>
        <v>Chris Bow</v>
      </c>
      <c r="B41" s="456" t="str">
        <f t="shared" si="1"/>
        <v>Luton</v>
      </c>
      <c r="C41" s="516">
        <f>IF(J41="","",INDEX(Odds!C:C,MATCH(J41,Odds!G:G,0)))</f>
        <v>7</v>
      </c>
      <c r="D41" s="441">
        <f t="shared" si="2"/>
        <v>3.25</v>
      </c>
      <c r="E41" s="459" t="str">
        <f t="shared" si="3"/>
        <v>x</v>
      </c>
      <c r="F41" s="382">
        <f>IF(J41="",-10,INDEX(Results!T:T,MATCH(A41,Results!V:V,0)))</f>
        <v>-7</v>
      </c>
      <c r="G41" s="189">
        <f>IF(J41="","",INDEX(Results!AI:AI,MATCH(A41,Results!V:V,0)))</f>
        <v>34.075000000000003</v>
      </c>
      <c r="H41" s="207">
        <f>IF(G41="",0,1)</f>
        <v>1</v>
      </c>
      <c r="I41" s="379">
        <f>INDEX(Picks!AG:AG,MATCH(A41,Picks!AD:AD,0))</f>
        <v>50</v>
      </c>
      <c r="J41" s="442" t="s">
        <v>554</v>
      </c>
      <c r="K41" s="190" t="str">
        <f>INDEX(Odds!H:H,MATCH(J41,Odds!G:G,0))</f>
        <v>9/4</v>
      </c>
      <c r="L41" s="443">
        <f>INDEX(Odds!I:I,MATCH(J41,Odds!G:G,0))</f>
        <v>3.25</v>
      </c>
      <c r="M41" s="457">
        <f>INDEX(Odds!J:J,MATCH(J41,Odds!G:G,0))</f>
        <v>0</v>
      </c>
      <c r="N41" s="445">
        <f t="shared" si="4"/>
        <v>0</v>
      </c>
      <c r="O41" s="577"/>
      <c r="P41" s="574" t="str">
        <f>IF(Match!B41="","",Match!V41)</f>
        <v xml:space="preserve">Swindon 0-2 Doncaster </v>
      </c>
      <c r="Q41" s="89"/>
      <c r="R41" s="36" t="str">
        <f>IF(Odds!G41="","",Odds!G41)</f>
        <v>Swindon</v>
      </c>
      <c r="S41" s="37" t="str">
        <f>INDEX(Odds!H:H,MATCH(R41,Odds!G:G,0))</f>
        <v>11/10</v>
      </c>
      <c r="T41" s="41">
        <f t="shared" si="0"/>
        <v>0</v>
      </c>
      <c r="U41" s="21" t="str">
        <f>INDEX(Match!Q:Q,MATCH(P41,Match!V:V,0))</f>
        <v>Swindon</v>
      </c>
      <c r="V41" s="21">
        <f>INDEX(Match!G:G,MATCH(P41,Match!V:V,0))</f>
        <v>0</v>
      </c>
      <c r="W41" s="21" t="str">
        <f>INDEX(Match!R:R,MATCH(P41,Match!V:V,0))</f>
        <v>Doncaster</v>
      </c>
      <c r="X41" s="21">
        <f>INDEX(Match!H:H,MATCH(P41,Match!V:V,0))</f>
        <v>2</v>
      </c>
      <c r="AB41" s="582" t="str">
        <f>IF(O41="","",INDEX(Odds!H:H,MATCH(O41,Odds!G:G,0)))</f>
        <v/>
      </c>
      <c r="AC41" s="604">
        <f>IF(J41="","",INDEX(Odds!K:K,MATCH(J41,Odds!G:G,0)))</f>
        <v>1</v>
      </c>
      <c r="AD41" s="70" t="s">
        <v>527</v>
      </c>
      <c r="AE41" s="73">
        <f>INDEX(Picks!F:F,MATCH(AD41,Picks!A:A,0))</f>
        <v>-4.7</v>
      </c>
      <c r="AF41" s="437">
        <f>INDEX(Weekly!I:I,MATCH(AD41,Weekly!E:E,0))</f>
        <v>1</v>
      </c>
      <c r="AG41" s="70">
        <f>IF(AE41=-10,"",_xlfn.RANK.EQ(AE41,TopScores,0))</f>
        <v>40</v>
      </c>
      <c r="AI41" s="72" t="s">
        <v>375</v>
      </c>
      <c r="AJ41" s="73">
        <f>INDEX(Picks!G:G,MATCH(AI41,Picks!A:A,0))</f>
        <v>24.3984375</v>
      </c>
      <c r="AK41" s="437">
        <f>INDEX(Weekly!I:I,MATCH(AI41,Weekly!E:E,0))</f>
        <v>2</v>
      </c>
      <c r="AL41" s="70">
        <f>IF(AJ41="","",_xlfn.RANK.EQ(AJ41,TopMaxScores,0))</f>
        <v>35</v>
      </c>
    </row>
    <row r="42" spans="1:38">
      <c r="A42" s="644" t="str">
        <f>A41</f>
        <v>Chris Bow</v>
      </c>
      <c r="B42" s="446" t="str">
        <f t="shared" si="1"/>
        <v>Stoke</v>
      </c>
      <c r="C42" s="516">
        <f>IF(J42="","",INDEX(Odds!C:C,MATCH(J42,Odds!G:G,0)))</f>
        <v>7</v>
      </c>
      <c r="D42" s="447">
        <f t="shared" si="2"/>
        <v>2</v>
      </c>
      <c r="E42" s="460" t="str">
        <f t="shared" si="3"/>
        <v>x</v>
      </c>
      <c r="F42" s="448"/>
      <c r="G42" s="449"/>
      <c r="H42" s="207"/>
      <c r="I42" s="380"/>
      <c r="J42" s="442" t="s">
        <v>540</v>
      </c>
      <c r="K42" s="191" t="str">
        <f>INDEX(Odds!H:H,MATCH(J42,Odds!G:G,0))</f>
        <v>1/1</v>
      </c>
      <c r="L42" s="450">
        <f>INDEX(Odds!I:I,MATCH(J42,Odds!G:G,0))</f>
        <v>2</v>
      </c>
      <c r="M42" s="444">
        <f>INDEX(Odds!J:J,MATCH(J42,Odds!G:G,0))</f>
        <v>0</v>
      </c>
      <c r="N42" s="445">
        <f t="shared" si="4"/>
        <v>0</v>
      </c>
      <c r="O42" s="577"/>
      <c r="P42" s="574" t="str">
        <f>IF(Match!B42="","",Match!V42)</f>
        <v xml:space="preserve">Tranmere 1-0 Salford </v>
      </c>
      <c r="Q42" s="89"/>
      <c r="R42" s="36" t="str">
        <f>IF(Odds!G42="","",Odds!G42)</f>
        <v>Tranmere</v>
      </c>
      <c r="S42" s="37" t="str">
        <f>INDEX(Odds!H:H,MATCH(R42,Odds!G:G,0))</f>
        <v>7/5</v>
      </c>
      <c r="T42" s="41">
        <f t="shared" si="0"/>
        <v>1</v>
      </c>
      <c r="U42" s="21" t="str">
        <f>INDEX(Match!Q:Q,MATCH(P42,Match!V:V,0))</f>
        <v>Tranmere</v>
      </c>
      <c r="V42" s="21">
        <f>INDEX(Match!G:G,MATCH(P42,Match!V:V,0))</f>
        <v>1</v>
      </c>
      <c r="W42" s="21" t="str">
        <f>INDEX(Match!R:R,MATCH(P42,Match!V:V,0))</f>
        <v>Salford</v>
      </c>
      <c r="X42" s="21">
        <f>INDEX(Match!H:H,MATCH(P42,Match!V:V,0))</f>
        <v>0</v>
      </c>
      <c r="AB42" s="582" t="str">
        <f>IF(O42="","",INDEX(Odds!H:H,MATCH(O42,Odds!G:G,0)))</f>
        <v/>
      </c>
      <c r="AC42" s="604">
        <f>IF(J42="","",INDEX(Odds!K:K,MATCH(J42,Odds!G:G,0)))</f>
        <v>1</v>
      </c>
      <c r="AD42" s="70" t="s">
        <v>282</v>
      </c>
      <c r="AE42" s="73">
        <f>INDEX(Picks!F:F,MATCH(AD42,Picks!A:A,0))</f>
        <v>-4.75</v>
      </c>
      <c r="AF42" s="437">
        <f>INDEX(Weekly!I:I,MATCH(AD42,Weekly!E:E,0))</f>
        <v>1</v>
      </c>
      <c r="AG42" s="70">
        <f>IF(AE42=-10,"",_xlfn.RANK.EQ(AE42,TopScores,0))</f>
        <v>41</v>
      </c>
      <c r="AI42" s="72" t="s">
        <v>368</v>
      </c>
      <c r="AJ42" s="73">
        <f>INDEX(Picks!G:G,MATCH(AI42,Picks!A:A,0))</f>
        <v>24.287499999999998</v>
      </c>
      <c r="AK42" s="437">
        <f>INDEX(Weekly!I:I,MATCH(AI42,Weekly!E:E,0))</f>
        <v>2</v>
      </c>
      <c r="AL42" s="70">
        <f>IF(AJ42="","",_xlfn.RANK.EQ(AJ42,TopMaxScores,0))</f>
        <v>36</v>
      </c>
    </row>
    <row r="43" spans="1:38" ht="13.5" thickBot="1">
      <c r="A43" s="645" t="str">
        <f>A41</f>
        <v>Chris Bow</v>
      </c>
      <c r="B43" s="451" t="str">
        <f t="shared" si="1"/>
        <v>Derby</v>
      </c>
      <c r="C43" s="517">
        <f>IF(J43="","",INDEX(Odds!C:C,MATCH(J43,Odds!G:G,0)))</f>
        <v>7</v>
      </c>
      <c r="D43" s="452">
        <f t="shared" si="2"/>
        <v>2.2999999999999998</v>
      </c>
      <c r="E43" s="460" t="str">
        <f t="shared" si="3"/>
        <v>x</v>
      </c>
      <c r="F43" s="448"/>
      <c r="G43" s="449"/>
      <c r="H43" s="207"/>
      <c r="I43" s="380"/>
      <c r="J43" s="453" t="s">
        <v>583</v>
      </c>
      <c r="K43" s="192" t="str">
        <f>INDEX(Odds!H:H,MATCH(J43,Odds!G:G,0))</f>
        <v>13/10</v>
      </c>
      <c r="L43" s="454">
        <f>INDEX(Odds!I:I,MATCH(J43,Odds!G:G,0))</f>
        <v>2.2999999999999998</v>
      </c>
      <c r="M43" s="444">
        <f>INDEX(Odds!J:J,MATCH(J43,Odds!G:G,0))</f>
        <v>0</v>
      </c>
      <c r="N43" s="455">
        <f t="shared" si="4"/>
        <v>0</v>
      </c>
      <c r="O43" s="578"/>
      <c r="P43" s="574" t="str">
        <f>IF(Match!B43="","",Match!V43)</f>
        <v xml:space="preserve">Walsall 1-1 Orient </v>
      </c>
      <c r="Q43" s="89"/>
      <c r="R43" s="36" t="str">
        <f>IF(Odds!G43="","",Odds!G43)</f>
        <v>Walsall</v>
      </c>
      <c r="S43" s="37" t="str">
        <f>INDEX(Odds!H:H,MATCH(R43,Odds!G:G,0))</f>
        <v>29/20</v>
      </c>
      <c r="T43" s="41">
        <f t="shared" si="0"/>
        <v>0</v>
      </c>
      <c r="U43" s="21" t="str">
        <f>INDEX(Match!Q:Q,MATCH(P43,Match!V:V,0))</f>
        <v>Walsall</v>
      </c>
      <c r="V43" s="21">
        <f>INDEX(Match!G:G,MATCH(P43,Match!V:V,0))</f>
        <v>1</v>
      </c>
      <c r="W43" s="21" t="str">
        <f>INDEX(Match!R:R,MATCH(P43,Match!V:V,0))</f>
        <v>Orient</v>
      </c>
      <c r="X43" s="21">
        <f>INDEX(Match!H:H,MATCH(P43,Match!V:V,0))</f>
        <v>1</v>
      </c>
      <c r="AB43" s="583" t="str">
        <f>IF(O43="","",INDEX(Odds!H:H,MATCH(O43,Odds!G:G,0)))</f>
        <v/>
      </c>
      <c r="AC43" s="604">
        <f>IF(J43="","",INDEX(Odds!K:K,MATCH(J43,Odds!G:G,0)))</f>
        <v>1</v>
      </c>
      <c r="AD43" s="70" t="s">
        <v>444</v>
      </c>
      <c r="AE43" s="73">
        <f>INDEX(Picks!F:F,MATCH(AD43,Picks!A:A,0))</f>
        <v>-4.75</v>
      </c>
      <c r="AF43" s="437">
        <f>INDEX(Weekly!I:I,MATCH(AD43,Weekly!E:E,0))</f>
        <v>1</v>
      </c>
      <c r="AG43" s="70">
        <f>IF(AE43=-10,"",_xlfn.RANK.EQ(AE43,TopScores,0))</f>
        <v>41</v>
      </c>
      <c r="AI43" s="70" t="s">
        <v>308</v>
      </c>
      <c r="AJ43" s="73">
        <f>INDEX(Picks!G:G,MATCH(AI43,Picks!A:A,0))</f>
        <v>24.145454545454545</v>
      </c>
      <c r="AK43" s="437">
        <f>INDEX(Weekly!I:I,MATCH(AI43,Weekly!E:E,0))</f>
        <v>2</v>
      </c>
      <c r="AL43" s="70">
        <f>IF(AJ43="","",_xlfn.RANK.EQ(AJ43,TopMaxScores,0))</f>
        <v>37</v>
      </c>
    </row>
    <row r="44" spans="1:38" ht="13.9" thickTop="1" thickBot="1">
      <c r="A44" s="440" t="str">
        <f>Results!B44</f>
        <v>Chris Griffin</v>
      </c>
      <c r="B44" s="456" t="str">
        <f t="shared" si="1"/>
        <v>Sunderland</v>
      </c>
      <c r="C44" s="516">
        <f>IF(J44="","",INDEX(Odds!C:C,MATCH(J44,Odds!G:G,0)))</f>
        <v>7</v>
      </c>
      <c r="D44" s="441">
        <f t="shared" si="2"/>
        <v>1.9090909090909092</v>
      </c>
      <c r="E44" s="459" t="str">
        <f t="shared" si="3"/>
        <v>√</v>
      </c>
      <c r="F44" s="382">
        <f>IF(J44="",-10,INDEX(Results!T:T,MATCH(A44,Results!V:V,0)))</f>
        <v>8.1616161616161627</v>
      </c>
      <c r="G44" s="189">
        <f>IF(J44="","",INDEX(Results!AI:AI,MATCH(A44,Results!V:V,0)))</f>
        <v>8.1616161616161627</v>
      </c>
      <c r="H44" s="207">
        <f>IF(G44="",0,1)</f>
        <v>1</v>
      </c>
      <c r="I44" s="379">
        <f>INDEX(Picks!AG:AG,MATCH(A44,Picks!AD:AD,0))</f>
        <v>10</v>
      </c>
      <c r="J44" s="442" t="s">
        <v>172</v>
      </c>
      <c r="K44" s="190" t="str">
        <f>INDEX(Odds!H:H,MATCH(J44,Odds!G:G,0))</f>
        <v>10/11</v>
      </c>
      <c r="L44" s="443">
        <f>INDEX(Odds!I:I,MATCH(J44,Odds!G:G,0))</f>
        <v>1.9090909090909092</v>
      </c>
      <c r="M44" s="457">
        <f>INDEX(Odds!J:J,MATCH(J44,Odds!G:G,0))</f>
        <v>1</v>
      </c>
      <c r="N44" s="445">
        <f t="shared" si="4"/>
        <v>1.9090909090909092</v>
      </c>
      <c r="O44" s="577"/>
      <c r="P44" s="574" t="str">
        <f>IF(Match!B44="","",Match!V44)</f>
        <v xml:space="preserve">Wimbledon 0-0 Carlisle </v>
      </c>
      <c r="Q44" s="89"/>
      <c r="R44" s="36" t="str">
        <f>IF(Odds!G44="","",Odds!G44)</f>
        <v>Wimbledon</v>
      </c>
      <c r="S44" s="37" t="str">
        <f>INDEX(Odds!H:H,MATCH(R44,Odds!G:G,0))</f>
        <v>15/8</v>
      </c>
      <c r="T44" s="41">
        <f t="shared" si="0"/>
        <v>0</v>
      </c>
      <c r="U44" s="21" t="str">
        <f>INDEX(Match!Q:Q,MATCH(P44,Match!V:V,0))</f>
        <v>Wimbledon</v>
      </c>
      <c r="V44" s="21">
        <f>INDEX(Match!G:G,MATCH(P44,Match!V:V,0))</f>
        <v>0</v>
      </c>
      <c r="W44" s="21" t="str">
        <f>INDEX(Match!R:R,MATCH(P44,Match!V:V,0))</f>
        <v>Carlisle</v>
      </c>
      <c r="X44" s="21">
        <f>INDEX(Match!H:H,MATCH(P44,Match!V:V,0))</f>
        <v>0</v>
      </c>
      <c r="AB44" s="582" t="str">
        <f>IF(O44="","",INDEX(Odds!H:H,MATCH(O44,Odds!G:G,0)))</f>
        <v/>
      </c>
      <c r="AC44" s="604">
        <f>IF(J44="","",INDEX(Odds!K:K,MATCH(J44,Odds!G:G,0)))</f>
        <v>1</v>
      </c>
      <c r="AD44" s="70" t="s">
        <v>298</v>
      </c>
      <c r="AE44" s="73">
        <f>INDEX(Picks!F:F,MATCH(AD44,Picks!A:A,0))</f>
        <v>-4.75</v>
      </c>
      <c r="AF44" s="437">
        <f>INDEX(Weekly!I:I,MATCH(AD44,Weekly!E:E,0))</f>
        <v>1</v>
      </c>
      <c r="AG44" s="70">
        <f>IF(AE44=-10,"",_xlfn.RANK.EQ(AE44,TopScores,0))</f>
        <v>41</v>
      </c>
      <c r="AI44" s="72" t="s">
        <v>302</v>
      </c>
      <c r="AJ44" s="73">
        <f>INDEX(Picks!G:G,MATCH(AI44,Picks!A:A,0))</f>
        <v>23.839583333333337</v>
      </c>
      <c r="AK44" s="437">
        <f>INDEX(Weekly!I:I,MATCH(AI44,Weekly!E:E,0))</f>
        <v>2</v>
      </c>
      <c r="AL44" s="70">
        <f>IF(AJ44="","",_xlfn.RANK.EQ(AJ44,TopMaxScores,0))</f>
        <v>38</v>
      </c>
    </row>
    <row r="45" spans="1:38">
      <c r="A45" s="644" t="str">
        <f>A44</f>
        <v>Chris Griffin</v>
      </c>
      <c r="B45" s="446" t="str">
        <f t="shared" si="1"/>
        <v>Barnsley</v>
      </c>
      <c r="C45" s="516">
        <f>IF(J45="","",INDEX(Odds!C:C,MATCH(J45,Odds!G:G,0)))</f>
        <v>7</v>
      </c>
      <c r="D45" s="447">
        <f t="shared" si="2"/>
        <v>1.5</v>
      </c>
      <c r="E45" s="460" t="str">
        <f t="shared" si="3"/>
        <v>√</v>
      </c>
      <c r="F45" s="448"/>
      <c r="G45" s="449"/>
      <c r="H45" s="207"/>
      <c r="I45" s="380"/>
      <c r="J45" s="442" t="s">
        <v>584</v>
      </c>
      <c r="K45" s="191" t="str">
        <f>INDEX(Odds!H:H,MATCH(J45,Odds!G:G,0))</f>
        <v>1/2</v>
      </c>
      <c r="L45" s="450">
        <f>INDEX(Odds!I:I,MATCH(J45,Odds!G:G,0))</f>
        <v>1.5</v>
      </c>
      <c r="M45" s="444">
        <f>INDEX(Odds!J:J,MATCH(J45,Odds!G:G,0))</f>
        <v>1</v>
      </c>
      <c r="N45" s="445">
        <f t="shared" si="4"/>
        <v>1.5</v>
      </c>
      <c r="O45" s="577"/>
      <c r="P45" s="574" t="str">
        <f>IF(Match!B45="","",Match!V45)</f>
        <v xml:space="preserve">Leeds 0-2 Man U </v>
      </c>
      <c r="Q45" s="89"/>
      <c r="R45" s="36" t="str">
        <f>IF(Odds!G45="","",Odds!G45)</f>
        <v>Leeds</v>
      </c>
      <c r="S45" s="37" t="str">
        <f>INDEX(Odds!H:H,MATCH(R45,Odds!G:G,0))</f>
        <v>10/3</v>
      </c>
      <c r="T45" s="41">
        <f t="shared" si="0"/>
        <v>0</v>
      </c>
      <c r="U45" s="21" t="str">
        <f>INDEX(Match!Q:Q,MATCH(P45,Match!V:V,0))</f>
        <v>Leeds</v>
      </c>
      <c r="V45" s="21">
        <f>INDEX(Match!G:G,MATCH(P45,Match!V:V,0))</f>
        <v>0</v>
      </c>
      <c r="W45" s="21" t="str">
        <f>INDEX(Match!R:R,MATCH(P45,Match!V:V,0))</f>
        <v>Man U</v>
      </c>
      <c r="X45" s="21">
        <f>INDEX(Match!H:H,MATCH(P45,Match!V:V,0))</f>
        <v>2</v>
      </c>
      <c r="AB45" s="582" t="str">
        <f>IF(O45="","",INDEX(Odds!H:H,MATCH(O45,Odds!G:G,0)))</f>
        <v/>
      </c>
      <c r="AC45" s="604">
        <f>IF(J45="","",INDEX(Odds!K:K,MATCH(J45,Odds!G:G,0)))</f>
        <v>1</v>
      </c>
      <c r="AD45" s="70" t="s">
        <v>374</v>
      </c>
      <c r="AE45" s="73">
        <f>INDEX(Picks!F:F,MATCH(AD45,Picks!A:A,0))</f>
        <v>-4.8499999999999996</v>
      </c>
      <c r="AF45" s="437">
        <f>INDEX(Weekly!I:I,MATCH(AD45,Weekly!E:E,0))</f>
        <v>1</v>
      </c>
      <c r="AG45" s="70">
        <f>IF(AE45=-10,"",_xlfn.RANK.EQ(AE45,TopScores,0))</f>
        <v>44</v>
      </c>
      <c r="AI45" s="72" t="s">
        <v>369</v>
      </c>
      <c r="AJ45" s="73">
        <f>INDEX(Picks!G:G,MATCH(AI45,Picks!A:A,0))</f>
        <v>23.71875</v>
      </c>
      <c r="AK45" s="437">
        <f>INDEX(Weekly!I:I,MATCH(AI45,Weekly!E:E,0))</f>
        <v>2</v>
      </c>
      <c r="AL45" s="70">
        <f>IF(AJ45="","",_xlfn.RANK.EQ(AJ45,TopMaxScores,0))</f>
        <v>39</v>
      </c>
    </row>
    <row r="46" spans="1:38" ht="13.5" thickBot="1">
      <c r="A46" s="645" t="str">
        <f>A44</f>
        <v>Chris Griffin</v>
      </c>
      <c r="B46" s="451" t="str">
        <f t="shared" si="1"/>
        <v>Man C</v>
      </c>
      <c r="C46" s="517">
        <f>IF(J46="","",INDEX(Odds!C:C,MATCH(J46,Odds!G:G,0)))</f>
        <v>1</v>
      </c>
      <c r="D46" s="452">
        <f t="shared" si="2"/>
        <v>1.2222222222222223</v>
      </c>
      <c r="E46" s="460" t="str">
        <f t="shared" si="3"/>
        <v>√</v>
      </c>
      <c r="F46" s="448"/>
      <c r="G46" s="449"/>
      <c r="H46" s="207"/>
      <c r="I46" s="380"/>
      <c r="J46" s="453" t="s">
        <v>630</v>
      </c>
      <c r="K46" s="192" t="str">
        <f>INDEX(Odds!H:H,MATCH(J46,Odds!G:G,0))</f>
        <v>2/9</v>
      </c>
      <c r="L46" s="454">
        <f>INDEX(Odds!I:I,MATCH(J46,Odds!G:G,0))</f>
        <v>1.2222222222222223</v>
      </c>
      <c r="M46" s="444">
        <f>INDEX(Odds!J:J,MATCH(J46,Odds!G:G,0))</f>
        <v>1</v>
      </c>
      <c r="N46" s="455">
        <f t="shared" si="4"/>
        <v>1.2222222222222223</v>
      </c>
      <c r="O46" s="578"/>
      <c r="P46" s="574" t="str">
        <f>IF(Match!B46="","",Match!V46)</f>
        <v xml:space="preserve">Man C 3-1 Villa </v>
      </c>
      <c r="Q46" s="89"/>
      <c r="R46" s="36" t="str">
        <f>IF(Odds!G46="","",Odds!G46)</f>
        <v>Man C</v>
      </c>
      <c r="S46" s="37" t="str">
        <f>INDEX(Odds!H:H,MATCH(R46,Odds!G:G,0))</f>
        <v>2/9</v>
      </c>
      <c r="T46" s="41">
        <f t="shared" si="0"/>
        <v>1</v>
      </c>
      <c r="U46" s="21" t="str">
        <f>INDEX(Match!Q:Q,MATCH(P46,Match!V:V,0))</f>
        <v>Man C</v>
      </c>
      <c r="V46" s="21">
        <f>INDEX(Match!G:G,MATCH(P46,Match!V:V,0))</f>
        <v>3</v>
      </c>
      <c r="W46" s="21" t="str">
        <f>INDEX(Match!R:R,MATCH(P46,Match!V:V,0))</f>
        <v>Villa</v>
      </c>
      <c r="X46" s="21">
        <f>INDEX(Match!H:H,MATCH(P46,Match!V:V,0))</f>
        <v>1</v>
      </c>
      <c r="AB46" s="583" t="str">
        <f>IF(O46="","",INDEX(Odds!H:H,MATCH(O46,Odds!G:G,0)))</f>
        <v/>
      </c>
      <c r="AC46" s="604">
        <f>IF(J46="","",INDEX(Odds!K:K,MATCH(J46,Odds!G:G,0)))</f>
        <v>1</v>
      </c>
      <c r="AD46" s="70" t="s">
        <v>314</v>
      </c>
      <c r="AE46" s="73">
        <f>INDEX(Picks!F:F,MATCH(AD46,Picks!A:A,0))</f>
        <v>-4.8499999999999996</v>
      </c>
      <c r="AF46" s="437">
        <f>INDEX(Weekly!I:I,MATCH(AD46,Weekly!E:E,0))</f>
        <v>1</v>
      </c>
      <c r="AG46" s="70">
        <f>IF(AE46=-10,"",_xlfn.RANK.EQ(AE46,TopScores,0))</f>
        <v>44</v>
      </c>
      <c r="AI46" s="72" t="s">
        <v>280</v>
      </c>
      <c r="AJ46" s="73">
        <f>INDEX(Picks!G:G,MATCH(AI46,Picks!A:A,0))</f>
        <v>23.224374999999995</v>
      </c>
      <c r="AK46" s="437">
        <f>INDEX(Weekly!I:I,MATCH(AI46,Weekly!E:E,0))</f>
        <v>2</v>
      </c>
      <c r="AL46" s="70">
        <f>IF(AJ46="","",_xlfn.RANK.EQ(AJ46,TopMaxScores,0))</f>
        <v>40</v>
      </c>
    </row>
    <row r="47" spans="1:38" ht="13.9" thickTop="1" thickBot="1">
      <c r="A47" s="440" t="str">
        <f>Results!B47</f>
        <v>Chris Luck</v>
      </c>
      <c r="B47" s="456" t="str">
        <f t="shared" si="1"/>
        <v>Blackpool</v>
      </c>
      <c r="C47" s="516">
        <f>IF(J47="","",INDEX(Odds!C:C,MATCH(J47,Odds!G:G,0)))</f>
        <v>7</v>
      </c>
      <c r="D47" s="441">
        <f t="shared" si="2"/>
        <v>2.15</v>
      </c>
      <c r="E47" s="459" t="str">
        <f t="shared" si="3"/>
        <v>x</v>
      </c>
      <c r="F47" s="382">
        <f>IF(J47="",-10,INDEX(Results!T:T,MATCH(A47,Results!V:V,0)))</f>
        <v>-4.8499999999999996</v>
      </c>
      <c r="G47" s="189">
        <f>IF(J47="","",INDEX(Results!AI:AI,MATCH(A47,Results!V:V,0)))</f>
        <v>24.744249999999994</v>
      </c>
      <c r="H47" s="207">
        <f>IF(G47="",0,1)</f>
        <v>1</v>
      </c>
      <c r="I47" s="379">
        <f>INDEX(Picks!AG:AG,MATCH(A47,Picks!AD:AD,0))</f>
        <v>44</v>
      </c>
      <c r="J47" s="442" t="s">
        <v>539</v>
      </c>
      <c r="K47" s="190" t="str">
        <f>INDEX(Odds!H:H,MATCH(J47,Odds!G:G,0))</f>
        <v>23/20</v>
      </c>
      <c r="L47" s="443">
        <f>INDEX(Odds!I:I,MATCH(J47,Odds!G:G,0))</f>
        <v>2.15</v>
      </c>
      <c r="M47" s="457">
        <f>INDEX(Odds!J:J,MATCH(J47,Odds!G:G,0))</f>
        <v>0</v>
      </c>
      <c r="N47" s="445">
        <f t="shared" si="4"/>
        <v>0</v>
      </c>
      <c r="O47" s="577"/>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2" t="str">
        <f>IF(O47="","",INDEX(Odds!H:H,MATCH(O47,Odds!G:G,0)))</f>
        <v/>
      </c>
      <c r="AC47" s="604">
        <f>IF(J47="","",INDEX(Odds!K:K,MATCH(J47,Odds!G:G,0)))</f>
        <v>1</v>
      </c>
      <c r="AD47" s="70" t="s">
        <v>287</v>
      </c>
      <c r="AE47" s="73">
        <f>INDEX(Picks!F:F,MATCH(AD47,Picks!A:A,0))</f>
        <v>-5.05</v>
      </c>
      <c r="AF47" s="437">
        <f>INDEX(Weekly!I:I,MATCH(AD47,Weekly!E:E,0))</f>
        <v>1</v>
      </c>
      <c r="AG47" s="70">
        <f>IF(AE47=-10,"",_xlfn.RANK.EQ(AE47,TopScores,0))</f>
        <v>46</v>
      </c>
      <c r="AI47" s="72" t="s">
        <v>284</v>
      </c>
      <c r="AJ47" s="73">
        <f>INDEX(Picks!G:G,MATCH(AI47,Picks!A:A,0))</f>
        <v>22.375</v>
      </c>
      <c r="AK47" s="437">
        <f>INDEX(Weekly!I:I,MATCH(AI47,Weekly!E:E,0))</f>
        <v>1</v>
      </c>
      <c r="AL47" s="70">
        <f>IF(AJ47="","",_xlfn.RANK.EQ(AJ47,TopMaxScores,0))</f>
        <v>41</v>
      </c>
    </row>
    <row r="48" spans="1:38">
      <c r="A48" s="644" t="str">
        <f>A47</f>
        <v>Chris Luck</v>
      </c>
      <c r="B48" s="446" t="str">
        <f t="shared" si="1"/>
        <v>Norwich</v>
      </c>
      <c r="C48" s="516">
        <f>IF(J48="","",INDEX(Odds!C:C,MATCH(J48,Odds!G:G,0)))</f>
        <v>7</v>
      </c>
      <c r="D48" s="447">
        <f t="shared" si="2"/>
        <v>2.2999999999999998</v>
      </c>
      <c r="E48" s="460" t="str">
        <f t="shared" si="3"/>
        <v>x</v>
      </c>
      <c r="F48" s="448"/>
      <c r="G48" s="449"/>
      <c r="H48" s="207"/>
      <c r="I48" s="380"/>
      <c r="J48" s="442" t="s">
        <v>598</v>
      </c>
      <c r="K48" s="191" t="str">
        <f>INDEX(Odds!H:H,MATCH(J48,Odds!G:G,0))</f>
        <v>13/10</v>
      </c>
      <c r="L48" s="450">
        <f>INDEX(Odds!I:I,MATCH(J48,Odds!G:G,0))</f>
        <v>2.2999999999999998</v>
      </c>
      <c r="M48" s="444">
        <f>INDEX(Odds!J:J,MATCH(J48,Odds!G:G,0))</f>
        <v>0</v>
      </c>
      <c r="N48" s="445">
        <f t="shared" si="4"/>
        <v>0</v>
      </c>
      <c r="O48" s="577"/>
      <c r="P48" s="59"/>
      <c r="R48" s="36" t="str">
        <f>IF(Odds!G48="","",Odds!G48)</f>
        <v>Birmingham draw</v>
      </c>
      <c r="S48" s="37" t="str">
        <f>INDEX(Odds!H:H,MATCH(R48,Odds!G:G,0))</f>
        <v>9/4</v>
      </c>
      <c r="T48" s="41">
        <f t="shared" ref="T48:T93" si="5">IF(V2=X2,1,0)</f>
        <v>0</v>
      </c>
      <c r="AB48" s="582" t="str">
        <f>IF(O48="","",INDEX(Odds!H:H,MATCH(O48,Odds!G:G,0)))</f>
        <v/>
      </c>
      <c r="AC48" s="604">
        <f>IF(J48="","",INDEX(Odds!K:K,MATCH(J48,Odds!G:G,0)))</f>
        <v>1</v>
      </c>
      <c r="AD48" s="70" t="s">
        <v>443</v>
      </c>
      <c r="AE48" s="73">
        <f>INDEX(Picks!F:F,MATCH(AD48,Picks!A:A,0))</f>
        <v>-5.2</v>
      </c>
      <c r="AF48" s="437">
        <f>INDEX(Weekly!I:I,MATCH(AD48,Weekly!E:E,0))</f>
        <v>1</v>
      </c>
      <c r="AG48" s="70">
        <f>IF(AE48=-10,"",_xlfn.RANK.EQ(AE48,TopScores,0))</f>
        <v>47</v>
      </c>
      <c r="AI48" s="72" t="s">
        <v>298</v>
      </c>
      <c r="AJ48" s="73">
        <f>INDEX(Picks!G:G,MATCH(AI48,Picks!A:A,0))</f>
        <v>22.224999999999998</v>
      </c>
      <c r="AK48" s="437">
        <f>INDEX(Weekly!I:I,MATCH(AI48,Weekly!E:E,0))</f>
        <v>1</v>
      </c>
      <c r="AL48" s="70">
        <f>IF(AJ48="","",_xlfn.RANK.EQ(AJ48,TopMaxScores,0))</f>
        <v>42</v>
      </c>
    </row>
    <row r="49" spans="1:38" ht="13.5" thickBot="1">
      <c r="A49" s="645" t="str">
        <f>A47</f>
        <v>Chris Luck</v>
      </c>
      <c r="B49" s="451" t="str">
        <f t="shared" si="1"/>
        <v>Middlesbro</v>
      </c>
      <c r="C49" s="517">
        <f>IF(J49="","",INDEX(Odds!C:C,MATCH(J49,Odds!G:G,0)))</f>
        <v>7</v>
      </c>
      <c r="D49" s="452">
        <f t="shared" si="2"/>
        <v>2.15</v>
      </c>
      <c r="E49" s="460" t="str">
        <f t="shared" si="3"/>
        <v>√</v>
      </c>
      <c r="F49" s="448"/>
      <c r="G49" s="449"/>
      <c r="H49" s="207"/>
      <c r="I49" s="380"/>
      <c r="J49" s="453" t="s">
        <v>534</v>
      </c>
      <c r="K49" s="192" t="str">
        <f>INDEX(Odds!H:H,MATCH(J49,Odds!G:G,0))</f>
        <v>23/20</v>
      </c>
      <c r="L49" s="454">
        <f>INDEX(Odds!I:I,MATCH(J49,Odds!G:G,0))</f>
        <v>2.15</v>
      </c>
      <c r="M49" s="444">
        <f>INDEX(Odds!J:J,MATCH(J49,Odds!G:G,0))</f>
        <v>1</v>
      </c>
      <c r="N49" s="455">
        <f t="shared" si="4"/>
        <v>2.15</v>
      </c>
      <c r="O49" s="578"/>
      <c r="P49" s="59"/>
      <c r="R49" s="36" t="str">
        <f>IF(Odds!G49="","",Odds!G49)</f>
        <v>Arsenal draw</v>
      </c>
      <c r="S49" s="37" t="str">
        <f>INDEX(Odds!H:H,MATCH(R49,Odds!G:G,0))</f>
        <v>15/4</v>
      </c>
      <c r="T49" s="41">
        <f t="shared" si="5"/>
        <v>1</v>
      </c>
      <c r="AB49" s="583" t="str">
        <f>IF(O49="","",INDEX(Odds!H:H,MATCH(O49,Odds!G:G,0)))</f>
        <v/>
      </c>
      <c r="AC49" s="604">
        <f>IF(J49="","",INDEX(Odds!K:K,MATCH(J49,Odds!G:G,0)))</f>
        <v>1</v>
      </c>
      <c r="AD49" s="70" t="s">
        <v>307</v>
      </c>
      <c r="AE49" s="73">
        <f>INDEX(Picks!F:F,MATCH(AD49,Picks!A:A,0))</f>
        <v>-5.25</v>
      </c>
      <c r="AF49" s="437">
        <f>INDEX(Weekly!I:I,MATCH(AD49,Weekly!E:E,0))</f>
        <v>1</v>
      </c>
      <c r="AG49" s="70">
        <f>IF(AE49=-10,"",_xlfn.RANK.EQ(AE49,TopScores,0))</f>
        <v>48</v>
      </c>
      <c r="AI49" s="70" t="s">
        <v>372</v>
      </c>
      <c r="AJ49" s="73">
        <f>INDEX(Picks!G:G,MATCH(AI49,Picks!A:A,0))</f>
        <v>21.736000000000001</v>
      </c>
      <c r="AK49" s="437">
        <f>INDEX(Weekly!I:I,MATCH(AI49,Weekly!E:E,0))</f>
        <v>2</v>
      </c>
      <c r="AL49" s="70">
        <f>IF(AJ49="","",_xlfn.RANK.EQ(AJ49,TopMaxScores,0))</f>
        <v>43</v>
      </c>
    </row>
    <row r="50" spans="1:38" ht="13.9" thickTop="1" thickBot="1">
      <c r="A50" s="440" t="str">
        <f>Results!B50</f>
        <v>Chris Townsend</v>
      </c>
      <c r="B50" s="456" t="str">
        <f t="shared" si="1"/>
        <v>Fleetwood</v>
      </c>
      <c r="C50" s="516">
        <f>IF(J50="","",INDEX(Odds!C:C,MATCH(J50,Odds!G:G,0)))</f>
        <v>7</v>
      </c>
      <c r="D50" s="441">
        <f t="shared" si="2"/>
        <v>3.6</v>
      </c>
      <c r="E50" s="459" t="str">
        <f t="shared" si="3"/>
        <v>√</v>
      </c>
      <c r="F50" s="382">
        <f>IF(J50="",-10,INDEX(Results!T:T,MATCH(A50,Results!V:V,0)))</f>
        <v>-3.4</v>
      </c>
      <c r="G50" s="189">
        <f>IF(J50="","",INDEX(Results!AI:AI,MATCH(A50,Results!V:V,0)))</f>
        <v>81.056000000000012</v>
      </c>
      <c r="H50" s="207">
        <f>IF(G50="",0,1)</f>
        <v>1</v>
      </c>
      <c r="I50" s="379">
        <f>INDEX(Picks!AG:AG,MATCH(A50,Picks!AD:AD,0))</f>
        <v>33</v>
      </c>
      <c r="J50" s="442" t="s">
        <v>547</v>
      </c>
      <c r="K50" s="190" t="str">
        <f>INDEX(Odds!H:H,MATCH(J50,Odds!G:G,0))</f>
        <v>13/5</v>
      </c>
      <c r="L50" s="443">
        <f>INDEX(Odds!I:I,MATCH(J50,Odds!G:G,0))</f>
        <v>3.6</v>
      </c>
      <c r="M50" s="457">
        <f>INDEX(Odds!J:J,MATCH(J50,Odds!G:G,0))</f>
        <v>1</v>
      </c>
      <c r="N50" s="445">
        <f t="shared" si="4"/>
        <v>3.6</v>
      </c>
      <c r="O50" s="577"/>
      <c r="P50" s="59"/>
      <c r="Q50" s="59" t="s">
        <v>187</v>
      </c>
      <c r="R50" s="36" t="str">
        <f>IF(Odds!G50="","",Odds!G50)</f>
        <v>Bournemouth draw</v>
      </c>
      <c r="S50" s="37" t="str">
        <f>INDEX(Odds!H:H,MATCH(R50,Odds!G:G,0))</f>
        <v>3/1</v>
      </c>
      <c r="T50" s="41">
        <f t="shared" si="5"/>
        <v>1</v>
      </c>
      <c r="AB50" s="582" t="str">
        <f>IF(O50="","",INDEX(Odds!H:H,MATCH(O50,Odds!G:G,0)))</f>
        <v/>
      </c>
      <c r="AC50" s="604">
        <f>IF(J50="","",INDEX(Odds!K:K,MATCH(J50,Odds!G:G,0)))</f>
        <v>1</v>
      </c>
      <c r="AD50" s="70" t="s">
        <v>303</v>
      </c>
      <c r="AE50" s="73">
        <f>INDEX(Picks!F:F,MATCH(AD50,Picks!A:A,0))</f>
        <v>-5.7777777777777777</v>
      </c>
      <c r="AF50" s="437">
        <f>INDEX(Weekly!I:I,MATCH(AD50,Weekly!E:E,0))</f>
        <v>1</v>
      </c>
      <c r="AG50" s="70">
        <f>IF(AE50=-10,"",_xlfn.RANK.EQ(AE50,TopScores,0))</f>
        <v>49</v>
      </c>
      <c r="AI50" s="72" t="s">
        <v>309</v>
      </c>
      <c r="AJ50" s="73">
        <f>INDEX(Picks!G:G,MATCH(AI50,Picks!A:A,0))</f>
        <v>21.069999999999997</v>
      </c>
      <c r="AK50" s="437">
        <f>INDEX(Weekly!I:I,MATCH(AI50,Weekly!E:E,0))</f>
        <v>0</v>
      </c>
      <c r="AL50" s="70">
        <f>IF(AJ50="","",_xlfn.RANK.EQ(AJ50,TopMaxScores,0))</f>
        <v>44</v>
      </c>
    </row>
    <row r="51" spans="1:38">
      <c r="A51" s="644" t="str">
        <f>A50</f>
        <v>Chris Townsend</v>
      </c>
      <c r="B51" s="446" t="str">
        <f t="shared" si="1"/>
        <v>Sheff W</v>
      </c>
      <c r="C51" s="516">
        <f>IF(J51="","",INDEX(Odds!C:C,MATCH(J51,Odds!G:G,0)))</f>
        <v>7</v>
      </c>
      <c r="D51" s="447">
        <f t="shared" si="2"/>
        <v>3.4</v>
      </c>
      <c r="E51" s="460" t="str">
        <f t="shared" si="3"/>
        <v>x</v>
      </c>
      <c r="F51" s="448"/>
      <c r="G51" s="449"/>
      <c r="H51" s="207"/>
      <c r="I51" s="380"/>
      <c r="J51" s="442" t="s">
        <v>545</v>
      </c>
      <c r="K51" s="191" t="str">
        <f>INDEX(Odds!H:H,MATCH(J51,Odds!G:G,0))</f>
        <v>12/5</v>
      </c>
      <c r="L51" s="450">
        <f>INDEX(Odds!I:I,MATCH(J51,Odds!G:G,0))</f>
        <v>3.4</v>
      </c>
      <c r="M51" s="444">
        <f>INDEX(Odds!J:J,MATCH(J51,Odds!G:G,0))</f>
        <v>0</v>
      </c>
      <c r="N51" s="445">
        <f t="shared" si="4"/>
        <v>0</v>
      </c>
      <c r="O51" s="577"/>
      <c r="P51" s="59"/>
      <c r="R51" s="36" t="str">
        <f>IF(Odds!G51="","",Odds!G51)</f>
        <v>Fulham draw</v>
      </c>
      <c r="S51" s="37" t="str">
        <f>INDEX(Odds!H:H,MATCH(R51,Odds!G:G,0))</f>
        <v>12/5</v>
      </c>
      <c r="T51" s="41">
        <f t="shared" si="5"/>
        <v>0</v>
      </c>
      <c r="AB51" s="582" t="str">
        <f>IF(O51="","",INDEX(Odds!H:H,MATCH(O51,Odds!G:G,0)))</f>
        <v/>
      </c>
      <c r="AC51" s="604">
        <f>IF(J51="","",INDEX(Odds!K:K,MATCH(J51,Odds!G:G,0)))</f>
        <v>1</v>
      </c>
      <c r="AD51" s="70" t="s">
        <v>309</v>
      </c>
      <c r="AE51" s="73">
        <f>INDEX(Picks!F:F,MATCH(AD51,Picks!A:A,0))</f>
        <v>-7</v>
      </c>
      <c r="AF51" s="437">
        <f>INDEX(Weekly!I:I,MATCH(AD51,Weekly!E:E,0))</f>
        <v>0</v>
      </c>
      <c r="AG51" s="70">
        <f>IF(AE51=-10,"",_xlfn.RANK.EQ(AE51,TopScores,0))</f>
        <v>50</v>
      </c>
      <c r="AI51" s="72" t="s">
        <v>287</v>
      </c>
      <c r="AJ51" s="73">
        <f>INDEX(Picks!G:G,MATCH(AI51,Picks!A:A,0))</f>
        <v>19.892249999999997</v>
      </c>
      <c r="AK51" s="437">
        <f>INDEX(Weekly!I:I,MATCH(AI51,Weekly!E:E,0))</f>
        <v>1</v>
      </c>
      <c r="AL51" s="70">
        <f>IF(AJ51="","",_xlfn.RANK.EQ(AJ51,TopMaxScores,0))</f>
        <v>45</v>
      </c>
    </row>
    <row r="52" spans="1:38" ht="13.5" thickBot="1">
      <c r="A52" s="645" t="str">
        <f>A50</f>
        <v>Chris Townsend</v>
      </c>
      <c r="B52" s="451" t="str">
        <f t="shared" si="1"/>
        <v>Bristol R</v>
      </c>
      <c r="C52" s="517">
        <f>IF(J52="","",INDEX(Odds!C:C,MATCH(J52,Odds!G:G,0)))</f>
        <v>7</v>
      </c>
      <c r="D52" s="452">
        <f t="shared" si="2"/>
        <v>3.4</v>
      </c>
      <c r="E52" s="460" t="str">
        <f t="shared" si="3"/>
        <v>x</v>
      </c>
      <c r="F52" s="448"/>
      <c r="G52" s="449"/>
      <c r="H52" s="207"/>
      <c r="I52" s="380"/>
      <c r="J52" s="453" t="s">
        <v>541</v>
      </c>
      <c r="K52" s="192" t="str">
        <f>INDEX(Odds!H:H,MATCH(J52,Odds!G:G,0))</f>
        <v>12/5</v>
      </c>
      <c r="L52" s="454">
        <f>INDEX(Odds!I:I,MATCH(J52,Odds!G:G,0))</f>
        <v>3.4</v>
      </c>
      <c r="M52" s="444">
        <f>INDEX(Odds!J:J,MATCH(J52,Odds!G:G,0))</f>
        <v>0</v>
      </c>
      <c r="N52" s="455">
        <f t="shared" si="4"/>
        <v>0</v>
      </c>
      <c r="O52" s="578"/>
      <c r="P52" s="59"/>
      <c r="R52" s="36" t="str">
        <f>IF(Odds!G52="","",Odds!G52)</f>
        <v>Leicester draw</v>
      </c>
      <c r="S52" s="37" t="str">
        <f>INDEX(Odds!H:H,MATCH(R52,Odds!G:G,0))</f>
        <v>13/5</v>
      </c>
      <c r="T52" s="41">
        <f t="shared" si="5"/>
        <v>0</v>
      </c>
      <c r="AB52" s="583" t="str">
        <f>IF(O52="","",INDEX(Odds!H:H,MATCH(O52,Odds!G:G,0)))</f>
        <v/>
      </c>
      <c r="AC52" s="604">
        <f>IF(J52="","",INDEX(Odds!K:K,MATCH(J52,Odds!G:G,0)))</f>
        <v>1</v>
      </c>
      <c r="AD52" s="610" t="s">
        <v>291</v>
      </c>
      <c r="AE52" s="73">
        <f>INDEX(Picks!F:F,MATCH(AD52,Picks!A:A,0))</f>
        <v>-7</v>
      </c>
      <c r="AF52" s="437">
        <f>INDEX(Weekly!I:I,MATCH(AD52,Weekly!E:E,0))</f>
        <v>0</v>
      </c>
      <c r="AG52" s="70">
        <f>IF(AE52=-10,"",_xlfn.RANK.EQ(AE52,TopScores,0))</f>
        <v>50</v>
      </c>
      <c r="AI52" s="72" t="s">
        <v>285</v>
      </c>
      <c r="AJ52" s="73">
        <f>INDEX(Picks!G:G,MATCH(AI52,Picks!A:A,0))</f>
        <v>17.963636363636361</v>
      </c>
      <c r="AK52" s="437">
        <f>INDEX(Weekly!I:I,MATCH(AI52,Weekly!E:E,0))</f>
        <v>3</v>
      </c>
      <c r="AL52" s="70">
        <f>IF(AJ52="","",_xlfn.RANK.EQ(AJ52,TopMaxScores,0))</f>
        <v>46</v>
      </c>
    </row>
    <row r="53" spans="1:38" ht="13.9" thickTop="1" thickBot="1">
      <c r="A53" s="440" t="str">
        <f>Results!B53</f>
        <v>Dan Gibbard</v>
      </c>
      <c r="B53" s="456" t="str">
        <f t="shared" si="1"/>
        <v>Burnley</v>
      </c>
      <c r="C53" s="516">
        <f>IF(J53="","",INDEX(Odds!C:C,MATCH(J53,Odds!G:G,0)))</f>
        <v>7</v>
      </c>
      <c r="D53" s="441">
        <f t="shared" si="2"/>
        <v>1.5</v>
      </c>
      <c r="E53" s="459" t="str">
        <f t="shared" si="3"/>
        <v>√</v>
      </c>
      <c r="F53" s="382">
        <f>IF(J53="",-10,INDEX(Results!T:T,MATCH(A53,Results!V:V,0)))</f>
        <v>12.606060606060606</v>
      </c>
      <c r="G53" s="189">
        <f>IF(J53="","",INDEX(Results!AI:AI,MATCH(A53,Results!V:V,0)))</f>
        <v>12.606060606060606</v>
      </c>
      <c r="H53" s="207">
        <f>IF(G53="",0,1)</f>
        <v>1</v>
      </c>
      <c r="I53" s="379">
        <f>INDEX(Picks!AG:AG,MATCH(A53,Picks!AD:AD,0))</f>
        <v>6</v>
      </c>
      <c r="J53" s="442" t="s">
        <v>533</v>
      </c>
      <c r="K53" s="190" t="str">
        <f>INDEX(Odds!H:H,MATCH(J53,Odds!G:G,0))</f>
        <v>1/2</v>
      </c>
      <c r="L53" s="443">
        <f>INDEX(Odds!I:I,MATCH(J53,Odds!G:G,0))</f>
        <v>1.5</v>
      </c>
      <c r="M53" s="457">
        <f>INDEX(Odds!J:J,MATCH(J53,Odds!G:G,0))</f>
        <v>1</v>
      </c>
      <c r="N53" s="445">
        <f t="shared" si="4"/>
        <v>1.5</v>
      </c>
      <c r="O53" s="577"/>
      <c r="P53" s="59"/>
      <c r="R53" s="36" t="str">
        <f>IF(Odds!G53="","",Odds!G53)</f>
        <v>Palace draw</v>
      </c>
      <c r="S53" s="37" t="str">
        <f>INDEX(Odds!H:H,MATCH(R53,Odds!G:G,0))</f>
        <v>23/10</v>
      </c>
      <c r="T53" s="41">
        <f t="shared" si="5"/>
        <v>1</v>
      </c>
      <c r="AB53" s="582" t="str">
        <f>IF(O53="","",INDEX(Odds!H:H,MATCH(O53,Odds!G:G,0)))</f>
        <v/>
      </c>
      <c r="AC53" s="604">
        <f>IF(J53="","",INDEX(Odds!K:K,MATCH(J53,Odds!G:G,0)))</f>
        <v>1</v>
      </c>
      <c r="AD53" s="70" t="s">
        <v>517</v>
      </c>
      <c r="AE53" s="73">
        <f>INDEX(Picks!F:F,MATCH(AD53,Picks!A:A,0))</f>
        <v>-7</v>
      </c>
      <c r="AF53" s="437">
        <f>INDEX(Weekly!I:I,MATCH(AD53,Weekly!E:E,0))</f>
        <v>0</v>
      </c>
      <c r="AG53" s="70">
        <f>IF(AE53=-10,"",_xlfn.RANK.EQ(AE53,TopScores,0))</f>
        <v>50</v>
      </c>
      <c r="AI53" s="70" t="s">
        <v>290</v>
      </c>
      <c r="AJ53" s="73">
        <f>INDEX(Picks!G:G,MATCH(AI53,Picks!A:A,0))</f>
        <v>17.008749999999999</v>
      </c>
      <c r="AK53" s="437">
        <f>INDEX(Weekly!I:I,MATCH(AI53,Weekly!E:E,0))</f>
        <v>2</v>
      </c>
      <c r="AL53" s="70">
        <f>IF(AJ53="","",_xlfn.RANK.EQ(AJ53,TopMaxScores,0))</f>
        <v>47</v>
      </c>
    </row>
    <row r="54" spans="1:38">
      <c r="A54" s="644" t="str">
        <f>A53</f>
        <v>Dan Gibbard</v>
      </c>
      <c r="B54" s="446" t="str">
        <f t="shared" si="1"/>
        <v>Sheff U</v>
      </c>
      <c r="C54" s="516">
        <f>IF(J54="","",INDEX(Odds!C:C,MATCH(J54,Odds!G:G,0)))</f>
        <v>7</v>
      </c>
      <c r="D54" s="447">
        <f t="shared" si="2"/>
        <v>1.8333333333333335</v>
      </c>
      <c r="E54" s="460" t="str">
        <f t="shared" si="3"/>
        <v>√</v>
      </c>
      <c r="F54" s="448"/>
      <c r="G54" s="449"/>
      <c r="H54" s="207"/>
      <c r="I54" s="380"/>
      <c r="J54" s="442" t="s">
        <v>434</v>
      </c>
      <c r="K54" s="191" t="str">
        <f>INDEX(Odds!H:H,MATCH(J54,Odds!G:G,0))</f>
        <v>5/6</v>
      </c>
      <c r="L54" s="450">
        <f>INDEX(Odds!I:I,MATCH(J54,Odds!G:G,0))</f>
        <v>1.8333333333333335</v>
      </c>
      <c r="M54" s="444">
        <f>INDEX(Odds!J:J,MATCH(J54,Odds!G:G,0))</f>
        <v>1</v>
      </c>
      <c r="N54" s="445">
        <f t="shared" si="4"/>
        <v>1.8333333333333335</v>
      </c>
      <c r="O54" s="577"/>
      <c r="P54" s="59"/>
      <c r="R54" s="36" t="str">
        <f>IF(Odds!G54="","",Odds!G54)</f>
        <v>Southampton draw</v>
      </c>
      <c r="S54" s="37" t="str">
        <f>INDEX(Odds!H:H,MATCH(R54,Odds!G:G,0))</f>
        <v>21/10</v>
      </c>
      <c r="T54" s="41">
        <f t="shared" si="5"/>
        <v>0</v>
      </c>
      <c r="AB54" s="582" t="str">
        <f>IF(O54="","",INDEX(Odds!H:H,MATCH(O54,Odds!G:G,0)))</f>
        <v/>
      </c>
      <c r="AC54" s="604">
        <f>IF(J54="","",INDEX(Odds!K:K,MATCH(J54,Odds!G:G,0)))</f>
        <v>1</v>
      </c>
      <c r="AD54" s="70" t="s">
        <v>297</v>
      </c>
      <c r="AE54" s="73">
        <f>INDEX(Picks!F:F,MATCH(AD54,Picks!A:A,0))</f>
        <v>-7</v>
      </c>
      <c r="AF54" s="437">
        <f>INDEX(Weekly!I:I,MATCH(AD54,Weekly!E:E,0))</f>
        <v>0</v>
      </c>
      <c r="AG54" s="70">
        <f>IF(AE54=-10,"",_xlfn.RANK.EQ(AE54,TopScores,0))</f>
        <v>50</v>
      </c>
      <c r="AI54" s="72" t="s">
        <v>289</v>
      </c>
      <c r="AJ54" s="73">
        <f>INDEX(Picks!G:G,MATCH(AI54,Picks!A:A,0))</f>
        <v>16.72727272727273</v>
      </c>
      <c r="AK54" s="437">
        <f>INDEX(Weekly!I:I,MATCH(AI54,Weekly!E:E,0))</f>
        <v>2</v>
      </c>
      <c r="AL54" s="70">
        <f>IF(AJ54="","",_xlfn.RANK.EQ(AJ54,TopMaxScores,0))</f>
        <v>48</v>
      </c>
    </row>
    <row r="55" spans="1:38" ht="13.5" thickBot="1">
      <c r="A55" s="645" t="str">
        <f>A53</f>
        <v>Dan Gibbard</v>
      </c>
      <c r="B55" s="451" t="str">
        <f t="shared" si="1"/>
        <v>Sunderland</v>
      </c>
      <c r="C55" s="517">
        <f>IF(J55="","",INDEX(Odds!C:C,MATCH(J55,Odds!G:G,0)))</f>
        <v>7</v>
      </c>
      <c r="D55" s="452">
        <f t="shared" si="2"/>
        <v>1.9090909090909092</v>
      </c>
      <c r="E55" s="460" t="str">
        <f t="shared" si="3"/>
        <v>√</v>
      </c>
      <c r="F55" s="448"/>
      <c r="G55" s="449"/>
      <c r="H55" s="207"/>
      <c r="I55" s="380"/>
      <c r="J55" s="453" t="s">
        <v>172</v>
      </c>
      <c r="K55" s="192" t="str">
        <f>INDEX(Odds!H:H,MATCH(J55,Odds!G:G,0))</f>
        <v>10/11</v>
      </c>
      <c r="L55" s="454">
        <f>INDEX(Odds!I:I,MATCH(J55,Odds!G:G,0))</f>
        <v>1.9090909090909092</v>
      </c>
      <c r="M55" s="444">
        <f>INDEX(Odds!J:J,MATCH(J55,Odds!G:G,0))</f>
        <v>1</v>
      </c>
      <c r="N55" s="455">
        <f t="shared" si="4"/>
        <v>1.9090909090909092</v>
      </c>
      <c r="O55" s="578"/>
      <c r="P55" s="59"/>
      <c r="R55" s="36" t="str">
        <f>IF(Odds!G55="","",Odds!G55)</f>
        <v>West Ham draw</v>
      </c>
      <c r="S55" s="37" t="str">
        <f>INDEX(Odds!H:H,MATCH(R55,Odds!G:G,0))</f>
        <v>11/5</v>
      </c>
      <c r="T55" s="41">
        <f t="shared" si="5"/>
        <v>1</v>
      </c>
      <c r="AB55" s="583" t="str">
        <f>IF(O55="","",INDEX(Odds!H:H,MATCH(O55,Odds!G:G,0)))</f>
        <v/>
      </c>
      <c r="AC55" s="604">
        <f>IF(J55="","",INDEX(Odds!K:K,MATCH(J55,Odds!G:G,0)))</f>
        <v>1</v>
      </c>
      <c r="AD55" s="70" t="s">
        <v>370</v>
      </c>
      <c r="AE55" s="73">
        <f>INDEX(Picks!F:F,MATCH(AD55,Picks!A:A,0))</f>
        <v>-7</v>
      </c>
      <c r="AF55" s="437">
        <f>INDEX(Weekly!I:I,MATCH(AD55,Weekly!E:E,0))</f>
        <v>0</v>
      </c>
      <c r="AG55" s="70">
        <f>IF(AE55=-10,"",_xlfn.RANK.EQ(AE55,TopScores,0))</f>
        <v>50</v>
      </c>
      <c r="AI55" s="610" t="s">
        <v>303</v>
      </c>
      <c r="AJ55" s="73">
        <f>INDEX(Picks!G:G,MATCH(AI55,Picks!A:A,0))</f>
        <v>13.700000000000003</v>
      </c>
      <c r="AK55" s="437">
        <f>INDEX(Weekly!I:I,MATCH(AI55,Weekly!E:E,0))</f>
        <v>1</v>
      </c>
      <c r="AL55" s="70">
        <f>IF(AJ55="","",_xlfn.RANK.EQ(AJ55,TopMaxScores,0))</f>
        <v>49</v>
      </c>
    </row>
    <row r="56" spans="1:38" ht="13.9" thickTop="1" thickBot="1">
      <c r="A56" s="440" t="str">
        <f>Results!B56</f>
        <v>Dave Bell</v>
      </c>
      <c r="B56" s="456" t="str">
        <f t="shared" si="1"/>
        <v>Arsenal</v>
      </c>
      <c r="C56" s="516">
        <f>IF(J56="","",INDEX(Odds!C:C,MATCH(J56,Odds!G:G,0)))</f>
        <v>7</v>
      </c>
      <c r="D56" s="441">
        <f t="shared" si="2"/>
        <v>1.3636363636363638</v>
      </c>
      <c r="E56" s="459" t="str">
        <f t="shared" si="3"/>
        <v>x</v>
      </c>
      <c r="F56" s="382">
        <f>IF(J56="",-10,INDEX(Results!T:T,MATCH(A56,Results!V:V,0)))</f>
        <v>-1.8888888888888884</v>
      </c>
      <c r="G56" s="189">
        <f>IF(J56="","",INDEX(Results!AI:AI,MATCH(A56,Results!V:V,0)))</f>
        <v>6.4444444444444464</v>
      </c>
      <c r="H56" s="207">
        <f>IF(G56="",0,1)</f>
        <v>1</v>
      </c>
      <c r="I56" s="379">
        <f>INDEX(Picks!AG:AG,MATCH(A56,Picks!AD:AD,0))</f>
        <v>31</v>
      </c>
      <c r="J56" s="442" t="s">
        <v>572</v>
      </c>
      <c r="K56" s="190" t="str">
        <f>INDEX(Odds!H:H,MATCH(J56,Odds!G:G,0))</f>
        <v>4/11</v>
      </c>
      <c r="L56" s="443">
        <f>INDEX(Odds!I:I,MATCH(J56,Odds!G:G,0))</f>
        <v>1.3636363636363638</v>
      </c>
      <c r="M56" s="457">
        <f>INDEX(Odds!J:J,MATCH(J56,Odds!G:G,0))</f>
        <v>0</v>
      </c>
      <c r="N56" s="445">
        <f t="shared" si="4"/>
        <v>0</v>
      </c>
      <c r="O56" s="577"/>
      <c r="P56" s="59"/>
      <c r="R56" s="36" t="str">
        <f>IF(Odds!G56="","",Odds!G56)</f>
        <v>Blackpool draw</v>
      </c>
      <c r="S56" s="37" t="str">
        <f>INDEX(Odds!H:H,MATCH(R56,Odds!G:G,0))</f>
        <v>11/5</v>
      </c>
      <c r="T56" s="41">
        <f t="shared" si="5"/>
        <v>1</v>
      </c>
      <c r="AB56" s="582" t="str">
        <f>IF(O56="","",INDEX(Odds!H:H,MATCH(O56,Odds!G:G,0)))</f>
        <v/>
      </c>
      <c r="AC56" s="604">
        <f>IF(J56="","",INDEX(Odds!K:K,MATCH(J56,Odds!G:G,0)))</f>
        <v>1</v>
      </c>
      <c r="AD56" s="610" t="s">
        <v>313</v>
      </c>
      <c r="AE56" s="73">
        <f>INDEX(Picks!F:F,MATCH(AD56,Picks!A:A,0))</f>
        <v>-7</v>
      </c>
      <c r="AF56" s="437">
        <f>INDEX(Weekly!I:I,MATCH(AD56,Weekly!E:E,0))</f>
        <v>0</v>
      </c>
      <c r="AG56" s="70">
        <f>IF(AE56=-10,"",_xlfn.RANK.EQ(AE56,TopScores,0))</f>
        <v>50</v>
      </c>
      <c r="AI56" s="72" t="s">
        <v>286</v>
      </c>
      <c r="AJ56" s="73">
        <f>INDEX(Picks!G:G,MATCH(AI56,Picks!A:A,0))</f>
        <v>13.25</v>
      </c>
      <c r="AK56" s="437">
        <f>INDEX(Weekly!I:I,MATCH(AI56,Weekly!E:E,0))</f>
        <v>2</v>
      </c>
      <c r="AL56" s="70">
        <f>IF(AJ56="","",_xlfn.RANK.EQ(AJ56,TopMaxScores,0))</f>
        <v>50</v>
      </c>
    </row>
    <row r="57" spans="1:38">
      <c r="A57" s="644" t="str">
        <f>A56</f>
        <v>Dave Bell</v>
      </c>
      <c r="B57" s="446" t="str">
        <f t="shared" si="1"/>
        <v>Man U</v>
      </c>
      <c r="C57" s="516">
        <f>IF(J57="","",INDEX(Odds!C:C,MATCH(J57,Odds!G:G,0)))</f>
        <v>1</v>
      </c>
      <c r="D57" s="447">
        <f t="shared" si="2"/>
        <v>1.75</v>
      </c>
      <c r="E57" s="460" t="str">
        <f t="shared" si="3"/>
        <v>√</v>
      </c>
      <c r="F57" s="448"/>
      <c r="G57" s="449"/>
      <c r="H57" s="207"/>
      <c r="I57" s="380"/>
      <c r="J57" s="442" t="s">
        <v>555</v>
      </c>
      <c r="K57" s="191" t="str">
        <f>INDEX(Odds!H:H,MATCH(J57,Odds!G:G,0))</f>
        <v>3/4</v>
      </c>
      <c r="L57" s="450">
        <f>INDEX(Odds!I:I,MATCH(J57,Odds!G:G,0))</f>
        <v>1.75</v>
      </c>
      <c r="M57" s="444">
        <f>INDEX(Odds!J:J,MATCH(J57,Odds!G:G,0))</f>
        <v>1</v>
      </c>
      <c r="N57" s="445">
        <f t="shared" si="4"/>
        <v>1.75</v>
      </c>
      <c r="O57" s="577"/>
      <c r="P57" s="59"/>
      <c r="R57" s="36" t="str">
        <f>IF(Odds!G57="","",Odds!G57)</f>
        <v>Bristol C draw</v>
      </c>
      <c r="S57" s="37" t="str">
        <f>INDEX(Odds!H:H,MATCH(R57,Odds!G:G,0))</f>
        <v>23/10</v>
      </c>
      <c r="T57" s="41">
        <f t="shared" si="5"/>
        <v>0</v>
      </c>
      <c r="AB57" s="582" t="str">
        <f>IF(O57="","",INDEX(Odds!H:H,MATCH(O57,Odds!G:G,0)))</f>
        <v/>
      </c>
      <c r="AC57" s="604">
        <f>IF(J57="","",INDEX(Odds!K:K,MATCH(J57,Odds!G:G,0)))</f>
        <v>1</v>
      </c>
      <c r="AD57" s="70" t="s">
        <v>281</v>
      </c>
      <c r="AE57" s="73">
        <f>INDEX(Picks!F:F,MATCH(AD57,Picks!A:A,0))</f>
        <v>-7</v>
      </c>
      <c r="AF57" s="437">
        <f>INDEX(Weekly!I:I,MATCH(AD57,Weekly!E:E,0))</f>
        <v>0</v>
      </c>
      <c r="AG57" s="70">
        <f>IF(AE57=-10,"",_xlfn.RANK.EQ(AE57,TopScores,0))</f>
        <v>50</v>
      </c>
      <c r="AI57" s="72" t="s">
        <v>520</v>
      </c>
      <c r="AJ57" s="73">
        <f>INDEX(Picks!G:G,MATCH(AI57,Picks!A:A,0))</f>
        <v>13.25</v>
      </c>
      <c r="AK57" s="437">
        <f>INDEX(Weekly!I:I,MATCH(AI57,Weekly!E:E,0))</f>
        <v>2</v>
      </c>
      <c r="AL57" s="70">
        <f>IF(AJ57="","",_xlfn.RANK.EQ(AJ57,TopMaxScores,0))</f>
        <v>50</v>
      </c>
    </row>
    <row r="58" spans="1:38" ht="13.5" thickBot="1">
      <c r="A58" s="645" t="str">
        <f>A56</f>
        <v>Dave Bell</v>
      </c>
      <c r="B58" s="451" t="str">
        <f t="shared" si="1"/>
        <v>Man C</v>
      </c>
      <c r="C58" s="517">
        <f>IF(J58="","",INDEX(Odds!C:C,MATCH(J58,Odds!G:G,0)))</f>
        <v>1</v>
      </c>
      <c r="D58" s="452">
        <f t="shared" si="2"/>
        <v>1.2222222222222223</v>
      </c>
      <c r="E58" s="460" t="str">
        <f t="shared" si="3"/>
        <v>√</v>
      </c>
      <c r="F58" s="448"/>
      <c r="G58" s="449"/>
      <c r="H58" s="207"/>
      <c r="I58" s="380"/>
      <c r="J58" s="453" t="s">
        <v>630</v>
      </c>
      <c r="K58" s="192" t="str">
        <f>INDEX(Odds!H:H,MATCH(J58,Odds!G:G,0))</f>
        <v>2/9</v>
      </c>
      <c r="L58" s="454">
        <f>INDEX(Odds!I:I,MATCH(J58,Odds!G:G,0))</f>
        <v>1.2222222222222223</v>
      </c>
      <c r="M58" s="444">
        <f>INDEX(Odds!J:J,MATCH(J58,Odds!G:G,0))</f>
        <v>1</v>
      </c>
      <c r="N58" s="455">
        <f t="shared" si="4"/>
        <v>1.2222222222222223</v>
      </c>
      <c r="O58" s="578"/>
      <c r="P58" s="59"/>
      <c r="R58" s="36" t="str">
        <f>IF(Odds!G58="","",Odds!G58)</f>
        <v>Burnley draw</v>
      </c>
      <c r="S58" s="37" t="str">
        <f>INDEX(Odds!H:H,MATCH(R58,Odds!G:G,0))</f>
        <v>29/10</v>
      </c>
      <c r="T58" s="41">
        <f t="shared" si="5"/>
        <v>0</v>
      </c>
      <c r="AB58" s="583" t="str">
        <f>IF(O58="","",INDEX(Odds!H:H,MATCH(O58,Odds!G:G,0)))</f>
        <v/>
      </c>
      <c r="AC58" s="604">
        <f>IF(J58="","",INDEX(Odds!K:K,MATCH(J58,Odds!G:G,0)))</f>
        <v>1</v>
      </c>
      <c r="AD58" s="70" t="s">
        <v>315</v>
      </c>
      <c r="AE58" s="73">
        <f>INDEX(Picks!F:F,MATCH(AD58,Picks!A:A,0))</f>
        <v>-10</v>
      </c>
      <c r="AF58" s="437">
        <f>INDEX(Weekly!I:I,MATCH(AD58,Weekly!E:E,0))</f>
        <v>0</v>
      </c>
      <c r="AG58" s="70" t="str">
        <f>IF(AE58=-10,"",_xlfn.RANK.EQ(AE58,TopScores,0))</f>
        <v/>
      </c>
      <c r="AI58" s="72" t="s">
        <v>283</v>
      </c>
      <c r="AJ58" s="73">
        <f>INDEX(Picks!G:G,MATCH(AI58,Picks!A:A,0))</f>
        <v>13.09375</v>
      </c>
      <c r="AK58" s="437">
        <f>INDEX(Weekly!I:I,MATCH(AI58,Weekly!E:E,0))</f>
        <v>2</v>
      </c>
      <c r="AL58" s="70">
        <f>IF(AJ58="","",_xlfn.RANK.EQ(AJ58,TopMaxScores,0))</f>
        <v>52</v>
      </c>
    </row>
    <row r="59" spans="1:38" ht="13.9" thickTop="1" thickBot="1">
      <c r="A59" s="440" t="str">
        <f>Results!B59</f>
        <v>Dave Orrell</v>
      </c>
      <c r="B59" s="456" t="str">
        <f t="shared" si="1"/>
        <v>Burnley</v>
      </c>
      <c r="C59" s="516">
        <f>IF(J59="","",INDEX(Odds!C:C,MATCH(J59,Odds!G:G,0)))</f>
        <v>7</v>
      </c>
      <c r="D59" s="441">
        <f t="shared" si="2"/>
        <v>1.5</v>
      </c>
      <c r="E59" s="459" t="str">
        <f t="shared" si="3"/>
        <v>√</v>
      </c>
      <c r="F59" s="382">
        <f>IF(J59="",-10,INDEX(Results!T:T,MATCH(A59,Results!V:V,0)))</f>
        <v>-0.125</v>
      </c>
      <c r="G59" s="189">
        <f>IF(J59="","",INDEX(Results!AI:AI,MATCH(A59,Results!V:V,0)))</f>
        <v>24.287499999999998</v>
      </c>
      <c r="H59" s="207">
        <f>IF(G59="",0,1)</f>
        <v>1</v>
      </c>
      <c r="I59" s="379">
        <f>INDEX(Picks!AG:AG,MATCH(A59,Picks!AD:AD,0))</f>
        <v>27</v>
      </c>
      <c r="J59" s="442" t="s">
        <v>533</v>
      </c>
      <c r="K59" s="190" t="str">
        <f>INDEX(Odds!H:H,MATCH(J59,Odds!G:G,0))</f>
        <v>1/2</v>
      </c>
      <c r="L59" s="443">
        <f>INDEX(Odds!I:I,MATCH(J59,Odds!G:G,0))</f>
        <v>1.5</v>
      </c>
      <c r="M59" s="457">
        <f>INDEX(Odds!J:J,MATCH(J59,Odds!G:G,0))</f>
        <v>1</v>
      </c>
      <c r="N59" s="445">
        <f t="shared" si="4"/>
        <v>1.5</v>
      </c>
      <c r="O59" s="577"/>
      <c r="P59" s="59"/>
      <c r="R59" s="36" t="str">
        <f>IF(Odds!G59="","",Odds!G59)</f>
        <v>Cardiff draw</v>
      </c>
      <c r="S59" s="37" t="str">
        <f>INDEX(Odds!H:H,MATCH(R59,Odds!G:G,0))</f>
        <v>9/4</v>
      </c>
      <c r="T59" s="41">
        <f t="shared" si="5"/>
        <v>0</v>
      </c>
      <c r="AB59" s="582" t="str">
        <f>IF(O59="","",INDEX(Odds!H:H,MATCH(O59,Odds!G:G,0)))</f>
        <v/>
      </c>
      <c r="AC59" s="604">
        <f>IF(J59="","",INDEX(Odds!K:K,MATCH(J59,Odds!G:G,0)))</f>
        <v>1</v>
      </c>
      <c r="AD59" s="70" t="s">
        <v>296</v>
      </c>
      <c r="AE59" s="73">
        <f>INDEX(Picks!F:F,MATCH(AD59,Picks!A:A,0))</f>
        <v>-10</v>
      </c>
      <c r="AF59" s="437">
        <f>INDEX(Weekly!I:I,MATCH(AD59,Weekly!E:E,0))</f>
        <v>0</v>
      </c>
      <c r="AG59" s="70" t="str">
        <f>IF(AE59=-10,"",_xlfn.RANK.EQ(AE59,TopScores,0))</f>
        <v/>
      </c>
      <c r="AI59" s="72" t="s">
        <v>566</v>
      </c>
      <c r="AJ59" s="73">
        <f>INDEX(Picks!G:G,MATCH(AI59,Picks!A:A,0))</f>
        <v>12.925000000000004</v>
      </c>
      <c r="AK59" s="437">
        <f>INDEX(Weekly!I:I,MATCH(AI59,Weekly!E:E,0))</f>
        <v>2</v>
      </c>
      <c r="AL59" s="70">
        <f>IF(AJ59="","",_xlfn.RANK.EQ(AJ59,TopMaxScores,0))</f>
        <v>53</v>
      </c>
    </row>
    <row r="60" spans="1:38">
      <c r="A60" s="644" t="str">
        <f>A59</f>
        <v>Dave Orrell</v>
      </c>
      <c r="B60" s="446" t="str">
        <f>IF(J60="","",J60)</f>
        <v>Middlesbro</v>
      </c>
      <c r="C60" s="516">
        <f>IF(J60="","",INDEX(Odds!C:C,MATCH(J60,Odds!G:G,0)))</f>
        <v>7</v>
      </c>
      <c r="D60" s="447">
        <f t="shared" si="2"/>
        <v>2.15</v>
      </c>
      <c r="E60" s="460" t="str">
        <f t="shared" si="3"/>
        <v>√</v>
      </c>
      <c r="F60" s="448"/>
      <c r="G60" s="449"/>
      <c r="H60" s="207"/>
      <c r="I60" s="380"/>
      <c r="J60" s="442" t="s">
        <v>534</v>
      </c>
      <c r="K60" s="191" t="str">
        <f>INDEX(Odds!H:H,MATCH(J60,Odds!G:G,0))</f>
        <v>23/20</v>
      </c>
      <c r="L60" s="450">
        <f>INDEX(Odds!I:I,MATCH(J60,Odds!G:G,0))</f>
        <v>2.15</v>
      </c>
      <c r="M60" s="444">
        <f>INDEX(Odds!J:J,MATCH(J60,Odds!G:G,0))</f>
        <v>1</v>
      </c>
      <c r="N60" s="445">
        <f t="shared" si="4"/>
        <v>2.15</v>
      </c>
      <c r="O60" s="577"/>
      <c r="P60" s="59"/>
      <c r="R60" s="36" t="str">
        <f>IF(Odds!G60="","",Odds!G60)</f>
        <v>Coventry draw</v>
      </c>
      <c r="S60" s="37" t="str">
        <f>INDEX(Odds!H:H,MATCH(R60,Odds!G:G,0))</f>
        <v>11/5</v>
      </c>
      <c r="T60" s="41">
        <f t="shared" si="5"/>
        <v>1</v>
      </c>
      <c r="AB60" s="582" t="str">
        <f>IF(O60="","",INDEX(Odds!H:H,MATCH(O60,Odds!G:G,0)))</f>
        <v/>
      </c>
      <c r="AC60" s="604">
        <f>IF(J60="","",INDEX(Odds!K:K,MATCH(J60,Odds!G:G,0)))</f>
        <v>1</v>
      </c>
      <c r="AD60" s="70" t="s">
        <v>373</v>
      </c>
      <c r="AE60" s="73">
        <f>INDEX(Picks!F:F,MATCH(AD60,Picks!A:A,0))</f>
        <v>-10</v>
      </c>
      <c r="AF60" s="437">
        <f>INDEX(Weekly!I:I,MATCH(AD60,Weekly!E:E,0))</f>
        <v>0</v>
      </c>
      <c r="AG60" s="70" t="str">
        <f>IF(AE60=-10,"",_xlfn.RANK.EQ(AE60,TopScores,0))</f>
        <v/>
      </c>
      <c r="AH60" s="59"/>
      <c r="AI60" s="70" t="s">
        <v>519</v>
      </c>
      <c r="AJ60" s="73">
        <f>INDEX(Picks!G:G,MATCH(AI60,Picks!A:A,0))</f>
        <v>12.606060606060606</v>
      </c>
      <c r="AK60" s="437">
        <f>INDEX(Weekly!I:I,MATCH(AI60,Weekly!E:E,0))</f>
        <v>3</v>
      </c>
      <c r="AL60" s="70">
        <f>IF(AJ60="","",_xlfn.RANK.EQ(AJ60,TopMaxScores,0))</f>
        <v>54</v>
      </c>
    </row>
    <row r="61" spans="1:38" ht="13.5" thickBot="1">
      <c r="A61" s="645" t="str">
        <f>A59</f>
        <v>Dave Orrell</v>
      </c>
      <c r="B61" s="451" t="str">
        <f t="shared" ref="B61:B109" si="6">IF(J61="","",J61)</f>
        <v>Salford</v>
      </c>
      <c r="C61" s="517">
        <f>IF(J61="","",INDEX(Odds!C:C,MATCH(J61,Odds!G:G,0)))</f>
        <v>7</v>
      </c>
      <c r="D61" s="452">
        <f t="shared" ref="D61:D109" si="7">IF(J61="","",L61)</f>
        <v>3.1</v>
      </c>
      <c r="E61" s="460" t="str">
        <f t="shared" si="3"/>
        <v>x</v>
      </c>
      <c r="F61" s="448"/>
      <c r="G61" s="449"/>
      <c r="H61" s="207"/>
      <c r="I61" s="380"/>
      <c r="J61" s="453" t="s">
        <v>530</v>
      </c>
      <c r="K61" s="192" t="str">
        <f>INDEX(Odds!H:H,MATCH(J61,Odds!G:G,0))</f>
        <v>21/10</v>
      </c>
      <c r="L61" s="454">
        <f>INDEX(Odds!I:I,MATCH(J61,Odds!G:G,0))</f>
        <v>3.1</v>
      </c>
      <c r="M61" s="444">
        <f>INDEX(Odds!J:J,MATCH(J61,Odds!G:G,0))</f>
        <v>0</v>
      </c>
      <c r="N61" s="455">
        <f t="shared" si="4"/>
        <v>0</v>
      </c>
      <c r="O61" s="578"/>
      <c r="P61" s="59"/>
      <c r="R61" s="36" t="str">
        <f>IF(Odds!G61="","",Odds!G61)</f>
        <v>QPR draw</v>
      </c>
      <c r="S61" s="37" t="str">
        <f>INDEX(Odds!H:H,MATCH(R61,Odds!G:G,0))</f>
        <v>11/5</v>
      </c>
      <c r="T61" s="41">
        <f t="shared" si="5"/>
        <v>0</v>
      </c>
      <c r="AB61" s="583" t="str">
        <f>IF(O61="","",INDEX(Odds!H:H,MATCH(O61,Odds!G:G,0)))</f>
        <v/>
      </c>
      <c r="AC61" s="604">
        <f>IF(J61="","",INDEX(Odds!K:K,MATCH(J61,Odds!G:G,0)))</f>
        <v>1</v>
      </c>
      <c r="AD61" s="70" t="s">
        <v>324</v>
      </c>
      <c r="AE61" s="73">
        <f>INDEX(Picks!F:F,MATCH(AD61,Picks!A:A,0))</f>
        <v>-10</v>
      </c>
      <c r="AF61" s="437">
        <f>INDEX(Weekly!I:I,MATCH(AD61,Weekly!E:E,0))</f>
        <v>0</v>
      </c>
      <c r="AG61" s="70" t="str">
        <f>IF(AE61=-10,"",_xlfn.RANK.EQ(AE61,TopScores,0))</f>
        <v/>
      </c>
      <c r="AH61" s="59"/>
      <c r="AI61" s="72" t="s">
        <v>306</v>
      </c>
      <c r="AJ61" s="73">
        <f>INDEX(Picks!G:G,MATCH(AI61,Picks!A:A,0))</f>
        <v>8.1616161616161627</v>
      </c>
      <c r="AK61" s="437">
        <f>INDEX(Weekly!I:I,MATCH(AI61,Weekly!E:E,0))</f>
        <v>3</v>
      </c>
      <c r="AL61" s="70">
        <f>IF(AJ61="","",_xlfn.RANK.EQ(AJ61,TopMaxScores,0))</f>
        <v>55</v>
      </c>
    </row>
    <row r="62" spans="1:38" ht="13.9" thickTop="1" thickBot="1">
      <c r="A62" s="440" t="str">
        <f>Results!B62</f>
        <v>David Dunn</v>
      </c>
      <c r="B62" s="456" t="str">
        <f t="shared" si="6"/>
        <v>Wolves</v>
      </c>
      <c r="C62" s="516">
        <f>IF(J62="","",INDEX(Odds!C:C,MATCH(J62,Odds!G:G,0)))</f>
        <v>7</v>
      </c>
      <c r="D62" s="441">
        <f t="shared" si="7"/>
        <v>2.625</v>
      </c>
      <c r="E62" s="459" t="str">
        <f t="shared" si="3"/>
        <v>√</v>
      </c>
      <c r="F62" s="382">
        <f>IF(J62="",-10,INDEX(Results!T:T,MATCH(A62,Results!V:V,0)))</f>
        <v>1.0625</v>
      </c>
      <c r="G62" s="189">
        <f>IF(J62="","",INDEX(Results!AI:AI,MATCH(A62,Results!V:V,0)))</f>
        <v>23.71875</v>
      </c>
      <c r="H62" s="207">
        <f>IF(G62="",0,1)</f>
        <v>1</v>
      </c>
      <c r="I62" s="379">
        <f>INDEX(Picks!AG:AG,MATCH(A62,Picks!AD:AD,0))</f>
        <v>22</v>
      </c>
      <c r="J62" s="442" t="s">
        <v>580</v>
      </c>
      <c r="K62" s="190" t="str">
        <f>INDEX(Odds!H:H,MATCH(J62,Odds!G:G,0))</f>
        <v>13/8</v>
      </c>
      <c r="L62" s="443">
        <f>INDEX(Odds!I:I,MATCH(J62,Odds!G:G,0))</f>
        <v>2.625</v>
      </c>
      <c r="M62" s="457">
        <f>INDEX(Odds!J:J,MATCH(J62,Odds!G:G,0))</f>
        <v>1</v>
      </c>
      <c r="N62" s="445">
        <f t="shared" ref="N62:N97" si="8">L62*M62</f>
        <v>2.625</v>
      </c>
      <c r="O62" s="577"/>
      <c r="P62" s="59"/>
      <c r="R62" s="36" t="str">
        <f>IF(Odds!G62="","",Odds!G62)</f>
        <v>Sheff U draw</v>
      </c>
      <c r="S62" s="37" t="str">
        <f>INDEX(Odds!H:H,MATCH(R62,Odds!G:G,0))</f>
        <v>13/5</v>
      </c>
      <c r="T62" s="41">
        <f t="shared" si="5"/>
        <v>0</v>
      </c>
      <c r="AB62" s="582" t="str">
        <f>IF(O62="","",INDEX(Odds!H:H,MATCH(O62,Odds!G:G,0)))</f>
        <v/>
      </c>
      <c r="AC62" s="604">
        <f>IF(J62="","",INDEX(Odds!K:K,MATCH(J62,Odds!G:G,0)))</f>
        <v>1</v>
      </c>
      <c r="AD62" s="610" t="s">
        <v>366</v>
      </c>
      <c r="AE62" s="73">
        <f>INDEX(Picks!F:F,MATCH(AD62,Picks!A:A,0))</f>
        <v>-10</v>
      </c>
      <c r="AF62" s="437">
        <f>INDEX(Weekly!I:I,MATCH(AD62,Weekly!E:E,0))</f>
        <v>0</v>
      </c>
      <c r="AG62" s="70" t="str">
        <f>IF(AE62=-10,"",_xlfn.RANK.EQ(AE62,TopScores,0))</f>
        <v/>
      </c>
      <c r="AH62" s="59"/>
      <c r="AI62" s="72" t="s">
        <v>377</v>
      </c>
      <c r="AJ62" s="73">
        <f>INDEX(Picks!G:G,MATCH(AI62,Picks!A:A,0))</f>
        <v>6.4444444444444464</v>
      </c>
      <c r="AK62" s="437">
        <f>INDEX(Weekly!I:I,MATCH(AI62,Weekly!E:E,0))</f>
        <v>2</v>
      </c>
      <c r="AL62" s="70">
        <f>IF(AJ62="","",_xlfn.RANK.EQ(AJ62,TopMaxScores,0))</f>
        <v>56</v>
      </c>
    </row>
    <row r="63" spans="1:38">
      <c r="A63" s="644" t="str">
        <f>A62</f>
        <v>David Dunn</v>
      </c>
      <c r="B63" s="446" t="str">
        <f>IF(J63="","",J63)</f>
        <v>Burnley</v>
      </c>
      <c r="C63" s="516">
        <f>IF(J63="","",INDEX(Odds!C:C,MATCH(J63,Odds!G:G,0)))</f>
        <v>7</v>
      </c>
      <c r="D63" s="447">
        <f>IF(J63="","",L63)</f>
        <v>1.5</v>
      </c>
      <c r="E63" s="460" t="str">
        <f>IF(J63="","",IF(M63=1,"√","x"))</f>
        <v>√</v>
      </c>
      <c r="F63" s="448"/>
      <c r="G63" s="449"/>
      <c r="H63" s="207"/>
      <c r="I63" s="380"/>
      <c r="J63" s="442" t="s">
        <v>533</v>
      </c>
      <c r="K63" s="191" t="str">
        <f>INDEX(Odds!H:H,MATCH(J63,Odds!G:G,0))</f>
        <v>1/2</v>
      </c>
      <c r="L63" s="450">
        <f>INDEX(Odds!I:I,MATCH(J63,Odds!G:G,0))</f>
        <v>1.5</v>
      </c>
      <c r="M63" s="444">
        <f>INDEX(Odds!J:J,MATCH(J63,Odds!G:G,0))</f>
        <v>1</v>
      </c>
      <c r="N63" s="445">
        <f t="shared" si="8"/>
        <v>1.5</v>
      </c>
      <c r="O63" s="577"/>
      <c r="P63" s="59"/>
      <c r="R63" s="36" t="str">
        <f>IF(Odds!G63="","",Odds!G63)</f>
        <v>Stoke draw</v>
      </c>
      <c r="S63" s="37" t="str">
        <f>INDEX(Odds!H:H,MATCH(R63,Odds!G:G,0))</f>
        <v>9/4</v>
      </c>
      <c r="T63" s="41">
        <f t="shared" si="5"/>
        <v>1</v>
      </c>
      <c r="AB63" s="582" t="str">
        <f>IF(O63="","",INDEX(Odds!H:H,MATCH(O63,Odds!G:G,0)))</f>
        <v/>
      </c>
      <c r="AC63" s="604">
        <f>IF(J63="","",INDEX(Odds!K:K,MATCH(J63,Odds!G:G,0)))</f>
        <v>1</v>
      </c>
      <c r="AD63" s="70"/>
      <c r="AE63" s="73"/>
      <c r="AF63" s="437"/>
      <c r="AG63" s="70"/>
      <c r="AH63" s="59"/>
      <c r="AI63" s="70"/>
      <c r="AJ63" s="73"/>
      <c r="AK63" s="437"/>
      <c r="AL63" s="70"/>
    </row>
    <row r="64" spans="1:38" ht="13.5" thickBot="1">
      <c r="A64" s="645" t="str">
        <f>A62</f>
        <v>David Dunn</v>
      </c>
      <c r="B64" s="451" t="str">
        <f t="shared" si="6"/>
        <v>MK Dons</v>
      </c>
      <c r="C64" s="517">
        <f>IF(J64="","",INDEX(Odds!C:C,MATCH(J64,Odds!G:G,0)))</f>
        <v>7</v>
      </c>
      <c r="D64" s="452">
        <f t="shared" si="7"/>
        <v>2.5</v>
      </c>
      <c r="E64" s="460" t="str">
        <f t="shared" si="3"/>
        <v>x</v>
      </c>
      <c r="F64" s="448"/>
      <c r="G64" s="449"/>
      <c r="H64" s="207"/>
      <c r="I64" s="380"/>
      <c r="J64" s="453" t="s">
        <v>610</v>
      </c>
      <c r="K64" s="192" t="str">
        <f>INDEX(Odds!H:H,MATCH(J64,Odds!G:G,0))</f>
        <v>6/4</v>
      </c>
      <c r="L64" s="454">
        <f>INDEX(Odds!I:I,MATCH(J64,Odds!G:G,0))</f>
        <v>2.5</v>
      </c>
      <c r="M64" s="444">
        <f>INDEX(Odds!J:J,MATCH(J64,Odds!G:G,0))</f>
        <v>0</v>
      </c>
      <c r="N64" s="455">
        <f t="shared" si="8"/>
        <v>0</v>
      </c>
      <c r="O64" s="578"/>
      <c r="P64" s="59"/>
      <c r="R64" s="36" t="str">
        <f>IF(Odds!G64="","",Odds!G64)</f>
        <v>Sunderland draw</v>
      </c>
      <c r="S64" s="37" t="str">
        <f>INDEX(Odds!H:H,MATCH(R64,Odds!G:G,0))</f>
        <v>12/5</v>
      </c>
      <c r="T64" s="41">
        <f t="shared" si="5"/>
        <v>0</v>
      </c>
      <c r="AB64" s="583" t="str">
        <f>IF(O64="","",INDEX(Odds!H:H,MATCH(O64,Odds!G:G,0)))</f>
        <v/>
      </c>
      <c r="AC64" s="605">
        <f>IF(J64="","",INDEX(Odds!K:K,MATCH(J64,Odds!G:G,0)))</f>
        <v>1</v>
      </c>
      <c r="AD64" s="59"/>
      <c r="AE64" s="59"/>
      <c r="AF64" s="438"/>
      <c r="AG64" s="59"/>
      <c r="AH64" s="59"/>
      <c r="AI64" s="59"/>
      <c r="AJ64" s="59"/>
      <c r="AK64" s="59"/>
      <c r="AL64" s="59"/>
    </row>
    <row r="65" spans="1:38" ht="13.9" thickTop="1" thickBot="1">
      <c r="A65" s="440" t="str">
        <f>Results!B65</f>
        <v>Frank Allen</v>
      </c>
      <c r="B65" s="456" t="str">
        <f t="shared" si="6"/>
        <v>Sheff U</v>
      </c>
      <c r="C65" s="516">
        <f>IF(J65="","",INDEX(Odds!C:C,MATCH(J65,Odds!G:G,0)))</f>
        <v>7</v>
      </c>
      <c r="D65" s="441">
        <f t="shared" si="7"/>
        <v>1.8333333333333335</v>
      </c>
      <c r="E65" s="459" t="str">
        <f t="shared" si="3"/>
        <v>√</v>
      </c>
      <c r="F65" s="382">
        <f>IF(J65="",-10,INDEX(Results!T:T,MATCH(A65,Results!V:V,0)))</f>
        <v>-0.91666666666666607</v>
      </c>
      <c r="G65" s="189">
        <f>IF(J65="","",INDEX(Results!AI:AI,MATCH(A65,Results!V:V,0)))</f>
        <v>13.25</v>
      </c>
      <c r="H65" s="207">
        <f>IF(G65="",0,1)</f>
        <v>1</v>
      </c>
      <c r="I65" s="379">
        <f>INDEX(Picks!AG:AG,MATCH(A65,Picks!AD:AD,0))</f>
        <v>28</v>
      </c>
      <c r="J65" s="442" t="s">
        <v>434</v>
      </c>
      <c r="K65" s="190" t="str">
        <f>INDEX(Odds!H:H,MATCH(J65,Odds!G:G,0))</f>
        <v>5/6</v>
      </c>
      <c r="L65" s="443">
        <f>INDEX(Odds!I:I,MATCH(J65,Odds!G:G,0))</f>
        <v>1.8333333333333335</v>
      </c>
      <c r="M65" s="457">
        <f>INDEX(Odds!J:J,MATCH(J65,Odds!G:G,0))</f>
        <v>1</v>
      </c>
      <c r="N65" s="445">
        <f t="shared" si="8"/>
        <v>1.8333333333333335</v>
      </c>
      <c r="O65" s="577"/>
      <c r="P65" s="59"/>
      <c r="R65" s="36" t="str">
        <f>IF(Odds!G65="","",Odds!G65)</f>
        <v>Watford draw</v>
      </c>
      <c r="S65" s="37" t="str">
        <f>INDEX(Odds!H:H,MATCH(R65,Odds!G:G,0))</f>
        <v>9/4</v>
      </c>
      <c r="T65" s="41">
        <f t="shared" si="5"/>
        <v>1</v>
      </c>
      <c r="AB65" s="582" t="str">
        <f>IF(O65="","",INDEX(Odds!H:H,MATCH(O65,Odds!G:G,0)))</f>
        <v/>
      </c>
      <c r="AC65" s="605">
        <f>IF(J65="","",INDEX(Odds!K:K,MATCH(J65,Odds!G:G,0)))</f>
        <v>1</v>
      </c>
      <c r="AD65" s="59"/>
      <c r="AE65" s="59"/>
      <c r="AF65" s="438"/>
      <c r="AG65" s="59"/>
      <c r="AH65" s="59"/>
      <c r="AI65" s="59"/>
      <c r="AJ65" s="59"/>
      <c r="AK65" s="59"/>
      <c r="AL65" s="59"/>
    </row>
    <row r="66" spans="1:38">
      <c r="A66" s="644" t="str">
        <f>A65</f>
        <v>Frank Allen</v>
      </c>
      <c r="B66" s="446" t="str">
        <f t="shared" si="6"/>
        <v>Watford</v>
      </c>
      <c r="C66" s="516">
        <f>IF(J66="","",INDEX(Odds!C:C,MATCH(J66,Odds!G:G,0)))</f>
        <v>7</v>
      </c>
      <c r="D66" s="447">
        <f t="shared" si="7"/>
        <v>2</v>
      </c>
      <c r="E66" s="460" t="str">
        <f t="shared" si="3"/>
        <v>x</v>
      </c>
      <c r="F66" s="448"/>
      <c r="G66" s="449"/>
      <c r="H66" s="207"/>
      <c r="I66" s="380"/>
      <c r="J66" s="442" t="s">
        <v>537</v>
      </c>
      <c r="K66" s="191" t="str">
        <f>INDEX(Odds!H:H,MATCH(J66,Odds!G:G,0))</f>
        <v>1/1</v>
      </c>
      <c r="L66" s="450">
        <f>INDEX(Odds!I:I,MATCH(J66,Odds!G:G,0))</f>
        <v>2</v>
      </c>
      <c r="M66" s="444">
        <f>INDEX(Odds!J:J,MATCH(J66,Odds!G:G,0))</f>
        <v>0</v>
      </c>
      <c r="N66" s="445">
        <f t="shared" si="8"/>
        <v>0</v>
      </c>
      <c r="O66" s="577"/>
      <c r="P66" s="59"/>
      <c r="R66" s="36" t="str">
        <f>IF(Odds!G66="","",Odds!G66)</f>
        <v>Wigan draw</v>
      </c>
      <c r="S66" s="37" t="str">
        <f>INDEX(Odds!H:H,MATCH(R66,Odds!G:G,0))</f>
        <v>21/10</v>
      </c>
      <c r="T66" s="41">
        <f t="shared" si="5"/>
        <v>0</v>
      </c>
      <c r="AB66" s="582" t="str">
        <f>IF(O66="","",INDEX(Odds!H:H,MATCH(O66,Odds!G:G,0)))</f>
        <v/>
      </c>
      <c r="AC66" s="605">
        <f>IF(J66="","",INDEX(Odds!K:K,MATCH(J66,Odds!G:G,0)))</f>
        <v>1</v>
      </c>
      <c r="AD66" s="59"/>
      <c r="AE66" s="59"/>
      <c r="AF66" s="438"/>
      <c r="AG66" s="59"/>
    </row>
    <row r="67" spans="1:38" ht="13.5" thickBot="1">
      <c r="A67" s="645" t="str">
        <f>A65</f>
        <v>Frank Allen</v>
      </c>
      <c r="B67" s="451" t="str">
        <f t="shared" si="6"/>
        <v>Barnsley</v>
      </c>
      <c r="C67" s="517">
        <f>IF(J67="","",INDEX(Odds!C:C,MATCH(J67,Odds!G:G,0)))</f>
        <v>7</v>
      </c>
      <c r="D67" s="452">
        <f t="shared" si="7"/>
        <v>1.5</v>
      </c>
      <c r="E67" s="460" t="str">
        <f t="shared" ref="E67:E130" si="9">IF(J67="","",IF(M67=1,"√","x"))</f>
        <v>√</v>
      </c>
      <c r="F67" s="448"/>
      <c r="G67" s="449"/>
      <c r="H67" s="207"/>
      <c r="I67" s="380"/>
      <c r="J67" s="453" t="s">
        <v>584</v>
      </c>
      <c r="K67" s="192" t="str">
        <f>INDEX(Odds!H:H,MATCH(J67,Odds!G:G,0))</f>
        <v>1/2</v>
      </c>
      <c r="L67" s="454">
        <f>INDEX(Odds!I:I,MATCH(J67,Odds!G:G,0))</f>
        <v>1.5</v>
      </c>
      <c r="M67" s="444">
        <f>INDEX(Odds!J:J,MATCH(J67,Odds!G:G,0))</f>
        <v>1</v>
      </c>
      <c r="N67" s="455">
        <f t="shared" si="8"/>
        <v>1.5</v>
      </c>
      <c r="O67" s="578"/>
      <c r="P67" s="59"/>
      <c r="R67" s="36" t="str">
        <f>IF(Odds!G67="","",Odds!G67)</f>
        <v>Barnsley draw</v>
      </c>
      <c r="S67" s="37" t="str">
        <f>INDEX(Odds!H:H,MATCH(R67,Odds!G:G,0))</f>
        <v>3/1</v>
      </c>
      <c r="T67" s="41">
        <f t="shared" si="5"/>
        <v>0</v>
      </c>
      <c r="AB67" s="583" t="str">
        <f>IF(O67="","",INDEX(Odds!H:H,MATCH(O67,Odds!G:G,0)))</f>
        <v/>
      </c>
      <c r="AC67" s="605">
        <f>IF(J67="","",INDEX(Odds!K:K,MATCH(J67,Odds!G:G,0)))</f>
        <v>1</v>
      </c>
      <c r="AD67" s="59"/>
      <c r="AE67" s="59"/>
      <c r="AF67" s="438"/>
      <c r="AG67" s="59"/>
    </row>
    <row r="68" spans="1:38" ht="13.9" thickTop="1" thickBot="1">
      <c r="A68" s="440" t="str">
        <f>Results!B68</f>
        <v>Gareth McGuire</v>
      </c>
      <c r="B68" s="456" t="str">
        <f t="shared" si="6"/>
        <v>Derby</v>
      </c>
      <c r="C68" s="516">
        <f>IF(J68="","",INDEX(Odds!C:C,MATCH(J68,Odds!G:G,0)))</f>
        <v>7</v>
      </c>
      <c r="D68" s="441">
        <f t="shared" si="7"/>
        <v>2.2999999999999998</v>
      </c>
      <c r="E68" s="459" t="str">
        <f t="shared" si="9"/>
        <v>x</v>
      </c>
      <c r="F68" s="382">
        <f>IF(J68="",-10,INDEX(Results!T:T,MATCH(A68,Results!V:V,0)))</f>
        <v>-5.2</v>
      </c>
      <c r="G68" s="189">
        <f>IF(J68="","",INDEX(Results!AI:AI,MATCH(A68,Results!V:V,0)))</f>
        <v>29.884</v>
      </c>
      <c r="H68" s="207">
        <f>IF(G68="",0,1)</f>
        <v>1</v>
      </c>
      <c r="I68" s="379">
        <f>INDEX(Picks!AG:AG,MATCH(A68,Picks!AD:AD,0))</f>
        <v>47</v>
      </c>
      <c r="J68" s="442" t="s">
        <v>583</v>
      </c>
      <c r="K68" s="190" t="str">
        <f>INDEX(Odds!H:H,MATCH(J68,Odds!G:G,0))</f>
        <v>13/10</v>
      </c>
      <c r="L68" s="443">
        <f>INDEX(Odds!I:I,MATCH(J68,Odds!G:G,0))</f>
        <v>2.2999999999999998</v>
      </c>
      <c r="M68" s="457">
        <f>INDEX(Odds!J:J,MATCH(J68,Odds!G:G,0))</f>
        <v>0</v>
      </c>
      <c r="N68" s="445">
        <f t="shared" si="8"/>
        <v>0</v>
      </c>
      <c r="O68" s="577"/>
      <c r="P68" s="59"/>
      <c r="R68" s="36" t="str">
        <f>IF(Odds!G68="","",Odds!G68)</f>
        <v>Burton draw</v>
      </c>
      <c r="S68" s="37" t="str">
        <f>INDEX(Odds!H:H,MATCH(R68,Odds!G:G,0))</f>
        <v>23/10</v>
      </c>
      <c r="T68" s="41">
        <f t="shared" si="5"/>
        <v>0</v>
      </c>
      <c r="AB68" s="582" t="str">
        <f>IF(O68="","",INDEX(Odds!H:H,MATCH(O68,Odds!G:G,0)))</f>
        <v/>
      </c>
      <c r="AC68" s="605">
        <f>IF(J68="","",INDEX(Odds!K:K,MATCH(J68,Odds!G:G,0)))</f>
        <v>1</v>
      </c>
      <c r="AD68" s="59"/>
      <c r="AE68" s="59"/>
      <c r="AF68" s="438"/>
      <c r="AG68" s="59"/>
    </row>
    <row r="69" spans="1:38">
      <c r="A69" s="644" t="str">
        <f>A68</f>
        <v>Gareth McGuire</v>
      </c>
      <c r="B69" s="446" t="str">
        <f t="shared" si="6"/>
        <v>Stockport</v>
      </c>
      <c r="C69" s="516">
        <f>IF(J69="","",INDEX(Odds!C:C,MATCH(J69,Odds!G:G,0)))</f>
        <v>7</v>
      </c>
      <c r="D69" s="447">
        <f t="shared" si="7"/>
        <v>1.8</v>
      </c>
      <c r="E69" s="460" t="str">
        <f t="shared" si="9"/>
        <v>√</v>
      </c>
      <c r="F69" s="448"/>
      <c r="G69" s="449"/>
      <c r="H69" s="207"/>
      <c r="I69" s="380"/>
      <c r="J69" s="442" t="s">
        <v>620</v>
      </c>
      <c r="K69" s="191" t="str">
        <f>INDEX(Odds!H:H,MATCH(J69,Odds!G:G,0))</f>
        <v>4/5</v>
      </c>
      <c r="L69" s="450">
        <f>INDEX(Odds!I:I,MATCH(J69,Odds!G:G,0))</f>
        <v>1.8</v>
      </c>
      <c r="M69" s="444">
        <f>INDEX(Odds!J:J,MATCH(J69,Odds!G:G,0))</f>
        <v>1</v>
      </c>
      <c r="N69" s="445">
        <f t="shared" si="8"/>
        <v>1.8</v>
      </c>
      <c r="O69" s="577"/>
      <c r="P69" s="59"/>
      <c r="R69" s="36" t="str">
        <f>IF(Odds!G69="","",Odds!G69)</f>
        <v>Charlton draw</v>
      </c>
      <c r="S69" s="37" t="str">
        <f>INDEX(Odds!H:H,MATCH(R69,Odds!G:G,0))</f>
        <v>12/5</v>
      </c>
      <c r="T69" s="41">
        <f t="shared" si="5"/>
        <v>0</v>
      </c>
      <c r="AB69" s="582" t="str">
        <f>IF(O69="","",INDEX(Odds!H:H,MATCH(O69,Odds!G:G,0)))</f>
        <v/>
      </c>
      <c r="AC69" s="605">
        <f>IF(J69="","",INDEX(Odds!K:K,MATCH(J69,Odds!G:G,0)))</f>
        <v>1</v>
      </c>
      <c r="AD69" s="59"/>
      <c r="AE69" s="59"/>
      <c r="AF69" s="438"/>
      <c r="AG69" s="59"/>
    </row>
    <row r="70" spans="1:38" ht="13.5" thickBot="1">
      <c r="A70" s="645" t="str">
        <f>A68</f>
        <v>Gareth McGuire</v>
      </c>
      <c r="B70" s="451" t="str">
        <f t="shared" si="6"/>
        <v>Salford</v>
      </c>
      <c r="C70" s="517">
        <f>IF(J70="","",INDEX(Odds!C:C,MATCH(J70,Odds!G:G,0)))</f>
        <v>7</v>
      </c>
      <c r="D70" s="452">
        <f t="shared" si="7"/>
        <v>3.1</v>
      </c>
      <c r="E70" s="460" t="str">
        <f t="shared" si="9"/>
        <v>x</v>
      </c>
      <c r="F70" s="448"/>
      <c r="G70" s="449"/>
      <c r="H70" s="207"/>
      <c r="I70" s="380"/>
      <c r="J70" s="453" t="s">
        <v>530</v>
      </c>
      <c r="K70" s="192" t="str">
        <f>INDEX(Odds!H:H,MATCH(J70,Odds!G:G,0))</f>
        <v>21/10</v>
      </c>
      <c r="L70" s="454">
        <f>INDEX(Odds!I:I,MATCH(J70,Odds!G:G,0))</f>
        <v>3.1</v>
      </c>
      <c r="M70" s="444">
        <f>INDEX(Odds!J:J,MATCH(J70,Odds!G:G,0))</f>
        <v>0</v>
      </c>
      <c r="N70" s="455">
        <f t="shared" si="8"/>
        <v>0</v>
      </c>
      <c r="O70" s="578"/>
      <c r="P70" s="59"/>
      <c r="R70" s="36" t="str">
        <f>IF(Odds!G70="","",Odds!G70)</f>
        <v>Cheltenham draw</v>
      </c>
      <c r="S70" s="37" t="str">
        <f>INDEX(Odds!H:H,MATCH(R70,Odds!G:G,0))</f>
        <v>9/4</v>
      </c>
      <c r="T70" s="41">
        <f t="shared" si="5"/>
        <v>1</v>
      </c>
      <c r="AB70" s="583" t="str">
        <f>IF(O70="","",INDEX(Odds!H:H,MATCH(O70,Odds!G:G,0)))</f>
        <v/>
      </c>
      <c r="AC70" s="605">
        <f>IF(J70="","",INDEX(Odds!K:K,MATCH(J70,Odds!G:G,0)))</f>
        <v>1</v>
      </c>
      <c r="AD70" s="59"/>
      <c r="AE70" s="59"/>
      <c r="AF70" s="438"/>
      <c r="AG70" s="59"/>
    </row>
    <row r="71" spans="1:38" ht="13.9" thickTop="1" thickBot="1">
      <c r="A71" s="440" t="str">
        <f>Results!B71</f>
        <v>Gareth Powell</v>
      </c>
      <c r="B71" s="456" t="str">
        <f>IF(J71="","",J71)</f>
        <v/>
      </c>
      <c r="C71" s="516" t="str">
        <f>IF(J71="","",INDEX(Odds!C:C,MATCH(J71,Odds!G:G,0)))</f>
        <v/>
      </c>
      <c r="D71" s="441" t="str">
        <f>IF(J71="","",L71)</f>
        <v/>
      </c>
      <c r="E71" s="459" t="str">
        <f>IF(J71="","",IF(M71=1,"√","x"))</f>
        <v/>
      </c>
      <c r="F71" s="382">
        <f>IF(J71="",-10,INDEX(Results!T:T,MATCH(A71,Results!V:V,0)))</f>
        <v>-10</v>
      </c>
      <c r="G71" s="189" t="str">
        <f>IF(J71="","",INDEX(Results!AI:AI,MATCH(A71,Results!V:V,0)))</f>
        <v/>
      </c>
      <c r="H71" s="207">
        <f>IF(G71="",0,1)</f>
        <v>0</v>
      </c>
      <c r="I71" s="379" t="str">
        <f>INDEX(Picks!AG:AG,MATCH(A71,Picks!AD:AD,0))</f>
        <v/>
      </c>
      <c r="J71" s="442"/>
      <c r="K71" s="190" t="e">
        <f>INDEX(Odds!H:H,MATCH(J71,Odds!G:G,0))</f>
        <v>#N/A</v>
      </c>
      <c r="L71" s="443" t="e">
        <f>INDEX(Odds!I:I,MATCH(J71,Odds!G:G,0))</f>
        <v>#N/A</v>
      </c>
      <c r="M71" s="457" t="e">
        <f>INDEX(Odds!J:J,MATCH(J71,Odds!G:G,0))</f>
        <v>#N/A</v>
      </c>
      <c r="N71" s="445" t="e">
        <f t="shared" si="8"/>
        <v>#N/A</v>
      </c>
      <c r="O71" s="577"/>
      <c r="P71" s="59"/>
      <c r="R71" s="36" t="str">
        <f>IF(Odds!G71="","",Odds!G71)</f>
        <v>Ipswich draw</v>
      </c>
      <c r="S71" s="37" t="str">
        <f>INDEX(Odds!H:H,MATCH(R71,Odds!G:G,0))</f>
        <v>23/10</v>
      </c>
      <c r="T71" s="41">
        <f t="shared" si="5"/>
        <v>1</v>
      </c>
      <c r="AB71" s="582" t="str">
        <f>IF(O71="","",INDEX(Odds!H:H,MATCH(O71,Odds!G:G,0)))</f>
        <v/>
      </c>
      <c r="AC71" s="605" t="str">
        <f>IF(J71="","",INDEX(Odds!K:K,MATCH(J71,Odds!G:G,0)))</f>
        <v/>
      </c>
      <c r="AD71" s="59"/>
      <c r="AE71" s="59"/>
      <c r="AF71" s="438"/>
      <c r="AG71" s="59"/>
    </row>
    <row r="72" spans="1:38">
      <c r="A72" s="644" t="str">
        <f>A71</f>
        <v>Gareth Powell</v>
      </c>
      <c r="B72" s="446" t="str">
        <f t="shared" si="6"/>
        <v/>
      </c>
      <c r="C72" s="516" t="str">
        <f>IF(J72="","",INDEX(Odds!C:C,MATCH(J72,Odds!G:G,0)))</f>
        <v/>
      </c>
      <c r="D72" s="447" t="str">
        <f t="shared" si="7"/>
        <v/>
      </c>
      <c r="E72" s="460" t="str">
        <f t="shared" si="9"/>
        <v/>
      </c>
      <c r="F72" s="448"/>
      <c r="G72" s="449"/>
      <c r="H72" s="207"/>
      <c r="I72" s="380"/>
      <c r="J72" s="442"/>
      <c r="K72" s="191" t="e">
        <f>INDEX(Odds!H:H,MATCH(J72,Odds!G:G,0))</f>
        <v>#N/A</v>
      </c>
      <c r="L72" s="450" t="e">
        <f>INDEX(Odds!I:I,MATCH(J72,Odds!G:G,0))</f>
        <v>#N/A</v>
      </c>
      <c r="M72" s="444" t="e">
        <f>INDEX(Odds!J:J,MATCH(J72,Odds!G:G,0))</f>
        <v>#N/A</v>
      </c>
      <c r="N72" s="445" t="e">
        <f t="shared" si="8"/>
        <v>#N/A</v>
      </c>
      <c r="O72" s="577"/>
      <c r="P72" s="59"/>
      <c r="R72" s="36" t="str">
        <f>IF(Odds!G72="","",Odds!G72)</f>
        <v>Lincoln draw</v>
      </c>
      <c r="S72" s="37" t="str">
        <f>INDEX(Odds!H:H,MATCH(R72,Odds!G:G,0))</f>
        <v>23/10</v>
      </c>
      <c r="T72" s="41">
        <f t="shared" si="5"/>
        <v>0</v>
      </c>
      <c r="AB72" s="582" t="str">
        <f>IF(O72="","",INDEX(Odds!H:H,MATCH(O72,Odds!G:G,0)))</f>
        <v/>
      </c>
      <c r="AC72" s="605" t="str">
        <f>IF(J72="","",INDEX(Odds!K:K,MATCH(J72,Odds!G:G,0)))</f>
        <v/>
      </c>
      <c r="AD72" s="59"/>
      <c r="AE72" s="59"/>
      <c r="AF72" s="438"/>
      <c r="AG72" s="59"/>
    </row>
    <row r="73" spans="1:38" ht="13.5" thickBot="1">
      <c r="A73" s="645" t="str">
        <f>A71</f>
        <v>Gareth Powell</v>
      </c>
      <c r="B73" s="451" t="str">
        <f t="shared" si="6"/>
        <v/>
      </c>
      <c r="C73" s="517" t="str">
        <f>IF(J73="","",INDEX(Odds!C:C,MATCH(J73,Odds!G:G,0)))</f>
        <v/>
      </c>
      <c r="D73" s="452" t="str">
        <f t="shared" si="7"/>
        <v/>
      </c>
      <c r="E73" s="460" t="str">
        <f t="shared" si="9"/>
        <v/>
      </c>
      <c r="F73" s="448"/>
      <c r="G73" s="449"/>
      <c r="H73" s="207"/>
      <c r="I73" s="380"/>
      <c r="J73" s="453"/>
      <c r="K73" s="192" t="e">
        <f>INDEX(Odds!H:H,MATCH(J73,Odds!G:G,0))</f>
        <v>#N/A</v>
      </c>
      <c r="L73" s="454" t="e">
        <f>INDEX(Odds!I:I,MATCH(J73,Odds!G:G,0))</f>
        <v>#N/A</v>
      </c>
      <c r="M73" s="444" t="e">
        <f>INDEX(Odds!J:J,MATCH(J73,Odds!G:G,0))</f>
        <v>#N/A</v>
      </c>
      <c r="N73" s="455" t="e">
        <f t="shared" si="8"/>
        <v>#N/A</v>
      </c>
      <c r="O73" s="578"/>
      <c r="P73" s="59"/>
      <c r="R73" s="36" t="str">
        <f>IF(Odds!G73="","",Odds!G73)</f>
        <v>MK Dons draw</v>
      </c>
      <c r="S73" s="37" t="str">
        <f>INDEX(Odds!H:H,MATCH(R73,Odds!G:G,0))</f>
        <v>11/5</v>
      </c>
      <c r="T73" s="41">
        <f t="shared" si="5"/>
        <v>1</v>
      </c>
      <c r="AB73" s="583" t="str">
        <f>IF(O73="","",INDEX(Odds!H:H,MATCH(O73,Odds!G:G,0)))</f>
        <v/>
      </c>
      <c r="AC73" s="605" t="str">
        <f>IF(J73="","",INDEX(Odds!K:K,MATCH(J73,Odds!G:G,0)))</f>
        <v/>
      </c>
      <c r="AD73" s="59"/>
      <c r="AE73" s="59"/>
      <c r="AF73" s="438"/>
      <c r="AG73" s="59"/>
    </row>
    <row r="74" spans="1:38" ht="13.9" thickTop="1" thickBot="1">
      <c r="A74" s="440" t="str">
        <f>Results!B74</f>
        <v>Gerard Ventom</v>
      </c>
      <c r="B74" s="456" t="str">
        <f t="shared" si="6"/>
        <v>Reading</v>
      </c>
      <c r="C74" s="516">
        <f>IF(J74="","",INDEX(Odds!C:C,MATCH(J74,Odds!G:G,0)))</f>
        <v>7</v>
      </c>
      <c r="D74" s="441">
        <f t="shared" si="7"/>
        <v>4</v>
      </c>
      <c r="E74" s="459" t="str">
        <f t="shared" si="9"/>
        <v>x</v>
      </c>
      <c r="F74" s="382">
        <f>IF(J74="",-10,INDEX(Results!T:T,MATCH(A74,Results!V:V,0)))</f>
        <v>-4.625</v>
      </c>
      <c r="G74" s="189">
        <f>IF(J74="","",INDEX(Results!AI:AI,MATCH(A74,Results!V:V,0)))</f>
        <v>62.875</v>
      </c>
      <c r="H74" s="207">
        <f>IF(G74="",0,1)</f>
        <v>1</v>
      </c>
      <c r="I74" s="379">
        <f>INDEX(Picks!AG:AG,MATCH(A74,Picks!AD:AD,0))</f>
        <v>37</v>
      </c>
      <c r="J74" s="442" t="s">
        <v>535</v>
      </c>
      <c r="K74" s="190" t="str">
        <f>INDEX(Odds!H:H,MATCH(J74,Odds!G:G,0))</f>
        <v>3/1</v>
      </c>
      <c r="L74" s="443">
        <f>INDEX(Odds!I:I,MATCH(J74,Odds!G:G,0))</f>
        <v>4</v>
      </c>
      <c r="M74" s="457">
        <f>INDEX(Odds!J:J,MATCH(J74,Odds!G:G,0))</f>
        <v>0</v>
      </c>
      <c r="N74" s="445">
        <f t="shared" si="8"/>
        <v>0</v>
      </c>
      <c r="O74" s="577"/>
      <c r="P74" s="59"/>
      <c r="R74" s="36" t="str">
        <f>IF(Odds!G74="","",Odds!G74)</f>
        <v>Morecambe draw</v>
      </c>
      <c r="S74" s="37" t="str">
        <f>INDEX(Odds!H:H,MATCH(R74,Odds!G:G,0))</f>
        <v>9/4</v>
      </c>
      <c r="T74" s="41">
        <f t="shared" si="5"/>
        <v>1</v>
      </c>
      <c r="AB74" s="582" t="str">
        <f>IF(O74="","",INDEX(Odds!H:H,MATCH(O74,Odds!G:G,0)))</f>
        <v/>
      </c>
      <c r="AC74" s="605">
        <f>IF(J74="","",INDEX(Odds!K:K,MATCH(J74,Odds!G:G,0)))</f>
        <v>1</v>
      </c>
      <c r="AD74" s="59"/>
      <c r="AE74" s="59"/>
      <c r="AF74" s="438"/>
      <c r="AG74" s="59"/>
    </row>
    <row r="75" spans="1:38">
      <c r="A75" s="644" t="str">
        <f>A74</f>
        <v>Gerard Ventom</v>
      </c>
      <c r="B75" s="446" t="str">
        <f t="shared" si="6"/>
        <v>Wigan</v>
      </c>
      <c r="C75" s="516">
        <f>IF(J75="","",INDEX(Odds!C:C,MATCH(J75,Odds!G:G,0)))</f>
        <v>7</v>
      </c>
      <c r="D75" s="447">
        <f t="shared" si="7"/>
        <v>2.375</v>
      </c>
      <c r="E75" s="460" t="str">
        <f t="shared" si="9"/>
        <v>√</v>
      </c>
      <c r="F75" s="448"/>
      <c r="G75" s="449"/>
      <c r="H75" s="207"/>
      <c r="I75" s="380"/>
      <c r="J75" s="442" t="s">
        <v>357</v>
      </c>
      <c r="K75" s="191" t="str">
        <f>INDEX(Odds!H:H,MATCH(J75,Odds!G:G,0))</f>
        <v>11/8</v>
      </c>
      <c r="L75" s="450">
        <f>INDEX(Odds!I:I,MATCH(J75,Odds!G:G,0))</f>
        <v>2.375</v>
      </c>
      <c r="M75" s="444">
        <f>INDEX(Odds!J:J,MATCH(J75,Odds!G:G,0))</f>
        <v>1</v>
      </c>
      <c r="N75" s="445">
        <f t="shared" si="8"/>
        <v>2.375</v>
      </c>
      <c r="O75" s="577"/>
      <c r="P75" s="59"/>
      <c r="R75" s="36" t="str">
        <f>IF(Odds!G75="","",Odds!G75)</f>
        <v>Peterborough draw</v>
      </c>
      <c r="S75" s="37" t="str">
        <f>INDEX(Odds!H:H,MATCH(R75,Odds!G:G,0))</f>
        <v>9/4</v>
      </c>
      <c r="T75" s="41">
        <f t="shared" si="5"/>
        <v>0</v>
      </c>
      <c r="AB75" s="582" t="str">
        <f>IF(O75="","",INDEX(Odds!H:H,MATCH(O75,Odds!G:G,0)))</f>
        <v/>
      </c>
      <c r="AC75" s="605">
        <f>IF(J75="","",INDEX(Odds!K:K,MATCH(J75,Odds!G:G,0)))</f>
        <v>1</v>
      </c>
      <c r="AD75" s="59"/>
      <c r="AE75" s="59"/>
      <c r="AF75" s="438"/>
      <c r="AG75" s="59"/>
    </row>
    <row r="76" spans="1:38" ht="13.5" thickBot="1">
      <c r="A76" s="645" t="str">
        <f>A74</f>
        <v>Gerard Ventom</v>
      </c>
      <c r="B76" s="451" t="str">
        <f t="shared" si="6"/>
        <v>Orient</v>
      </c>
      <c r="C76" s="517">
        <f>IF(J76="","",INDEX(Odds!C:C,MATCH(J76,Odds!G:G,0)))</f>
        <v>7</v>
      </c>
      <c r="D76" s="452">
        <f t="shared" si="7"/>
        <v>3.2</v>
      </c>
      <c r="E76" s="460" t="str">
        <f t="shared" si="9"/>
        <v>x</v>
      </c>
      <c r="F76" s="448"/>
      <c r="G76" s="449"/>
      <c r="H76" s="207"/>
      <c r="I76" s="380"/>
      <c r="J76" s="453" t="s">
        <v>628</v>
      </c>
      <c r="K76" s="192" t="str">
        <f>INDEX(Odds!H:H,MATCH(J76,Odds!G:G,0))</f>
        <v>11/5</v>
      </c>
      <c r="L76" s="454">
        <f>INDEX(Odds!I:I,MATCH(J76,Odds!G:G,0))</f>
        <v>3.2</v>
      </c>
      <c r="M76" s="444">
        <f>INDEX(Odds!J:J,MATCH(J76,Odds!G:G,0))</f>
        <v>0</v>
      </c>
      <c r="N76" s="455">
        <f t="shared" si="8"/>
        <v>0</v>
      </c>
      <c r="O76" s="578"/>
      <c r="P76" s="59"/>
      <c r="R76" s="36" t="str">
        <f>IF(Odds!G76="","",Odds!G76)</f>
        <v>Plymouth draw</v>
      </c>
      <c r="S76" s="37" t="str">
        <f>INDEX(Odds!H:H,MATCH(R76,Odds!G:G,0))</f>
        <v>12/5</v>
      </c>
      <c r="T76" s="41">
        <f t="shared" si="5"/>
        <v>0</v>
      </c>
      <c r="AB76" s="583" t="str">
        <f>IF(O76="","",INDEX(Odds!H:H,MATCH(O76,Odds!G:G,0)))</f>
        <v/>
      </c>
      <c r="AC76" s="605">
        <f>IF(J76="","",INDEX(Odds!K:K,MATCH(J76,Odds!G:G,0)))</f>
        <v>1</v>
      </c>
      <c r="AD76" s="59"/>
      <c r="AE76" s="59"/>
      <c r="AF76" s="438"/>
      <c r="AG76" s="59"/>
    </row>
    <row r="77" spans="1:38" ht="13.9" thickTop="1" thickBot="1">
      <c r="A77" s="440" t="str">
        <f>Results!B77</f>
        <v>Graham Miller</v>
      </c>
      <c r="B77" s="456" t="str">
        <f t="shared" si="6"/>
        <v>Stoke</v>
      </c>
      <c r="C77" s="516">
        <f>IF(J77="","",INDEX(Odds!C:C,MATCH(J77,Odds!G:G,0)))</f>
        <v>7</v>
      </c>
      <c r="D77" s="441">
        <f t="shared" si="7"/>
        <v>2</v>
      </c>
      <c r="E77" s="459" t="str">
        <f t="shared" si="9"/>
        <v>x</v>
      </c>
      <c r="F77" s="382">
        <f>IF(J77="",-10,INDEX(Results!T:T,MATCH(A77,Results!V:V,0)))</f>
        <v>-4.625</v>
      </c>
      <c r="G77" s="189">
        <f>IF(J77="","",INDEX(Results!AI:AI,MATCH(A77,Results!V:V,0)))</f>
        <v>22.375</v>
      </c>
      <c r="H77" s="207">
        <f>IF(G77="",0,1)</f>
        <v>1</v>
      </c>
      <c r="I77" s="379">
        <f>INDEX(Picks!AG:AG,MATCH(A77,Picks!AD:AD,0))</f>
        <v>37</v>
      </c>
      <c r="J77" s="442" t="s">
        <v>540</v>
      </c>
      <c r="K77" s="190" t="str">
        <f>INDEX(Odds!H:H,MATCH(J77,Odds!G:G,0))</f>
        <v>1/1</v>
      </c>
      <c r="L77" s="443">
        <f>INDEX(Odds!I:I,MATCH(J77,Odds!G:G,0))</f>
        <v>2</v>
      </c>
      <c r="M77" s="457">
        <f>INDEX(Odds!J:J,MATCH(J77,Odds!G:G,0))</f>
        <v>0</v>
      </c>
      <c r="N77" s="445">
        <f t="shared" si="8"/>
        <v>0</v>
      </c>
      <c r="O77" s="577"/>
      <c r="P77" s="59"/>
      <c r="R77" s="36" t="str">
        <f>IF(Odds!G77="","",Odds!G77)</f>
        <v>Shrewsbury draw</v>
      </c>
      <c r="S77" s="37" t="str">
        <f>INDEX(Odds!H:H,MATCH(R77,Odds!G:G,0))</f>
        <v>11/5</v>
      </c>
      <c r="T77" s="41">
        <f t="shared" si="5"/>
        <v>0</v>
      </c>
      <c r="AB77" s="582" t="str">
        <f>IF(O77="","",INDEX(Odds!H:H,MATCH(O77,Odds!G:G,0)))</f>
        <v/>
      </c>
      <c r="AC77" s="605">
        <f>IF(J77="","",INDEX(Odds!K:K,MATCH(J77,Odds!G:G,0)))</f>
        <v>1</v>
      </c>
      <c r="AD77" s="59"/>
      <c r="AE77" s="59"/>
      <c r="AF77" s="438"/>
      <c r="AG77" s="59"/>
    </row>
    <row r="78" spans="1:38">
      <c r="A78" s="644" t="str">
        <f>A77</f>
        <v>Graham Miller</v>
      </c>
      <c r="B78" s="446" t="str">
        <f t="shared" si="6"/>
        <v>Watford</v>
      </c>
      <c r="C78" s="516">
        <f>IF(J78="","",INDEX(Odds!C:C,MATCH(J78,Odds!G:G,0)))</f>
        <v>7</v>
      </c>
      <c r="D78" s="447">
        <f t="shared" si="7"/>
        <v>2</v>
      </c>
      <c r="E78" s="460" t="str">
        <f t="shared" si="9"/>
        <v>x</v>
      </c>
      <c r="F78" s="448"/>
      <c r="G78" s="449"/>
      <c r="H78" s="207"/>
      <c r="I78" s="380"/>
      <c r="J78" s="442" t="s">
        <v>537</v>
      </c>
      <c r="K78" s="191" t="str">
        <f>INDEX(Odds!H:H,MATCH(J78,Odds!G:G,0))</f>
        <v>1/1</v>
      </c>
      <c r="L78" s="450">
        <f>INDEX(Odds!I:I,MATCH(J78,Odds!G:G,0))</f>
        <v>2</v>
      </c>
      <c r="M78" s="444">
        <f>INDEX(Odds!J:J,MATCH(J78,Odds!G:G,0))</f>
        <v>0</v>
      </c>
      <c r="N78" s="445">
        <f t="shared" si="8"/>
        <v>0</v>
      </c>
      <c r="O78" s="577"/>
      <c r="P78" s="59"/>
      <c r="R78" s="36" t="str">
        <f>IF(Odds!G78="","",Odds!G78)</f>
        <v>Wycombe draw</v>
      </c>
      <c r="S78" s="37" t="str">
        <f>INDEX(Odds!H:H,MATCH(R78,Odds!G:G,0))</f>
        <v>12/5</v>
      </c>
      <c r="T78" s="41">
        <f t="shared" si="5"/>
        <v>0</v>
      </c>
      <c r="AB78" s="582" t="str">
        <f>IF(O78="","",INDEX(Odds!H:H,MATCH(O78,Odds!G:G,0)))</f>
        <v/>
      </c>
      <c r="AC78" s="605">
        <f>IF(J78="","",INDEX(Odds!K:K,MATCH(J78,Odds!G:G,0)))</f>
        <v>1</v>
      </c>
      <c r="AD78" s="59"/>
      <c r="AE78" s="59"/>
      <c r="AF78" s="438"/>
      <c r="AG78" s="59"/>
    </row>
    <row r="79" spans="1:38" ht="13.5" thickBot="1">
      <c r="A79" s="645" t="str">
        <f>A77</f>
        <v>Graham Miller</v>
      </c>
      <c r="B79" s="451" t="str">
        <f t="shared" si="6"/>
        <v>Wigan</v>
      </c>
      <c r="C79" s="517">
        <f>IF(J79="","",INDEX(Odds!C:C,MATCH(J79,Odds!G:G,0)))</f>
        <v>7</v>
      </c>
      <c r="D79" s="452">
        <f t="shared" si="7"/>
        <v>2.375</v>
      </c>
      <c r="E79" s="460" t="str">
        <f t="shared" si="9"/>
        <v>√</v>
      </c>
      <c r="F79" s="448"/>
      <c r="G79" s="449"/>
      <c r="H79" s="207"/>
      <c r="I79" s="380"/>
      <c r="J79" s="453" t="s">
        <v>357</v>
      </c>
      <c r="K79" s="192" t="str">
        <f>INDEX(Odds!H:H,MATCH(J79,Odds!G:G,0))</f>
        <v>11/8</v>
      </c>
      <c r="L79" s="454">
        <f>INDEX(Odds!I:I,MATCH(J79,Odds!G:G,0))</f>
        <v>2.375</v>
      </c>
      <c r="M79" s="444">
        <f>INDEX(Odds!J:J,MATCH(J79,Odds!G:G,0))</f>
        <v>1</v>
      </c>
      <c r="N79" s="455">
        <f t="shared" si="8"/>
        <v>2.375</v>
      </c>
      <c r="O79" s="578"/>
      <c r="P79" s="59"/>
      <c r="R79" s="36" t="str">
        <f>IF(Odds!G79="","",Odds!G79)</f>
        <v>Barrow draw</v>
      </c>
      <c r="S79" s="37" t="str">
        <f>INDEX(Odds!H:H,MATCH(R79,Odds!G:G,0))</f>
        <v>21/10</v>
      </c>
      <c r="T79" s="41">
        <f t="shared" si="5"/>
        <v>0</v>
      </c>
      <c r="AB79" s="583" t="str">
        <f>IF(O79="","",INDEX(Odds!H:H,MATCH(O79,Odds!G:G,0)))</f>
        <v/>
      </c>
      <c r="AC79" s="605">
        <f>IF(J79="","",INDEX(Odds!K:K,MATCH(J79,Odds!G:G,0)))</f>
        <v>1</v>
      </c>
      <c r="AD79" s="59"/>
      <c r="AE79" s="59"/>
      <c r="AF79" s="438"/>
      <c r="AG79" s="59"/>
    </row>
    <row r="80" spans="1:38" ht="13.9" thickTop="1" thickBot="1">
      <c r="A80" s="440" t="str">
        <f>Results!B80</f>
        <v>Howard Bradley</v>
      </c>
      <c r="B80" s="456" t="str">
        <f t="shared" si="6"/>
        <v>Stoke draw</v>
      </c>
      <c r="C80" s="516">
        <f>IF(J80="","",INDEX(Odds!C:C,MATCH(J80,Odds!G:G,0)))</f>
        <v>7</v>
      </c>
      <c r="D80" s="441">
        <f t="shared" si="7"/>
        <v>3.25</v>
      </c>
      <c r="E80" s="459" t="str">
        <f t="shared" si="9"/>
        <v>√</v>
      </c>
      <c r="F80" s="382">
        <f>IF(J80="",-10,INDEX(Results!T:T,MATCH(A80,Results!V:V,0)))</f>
        <v>36.625</v>
      </c>
      <c r="G80" s="189">
        <f>IF(J80="","",INDEX(Results!AI:AI,MATCH(A80,Results!V:V,0)))</f>
        <v>36.625</v>
      </c>
      <c r="H80" s="207">
        <f>IF(G80="",0,1)</f>
        <v>1</v>
      </c>
      <c r="I80" s="379">
        <f>INDEX(Picks!AG:AG,MATCH(A80,Picks!AD:AD,0))</f>
        <v>2</v>
      </c>
      <c r="J80" s="442" t="s">
        <v>631</v>
      </c>
      <c r="K80" s="190" t="str">
        <f>INDEX(Odds!H:H,MATCH(J80,Odds!G:G,0))</f>
        <v>9/4</v>
      </c>
      <c r="L80" s="443">
        <f>INDEX(Odds!I:I,MATCH(J80,Odds!G:G,0))</f>
        <v>3.25</v>
      </c>
      <c r="M80" s="457">
        <f>INDEX(Odds!J:J,MATCH(J80,Odds!G:G,0))</f>
        <v>1</v>
      </c>
      <c r="N80" s="445">
        <f t="shared" si="8"/>
        <v>3.25</v>
      </c>
      <c r="O80" s="577"/>
      <c r="P80" s="59"/>
      <c r="R80" s="36" t="str">
        <f>IF(Odds!G80="","",Odds!G80)</f>
        <v>Crawley draw</v>
      </c>
      <c r="S80" s="37" t="str">
        <f>INDEX(Odds!H:H,MATCH(R80,Odds!G:G,0))</f>
        <v>21/10</v>
      </c>
      <c r="T80" s="41">
        <f t="shared" si="5"/>
        <v>1</v>
      </c>
      <c r="AB80" s="582" t="str">
        <f>IF(O80="","",INDEX(Odds!H:H,MATCH(O80,Odds!G:G,0)))</f>
        <v/>
      </c>
      <c r="AC80" s="605">
        <f>IF(J80="","",INDEX(Odds!K:K,MATCH(J80,Odds!G:G,0)))</f>
        <v>1</v>
      </c>
      <c r="AD80" s="59"/>
      <c r="AE80" s="59"/>
      <c r="AF80" s="438"/>
      <c r="AG80" s="59"/>
    </row>
    <row r="81" spans="1:33">
      <c r="A81" s="644" t="str">
        <f>A80</f>
        <v>Howard Bradley</v>
      </c>
      <c r="B81" s="446" t="str">
        <f t="shared" si="6"/>
        <v>Blackpool draw</v>
      </c>
      <c r="C81" s="516">
        <f>IF(J81="","",INDEX(Odds!C:C,MATCH(J81,Odds!G:G,0)))</f>
        <v>7</v>
      </c>
      <c r="D81" s="447">
        <f t="shared" si="7"/>
        <v>3.2</v>
      </c>
      <c r="E81" s="460" t="str">
        <f t="shared" si="9"/>
        <v>√</v>
      </c>
      <c r="F81" s="448"/>
      <c r="G81" s="449"/>
      <c r="H81" s="207"/>
      <c r="I81" s="380"/>
      <c r="J81" s="442" t="s">
        <v>646</v>
      </c>
      <c r="K81" s="191" t="str">
        <f>INDEX(Odds!H:H,MATCH(J81,Odds!G:G,0))</f>
        <v>11/5</v>
      </c>
      <c r="L81" s="450">
        <f>INDEX(Odds!I:I,MATCH(J81,Odds!G:G,0))</f>
        <v>3.2</v>
      </c>
      <c r="M81" s="444">
        <f>INDEX(Odds!J:J,MATCH(J81,Odds!G:G,0))</f>
        <v>1</v>
      </c>
      <c r="N81" s="445">
        <f t="shared" si="8"/>
        <v>3.2</v>
      </c>
      <c r="O81" s="577"/>
      <c r="P81" s="59"/>
      <c r="R81" s="36" t="str">
        <f>IF(Odds!G81="","",Odds!G81)</f>
        <v>Grimsby draw</v>
      </c>
      <c r="S81" s="37" t="str">
        <f>INDEX(Odds!H:H,MATCH(R81,Odds!G:G,0))</f>
        <v>9/4</v>
      </c>
      <c r="T81" s="41">
        <f t="shared" si="5"/>
        <v>0</v>
      </c>
      <c r="AB81" s="582" t="str">
        <f>IF(O81="","",INDEX(Odds!H:H,MATCH(O81,Odds!G:G,0)))</f>
        <v/>
      </c>
      <c r="AC81" s="605">
        <f>IF(J81="","",INDEX(Odds!K:K,MATCH(J81,Odds!G:G,0)))</f>
        <v>1</v>
      </c>
      <c r="AD81" s="59"/>
      <c r="AE81" s="59"/>
      <c r="AF81" s="438"/>
      <c r="AG81" s="59"/>
    </row>
    <row r="82" spans="1:33" ht="13.5" thickBot="1">
      <c r="A82" s="645" t="str">
        <f>A80</f>
        <v>Howard Bradley</v>
      </c>
      <c r="B82" s="451" t="str">
        <f t="shared" si="6"/>
        <v>Barnsley</v>
      </c>
      <c r="C82" s="517">
        <f>IF(J82="","",INDEX(Odds!C:C,MATCH(J82,Odds!G:G,0)))</f>
        <v>7</v>
      </c>
      <c r="D82" s="452">
        <f t="shared" si="7"/>
        <v>1.5</v>
      </c>
      <c r="E82" s="460" t="str">
        <f t="shared" si="9"/>
        <v>√</v>
      </c>
      <c r="F82" s="448"/>
      <c r="G82" s="449"/>
      <c r="H82" s="207"/>
      <c r="I82" s="380"/>
      <c r="J82" s="453" t="s">
        <v>584</v>
      </c>
      <c r="K82" s="192" t="str">
        <f>INDEX(Odds!H:H,MATCH(J82,Odds!G:G,0))</f>
        <v>1/2</v>
      </c>
      <c r="L82" s="454">
        <f>INDEX(Odds!I:I,MATCH(J82,Odds!G:G,0))</f>
        <v>1.5</v>
      </c>
      <c r="M82" s="444">
        <f>INDEX(Odds!J:J,MATCH(J82,Odds!G:G,0))</f>
        <v>1</v>
      </c>
      <c r="N82" s="455">
        <f t="shared" si="8"/>
        <v>1.5</v>
      </c>
      <c r="O82" s="578"/>
      <c r="P82" s="59"/>
      <c r="R82" s="36" t="str">
        <f>IF(Odds!G82="","",Odds!G82)</f>
        <v>Harrogate draw</v>
      </c>
      <c r="S82" s="37" t="str">
        <f>INDEX(Odds!H:H,MATCH(R82,Odds!G:G,0))</f>
        <v>5/2</v>
      </c>
      <c r="T82" s="41">
        <f t="shared" si="5"/>
        <v>0</v>
      </c>
      <c r="AB82" s="583" t="str">
        <f>IF(O82="","",INDEX(Odds!H:H,MATCH(O82,Odds!G:G,0)))</f>
        <v/>
      </c>
      <c r="AC82" s="605">
        <f>IF(J82="","",INDEX(Odds!K:K,MATCH(J82,Odds!G:G,0)))</f>
        <v>1</v>
      </c>
      <c r="AD82" s="59"/>
      <c r="AE82" s="59"/>
      <c r="AF82" s="438"/>
      <c r="AG82" s="59"/>
    </row>
    <row r="83" spans="1:33" ht="13.9" thickTop="1" thickBot="1">
      <c r="A83" s="440" t="str">
        <f>Results!B83</f>
        <v>Ian Davies</v>
      </c>
      <c r="B83" s="456" t="str">
        <f t="shared" si="6"/>
        <v>Peterborough draw</v>
      </c>
      <c r="C83" s="516">
        <f>IF(J83="","",INDEX(Odds!C:C,MATCH(J83,Odds!G:G,0)))</f>
        <v>7</v>
      </c>
      <c r="D83" s="441">
        <f t="shared" si="7"/>
        <v>3.25</v>
      </c>
      <c r="E83" s="459" t="str">
        <f t="shared" si="9"/>
        <v>x</v>
      </c>
      <c r="F83" s="382">
        <f>IF(J83="",-10,INDEX(Results!T:T,MATCH(A83,Results!V:V,0)))</f>
        <v>-3.8</v>
      </c>
      <c r="G83" s="189">
        <f>IF(J83="","",INDEX(Results!AI:AI,MATCH(A83,Results!V:V,0)))</f>
        <v>56.260000000000005</v>
      </c>
      <c r="H83" s="207">
        <f>IF(G83="",0,1)</f>
        <v>1</v>
      </c>
      <c r="I83" s="379">
        <f>INDEX(Picks!AG:AG,MATCH(A83,Picks!AD:AD,0))</f>
        <v>35</v>
      </c>
      <c r="J83" s="442" t="s">
        <v>636</v>
      </c>
      <c r="K83" s="190" t="str">
        <f>INDEX(Odds!H:H,MATCH(J83,Odds!G:G,0))</f>
        <v>9/4</v>
      </c>
      <c r="L83" s="443">
        <f>INDEX(Odds!I:I,MATCH(J83,Odds!G:G,0))</f>
        <v>3.25</v>
      </c>
      <c r="M83" s="457">
        <f>INDEX(Odds!J:J,MATCH(J83,Odds!G:G,0))</f>
        <v>0</v>
      </c>
      <c r="N83" s="445">
        <f t="shared" si="8"/>
        <v>0</v>
      </c>
      <c r="O83" s="577"/>
      <c r="P83" s="59"/>
      <c r="R83" s="36" t="str">
        <f>IF(Odds!G83="","",Odds!G83)</f>
        <v>Hartlepool draw</v>
      </c>
      <c r="S83" s="37" t="str">
        <f>INDEX(Odds!H:H,MATCH(R83,Odds!G:G,0))</f>
        <v>11/5</v>
      </c>
      <c r="T83" s="41">
        <f t="shared" si="5"/>
        <v>1</v>
      </c>
      <c r="AB83" s="582" t="str">
        <f>IF(O83="","",INDEX(Odds!H:H,MATCH(O83,Odds!G:G,0)))</f>
        <v/>
      </c>
      <c r="AC83" s="605">
        <f>IF(J83="","",INDEX(Odds!K:K,MATCH(J83,Odds!G:G,0)))</f>
        <v>1</v>
      </c>
      <c r="AD83" s="59"/>
      <c r="AE83" s="59"/>
      <c r="AF83" s="438"/>
      <c r="AG83" s="59"/>
    </row>
    <row r="84" spans="1:33">
      <c r="A84" s="644" t="str">
        <f>A83</f>
        <v>Ian Davies</v>
      </c>
      <c r="B84" s="446" t="str">
        <f t="shared" si="6"/>
        <v>Hartlepool draw</v>
      </c>
      <c r="C84" s="516">
        <f>IF(J84="","",INDEX(Odds!C:C,MATCH(J84,Odds!G:G,0)))</f>
        <v>7</v>
      </c>
      <c r="D84" s="447">
        <f t="shared" si="7"/>
        <v>3.2</v>
      </c>
      <c r="E84" s="460" t="str">
        <f t="shared" si="9"/>
        <v>√</v>
      </c>
      <c r="F84" s="448"/>
      <c r="G84" s="449"/>
      <c r="H84" s="207"/>
      <c r="I84" s="380"/>
      <c r="J84" s="442" t="s">
        <v>637</v>
      </c>
      <c r="K84" s="191" t="str">
        <f>INDEX(Odds!H:H,MATCH(J84,Odds!G:G,0))</f>
        <v>11/5</v>
      </c>
      <c r="L84" s="450">
        <f>INDEX(Odds!I:I,MATCH(J84,Odds!G:G,0))</f>
        <v>3.2</v>
      </c>
      <c r="M84" s="444">
        <f>INDEX(Odds!J:J,MATCH(J84,Odds!G:G,0))</f>
        <v>1</v>
      </c>
      <c r="N84" s="445">
        <f t="shared" si="8"/>
        <v>3.2</v>
      </c>
      <c r="O84" s="577"/>
      <c r="P84" s="59"/>
      <c r="R84" s="36" t="str">
        <f>IF(Odds!G84="","",Odds!G84)</f>
        <v>Mansfield draw</v>
      </c>
      <c r="S84" s="37" t="str">
        <f>INDEX(Odds!H:H,MATCH(R84,Odds!G:G,0))</f>
        <v>5/2</v>
      </c>
      <c r="T84" s="41">
        <f t="shared" si="5"/>
        <v>0</v>
      </c>
      <c r="AB84" s="582" t="str">
        <f>IF(O84="","",INDEX(Odds!H:H,MATCH(O84,Odds!G:G,0)))</f>
        <v/>
      </c>
      <c r="AC84" s="605">
        <f>IF(J84="","",INDEX(Odds!K:K,MATCH(J84,Odds!G:G,0)))</f>
        <v>1</v>
      </c>
      <c r="AD84" s="59"/>
      <c r="AE84" s="59"/>
      <c r="AF84" s="438"/>
      <c r="AG84" s="59"/>
    </row>
    <row r="85" spans="1:33" ht="13.5" thickBot="1">
      <c r="A85" s="645" t="str">
        <f>A83</f>
        <v>Ian Davies</v>
      </c>
      <c r="B85" s="451" t="str">
        <f t="shared" si="6"/>
        <v>QPR</v>
      </c>
      <c r="C85" s="517">
        <f>IF(J85="","",INDEX(Odds!C:C,MATCH(J85,Odds!G:G,0)))</f>
        <v>7</v>
      </c>
      <c r="D85" s="452">
        <f t="shared" si="7"/>
        <v>2.6</v>
      </c>
      <c r="E85" s="460" t="str">
        <f t="shared" si="9"/>
        <v>x</v>
      </c>
      <c r="F85" s="448"/>
      <c r="G85" s="449"/>
      <c r="H85" s="207"/>
      <c r="I85" s="380"/>
      <c r="J85" s="453" t="s">
        <v>532</v>
      </c>
      <c r="K85" s="192" t="str">
        <f>INDEX(Odds!H:H,MATCH(J85,Odds!G:G,0))</f>
        <v>8/5</v>
      </c>
      <c r="L85" s="454">
        <f>INDEX(Odds!I:I,MATCH(J85,Odds!G:G,0))</f>
        <v>2.6</v>
      </c>
      <c r="M85" s="444">
        <f>INDEX(Odds!J:J,MATCH(J85,Odds!G:G,0))</f>
        <v>0</v>
      </c>
      <c r="N85" s="455">
        <f t="shared" si="8"/>
        <v>0</v>
      </c>
      <c r="O85" s="578"/>
      <c r="P85" s="59"/>
      <c r="R85" s="36" t="str">
        <f>IF(Odds!G85="","",Odds!G85)</f>
        <v>Rochdale draw</v>
      </c>
      <c r="S85" s="37" t="str">
        <f>INDEX(Odds!H:H,MATCH(R85,Odds!G:G,0))</f>
        <v>11/5</v>
      </c>
      <c r="T85" s="41">
        <f t="shared" si="5"/>
        <v>1</v>
      </c>
      <c r="AB85" s="583" t="str">
        <f>IF(O85="","",INDEX(Odds!H:H,MATCH(O85,Odds!G:G,0)))</f>
        <v/>
      </c>
      <c r="AC85" s="605">
        <f>IF(J85="","",INDEX(Odds!K:K,MATCH(J85,Odds!G:G,0)))</f>
        <v>1</v>
      </c>
      <c r="AD85" s="59"/>
      <c r="AE85" s="59"/>
      <c r="AF85" s="438"/>
      <c r="AG85" s="59"/>
    </row>
    <row r="86" spans="1:33" ht="13.9" thickTop="1" thickBot="1">
      <c r="A86" s="440" t="str">
        <f>Results!B86</f>
        <v>Jack Walsh</v>
      </c>
      <c r="B86" s="456" t="str">
        <f t="shared" si="6"/>
        <v>Leeds draw</v>
      </c>
      <c r="C86" s="516">
        <f>IF(J86="","",INDEX(Odds!C:C,MATCH(J86,Odds!G:G,0)))</f>
        <v>1</v>
      </c>
      <c r="D86" s="441">
        <f t="shared" si="7"/>
        <v>3.9</v>
      </c>
      <c r="E86" s="459" t="str">
        <f t="shared" si="9"/>
        <v>x</v>
      </c>
      <c r="F86" s="382">
        <f>IF(J86="",-10,INDEX(Results!T:T,MATCH(A86,Results!V:V,0)))</f>
        <v>11.40625</v>
      </c>
      <c r="G86" s="189">
        <f>IF(J86="","",INDEX(Results!AI:AI,MATCH(A86,Results!V:V,0)))</f>
        <v>87.090625000000003</v>
      </c>
      <c r="H86" s="207">
        <f>IF(G86="",0,1)</f>
        <v>1</v>
      </c>
      <c r="I86" s="379">
        <f>INDEX(Picks!AG:AG,MATCH(A86,Picks!AD:AD,0))</f>
        <v>7</v>
      </c>
      <c r="J86" s="442" t="s">
        <v>643</v>
      </c>
      <c r="K86" s="190" t="str">
        <f>INDEX(Odds!H:H,MATCH(J86,Odds!G:G,0))</f>
        <v>29/10</v>
      </c>
      <c r="L86" s="443">
        <f>INDEX(Odds!I:I,MATCH(J86,Odds!G:G,0))</f>
        <v>3.9</v>
      </c>
      <c r="M86" s="457">
        <f>INDEX(Odds!J:J,MATCH(J86,Odds!G:G,0))</f>
        <v>0</v>
      </c>
      <c r="N86" s="445">
        <f t="shared" si="8"/>
        <v>0</v>
      </c>
      <c r="O86" s="577"/>
      <c r="P86" s="59"/>
      <c r="R86" s="36" t="str">
        <f>IF(Odds!G86="","",Odds!G86)</f>
        <v>Stevenage draw</v>
      </c>
      <c r="S86" s="37" t="str">
        <f>INDEX(Odds!H:H,MATCH(R86,Odds!G:G,0))</f>
        <v>12/5</v>
      </c>
      <c r="T86" s="41">
        <f t="shared" si="5"/>
        <v>0</v>
      </c>
      <c r="AB86" s="582" t="str">
        <f>IF(O86="","",INDEX(Odds!H:H,MATCH(O86,Odds!G:G,0)))</f>
        <v/>
      </c>
      <c r="AC86" s="605">
        <f>IF(J86="","",INDEX(Odds!K:K,MATCH(J86,Odds!G:G,0)))</f>
        <v>1</v>
      </c>
      <c r="AD86" s="59"/>
      <c r="AE86" s="59"/>
      <c r="AF86" s="438"/>
      <c r="AG86" s="59"/>
    </row>
    <row r="87" spans="1:33">
      <c r="A87" s="644" t="str">
        <f>A86</f>
        <v>Jack Walsh</v>
      </c>
      <c r="B87" s="446" t="str">
        <f t="shared" si="6"/>
        <v>Wigan</v>
      </c>
      <c r="C87" s="516">
        <f>IF(J87="","",INDEX(Odds!C:C,MATCH(J87,Odds!G:G,0)))</f>
        <v>7</v>
      </c>
      <c r="D87" s="447">
        <f t="shared" si="7"/>
        <v>2.375</v>
      </c>
      <c r="E87" s="460" t="str">
        <f t="shared" si="9"/>
        <v>√</v>
      </c>
      <c r="F87" s="448"/>
      <c r="G87" s="449"/>
      <c r="H87" s="207"/>
      <c r="I87" s="380"/>
      <c r="J87" s="442" t="s">
        <v>357</v>
      </c>
      <c r="K87" s="191" t="str">
        <f>INDEX(Odds!H:H,MATCH(J87,Odds!G:G,0))</f>
        <v>11/8</v>
      </c>
      <c r="L87" s="450">
        <f>INDEX(Odds!I:I,MATCH(J87,Odds!G:G,0))</f>
        <v>2.375</v>
      </c>
      <c r="M87" s="444">
        <f>INDEX(Odds!J:J,MATCH(J87,Odds!G:G,0))</f>
        <v>1</v>
      </c>
      <c r="N87" s="445">
        <f t="shared" si="8"/>
        <v>2.375</v>
      </c>
      <c r="O87" s="577"/>
      <c r="P87" s="59"/>
      <c r="R87" s="36" t="str">
        <f>IF(Odds!G87="","",Odds!G87)</f>
        <v>Swindon draw</v>
      </c>
      <c r="S87" s="37" t="str">
        <f>INDEX(Odds!H:H,MATCH(R87,Odds!G:G,0))</f>
        <v>11/5</v>
      </c>
      <c r="T87" s="41">
        <f t="shared" si="5"/>
        <v>0</v>
      </c>
      <c r="AB87" s="582" t="str">
        <f>IF(O87="","",INDEX(Odds!H:H,MATCH(O87,Odds!G:G,0)))</f>
        <v/>
      </c>
      <c r="AC87" s="605">
        <f>IF(J87="","",INDEX(Odds!K:K,MATCH(J87,Odds!G:G,0)))</f>
        <v>1</v>
      </c>
      <c r="AD87" s="59"/>
      <c r="AE87" s="59"/>
      <c r="AF87" s="438"/>
      <c r="AG87" s="59"/>
    </row>
    <row r="88" spans="1:33" ht="13.5" thickBot="1">
      <c r="A88" s="645" t="str">
        <f>A86</f>
        <v>Jack Walsh</v>
      </c>
      <c r="B88" s="451" t="str">
        <f t="shared" si="6"/>
        <v>Arsenal draw</v>
      </c>
      <c r="C88" s="517">
        <f>IF(J88="","",INDEX(Odds!C:C,MATCH(J88,Odds!G:G,0)))</f>
        <v>7</v>
      </c>
      <c r="D88" s="452">
        <f t="shared" si="7"/>
        <v>4.75</v>
      </c>
      <c r="E88" s="460" t="str">
        <f t="shared" si="9"/>
        <v>√</v>
      </c>
      <c r="F88" s="448"/>
      <c r="G88" s="449"/>
      <c r="H88" s="207"/>
      <c r="I88" s="380"/>
      <c r="J88" s="453" t="s">
        <v>632</v>
      </c>
      <c r="K88" s="192" t="str">
        <f>INDEX(Odds!H:H,MATCH(J88,Odds!G:G,0))</f>
        <v>15/4</v>
      </c>
      <c r="L88" s="454">
        <f>INDEX(Odds!I:I,MATCH(J88,Odds!G:G,0))</f>
        <v>4.75</v>
      </c>
      <c r="M88" s="444">
        <f>INDEX(Odds!J:J,MATCH(J88,Odds!G:G,0))</f>
        <v>1</v>
      </c>
      <c r="N88" s="455">
        <f t="shared" si="8"/>
        <v>4.75</v>
      </c>
      <c r="O88" s="578"/>
      <c r="P88" s="59"/>
      <c r="R88" s="36" t="str">
        <f>IF(Odds!G88="","",Odds!G88)</f>
        <v>Tranmere draw</v>
      </c>
      <c r="S88" s="37" t="str">
        <f>INDEX(Odds!H:H,MATCH(R88,Odds!G:G,0))</f>
        <v>2/1</v>
      </c>
      <c r="T88" s="41">
        <f t="shared" si="5"/>
        <v>0</v>
      </c>
      <c r="AB88" s="583" t="str">
        <f>IF(O88="","",INDEX(Odds!H:H,MATCH(O88,Odds!G:G,0)))</f>
        <v/>
      </c>
      <c r="AC88" s="605">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Walsall draw</v>
      </c>
      <c r="S89" s="37" t="str">
        <f>INDEX(Odds!H:H,MATCH(R89,Odds!G:G,0))</f>
        <v>15/8</v>
      </c>
      <c r="T89" s="41">
        <f t="shared" si="5"/>
        <v>1</v>
      </c>
      <c r="AB89" s="582" t="str">
        <f>IF(O89="","",INDEX(Odds!H:H,MATCH(O89,Odds!G:G,0)))</f>
        <v/>
      </c>
      <c r="AC89" s="605" t="str">
        <f>IF(J89="","",INDEX(Odds!K:K,MATCH(J89,Odds!G:G,0)))</f>
        <v/>
      </c>
      <c r="AD89" s="59"/>
      <c r="AE89" s="59"/>
      <c r="AF89" s="438"/>
      <c r="AG89" s="59"/>
    </row>
    <row r="90" spans="1:33">
      <c r="A90" s="644"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Wimbledon draw</v>
      </c>
      <c r="S90" s="37" t="str">
        <f>INDEX(Odds!H:H,MATCH(R90,Odds!G:G,0))</f>
        <v>21/10</v>
      </c>
      <c r="T90" s="41">
        <f t="shared" si="5"/>
        <v>1</v>
      </c>
      <c r="AB90" s="582" t="str">
        <f>IF(O90="","",INDEX(Odds!H:H,MATCH(O90,Odds!G:G,0)))</f>
        <v/>
      </c>
      <c r="AC90" s="605" t="str">
        <f>IF(J90="","",INDEX(Odds!K:K,MATCH(J90,Odds!G:G,0)))</f>
        <v/>
      </c>
      <c r="AD90" s="59"/>
      <c r="AE90" s="59"/>
      <c r="AF90" s="438"/>
      <c r="AG90" s="59"/>
    </row>
    <row r="91" spans="1:33" ht="13.5" thickBot="1">
      <c r="A91" s="645"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Leeds draw</v>
      </c>
      <c r="S91" s="37" t="str">
        <f>INDEX(Odds!H:H,MATCH(R91,Odds!G:G,0))</f>
        <v>29/10</v>
      </c>
      <c r="T91" s="41">
        <f t="shared" si="5"/>
        <v>0</v>
      </c>
      <c r="AB91" s="583" t="str">
        <f>IF(O91="","",INDEX(Odds!H:H,MATCH(O91,Odds!G:G,0)))</f>
        <v/>
      </c>
      <c r="AC91" s="605" t="str">
        <f>IF(J91="","",INDEX(Odds!K:K,MATCH(J91,Odds!G:G,0)))</f>
        <v/>
      </c>
      <c r="AD91" s="59"/>
      <c r="AE91" s="59"/>
      <c r="AF91" s="438"/>
      <c r="AG91" s="59"/>
    </row>
    <row r="92" spans="1:33" ht="13.9" thickTop="1" thickBot="1">
      <c r="A92" s="440" t="str">
        <f>Results!B92</f>
        <v>John Murphy</v>
      </c>
      <c r="B92" s="456" t="str">
        <f t="shared" si="6"/>
        <v>Palace</v>
      </c>
      <c r="C92" s="516">
        <f>IF(J92="","",INDEX(Odds!C:C,MATCH(J92,Odds!G:G,0)))</f>
        <v>7</v>
      </c>
      <c r="D92" s="441">
        <f t="shared" si="7"/>
        <v>3.6</v>
      </c>
      <c r="E92" s="459" t="str">
        <f t="shared" si="9"/>
        <v>x</v>
      </c>
      <c r="F92" s="382">
        <f>IF(J92="",-10,INDEX(Results!T:T,MATCH(A92,Results!V:V,0)))</f>
        <v>-7</v>
      </c>
      <c r="G92" s="189">
        <f>IF(J92="","",INDEX(Results!AI:AI,MATCH(A92,Results!V:V,0)))</f>
        <v>49.683999999999997</v>
      </c>
      <c r="H92" s="207">
        <f>IF(G92="",0,1)</f>
        <v>1</v>
      </c>
      <c r="I92" s="379">
        <f>INDEX(Picks!AG:AG,MATCH(A92,Picks!AD:AD,0))</f>
        <v>50</v>
      </c>
      <c r="J92" s="442" t="s">
        <v>578</v>
      </c>
      <c r="K92" s="190" t="str">
        <f>INDEX(Odds!H:H,MATCH(J92,Odds!G:G,0))</f>
        <v>13/5</v>
      </c>
      <c r="L92" s="443">
        <f>INDEX(Odds!I:I,MATCH(J92,Odds!G:G,0))</f>
        <v>3.6</v>
      </c>
      <c r="M92" s="457">
        <f>INDEX(Odds!J:J,MATCH(J92,Odds!G:G,0))</f>
        <v>0</v>
      </c>
      <c r="N92" s="445">
        <f t="shared" si="8"/>
        <v>0</v>
      </c>
      <c r="O92" s="577"/>
      <c r="P92" s="59"/>
      <c r="R92" s="36" t="str">
        <f>IF(Odds!G92="","",Odds!G92)</f>
        <v>Man C draw</v>
      </c>
      <c r="S92" s="37" t="str">
        <f>INDEX(Odds!H:H,MATCH(R92,Odds!G:G,0))</f>
        <v>5/1</v>
      </c>
      <c r="T92" s="41">
        <f t="shared" si="5"/>
        <v>0</v>
      </c>
      <c r="AB92" s="582" t="str">
        <f>IF(O92="","",INDEX(Odds!H:H,MATCH(O92,Odds!G:G,0)))</f>
        <v/>
      </c>
      <c r="AC92" s="605">
        <f>IF(J92="","",INDEX(Odds!K:K,MATCH(J92,Odds!G:G,0)))</f>
        <v>1</v>
      </c>
      <c r="AD92" s="59"/>
      <c r="AE92" s="59"/>
      <c r="AF92" s="438"/>
      <c r="AG92" s="59"/>
    </row>
    <row r="93" spans="1:33">
      <c r="A93" s="644" t="str">
        <f>A92</f>
        <v>John Murphy</v>
      </c>
      <c r="B93" s="446" t="str">
        <f t="shared" si="6"/>
        <v>Southampton</v>
      </c>
      <c r="C93" s="516">
        <f>IF(J93="","",INDEX(Odds!C:C,MATCH(J93,Odds!G:G,0)))</f>
        <v>7</v>
      </c>
      <c r="D93" s="447">
        <f t="shared" si="7"/>
        <v>2.8</v>
      </c>
      <c r="E93" s="460" t="str">
        <f t="shared" si="9"/>
        <v>x</v>
      </c>
      <c r="F93" s="448"/>
      <c r="G93" s="449"/>
      <c r="H93" s="207"/>
      <c r="I93" s="380"/>
      <c r="J93" s="442" t="s">
        <v>594</v>
      </c>
      <c r="K93" s="191" t="str">
        <f>INDEX(Odds!H:H,MATCH(J93,Odds!G:G,0))</f>
        <v>9/5</v>
      </c>
      <c r="L93" s="450">
        <f>INDEX(Odds!I:I,MATCH(J93,Odds!G:G,0))</f>
        <v>2.8</v>
      </c>
      <c r="M93" s="444">
        <f>INDEX(Odds!J:J,MATCH(J93,Odds!G:G,0))</f>
        <v>0</v>
      </c>
      <c r="N93" s="445">
        <f t="shared" si="8"/>
        <v>0</v>
      </c>
      <c r="O93" s="577"/>
      <c r="P93" s="59"/>
      <c r="R93" s="42" t="str">
        <f>IF(Odds!G93="","",Odds!G93)</f>
        <v/>
      </c>
      <c r="S93" s="43" t="str">
        <f>INDEX(Odds!H:H,MATCH(R93,Odds!G:G,0))</f>
        <v/>
      </c>
      <c r="T93" s="44" t="e">
        <f t="shared" si="5"/>
        <v>#N/A</v>
      </c>
      <c r="AB93" s="582" t="str">
        <f>IF(O93="","",INDEX(Odds!H:H,MATCH(O93,Odds!G:G,0)))</f>
        <v/>
      </c>
      <c r="AC93" s="605">
        <f>IF(J93="","",INDEX(Odds!K:K,MATCH(J93,Odds!G:G,0)))</f>
        <v>1</v>
      </c>
      <c r="AD93" s="59"/>
      <c r="AE93" s="59"/>
      <c r="AF93" s="438"/>
      <c r="AG93" s="59"/>
    </row>
    <row r="94" spans="1:33" ht="13.5" thickBot="1">
      <c r="A94" s="645" t="str">
        <f>A92</f>
        <v>John Murphy</v>
      </c>
      <c r="B94" s="451" t="str">
        <f t="shared" si="6"/>
        <v>Norwich</v>
      </c>
      <c r="C94" s="517">
        <f>IF(J94="","",INDEX(Odds!C:C,MATCH(J94,Odds!G:G,0)))</f>
        <v>7</v>
      </c>
      <c r="D94" s="452">
        <f t="shared" si="7"/>
        <v>2.2999999999999998</v>
      </c>
      <c r="E94" s="460" t="str">
        <f t="shared" si="9"/>
        <v>x</v>
      </c>
      <c r="F94" s="448"/>
      <c r="G94" s="449"/>
      <c r="H94" s="207"/>
      <c r="I94" s="380"/>
      <c r="J94" s="453" t="s">
        <v>598</v>
      </c>
      <c r="K94" s="192" t="str">
        <f>INDEX(Odds!H:H,MATCH(J94,Odds!G:G,0))</f>
        <v>13/10</v>
      </c>
      <c r="L94" s="454">
        <f>INDEX(Odds!I:I,MATCH(J94,Odds!G:G,0))</f>
        <v>2.2999999999999998</v>
      </c>
      <c r="M94" s="444">
        <f>INDEX(Odds!J:J,MATCH(J94,Odds!G:G,0))</f>
        <v>0</v>
      </c>
      <c r="N94" s="455">
        <f t="shared" si="8"/>
        <v>0</v>
      </c>
      <c r="O94" s="578"/>
      <c r="P94" s="59"/>
      <c r="R94" s="38" t="str">
        <f>IF(Odds!G94="","",Odds!G94)</f>
        <v>West Brom</v>
      </c>
      <c r="S94" s="39" t="str">
        <f>INDEX(Odds!H:H,MATCH(R94,Odds!G:G,0))</f>
        <v>21/20</v>
      </c>
      <c r="T94" s="40">
        <f t="shared" ref="T94:T139" si="10">IF(V2&lt;X2,1,0)</f>
        <v>0</v>
      </c>
      <c r="AB94" s="583" t="str">
        <f>IF(O94="","",INDEX(Odds!H:H,MATCH(O94,Odds!G:G,0)))</f>
        <v/>
      </c>
      <c r="AC94" s="605">
        <f>IF(J94="","",INDEX(Odds!K:K,MATCH(J94,Odds!G:G,0)))</f>
        <v>1</v>
      </c>
      <c r="AD94" s="59"/>
      <c r="AE94" s="59"/>
      <c r="AF94" s="438"/>
      <c r="AG94" s="59"/>
    </row>
    <row r="95" spans="1:33" ht="13.5" customHeight="1" thickTop="1" thickBot="1">
      <c r="A95" s="440" t="str">
        <f>Results!B95</f>
        <v>John Ronan</v>
      </c>
      <c r="B95" s="456" t="str">
        <f t="shared" si="6"/>
        <v>Fulham</v>
      </c>
      <c r="C95" s="516">
        <f>IF(J95="","",INDEX(Odds!C:C,MATCH(J95,Odds!G:G,0)))</f>
        <v>7</v>
      </c>
      <c r="D95" s="441">
        <f t="shared" si="7"/>
        <v>1.95</v>
      </c>
      <c r="E95" s="459" t="str">
        <f t="shared" si="9"/>
        <v>√</v>
      </c>
      <c r="F95" s="382">
        <f>IF(J95="",-10,INDEX(Results!T:T,MATCH(A95,Results!V:V,0)))</f>
        <v>1.2925000000000004</v>
      </c>
      <c r="G95" s="189">
        <f>IF(J95="","",INDEX(Results!AI:AI,MATCH(A95,Results!V:V,0)))</f>
        <v>21.736000000000001</v>
      </c>
      <c r="H95" s="207">
        <f>IF(G95="",0,1)</f>
        <v>1</v>
      </c>
      <c r="I95" s="379">
        <f>INDEX(Picks!AG:AG,MATCH(A95,Picks!AD:AD,0))</f>
        <v>21</v>
      </c>
      <c r="J95" s="442" t="s">
        <v>575</v>
      </c>
      <c r="K95" s="190" t="str">
        <f>INDEX(Odds!H:H,MATCH(J95,Odds!G:G,0))</f>
        <v>19/20</v>
      </c>
      <c r="L95" s="443">
        <f>INDEX(Odds!I:I,MATCH(J95,Odds!G:G,0))</f>
        <v>1.95</v>
      </c>
      <c r="M95" s="457">
        <f>INDEX(Odds!J:J,MATCH(J95,Odds!G:G,0))</f>
        <v>1</v>
      </c>
      <c r="N95" s="445">
        <f t="shared" si="8"/>
        <v>1.95</v>
      </c>
      <c r="O95" s="577"/>
      <c r="P95" s="59"/>
      <c r="R95" s="36" t="str">
        <f>IF(Odds!G95="","",Odds!G95)</f>
        <v>Brentford</v>
      </c>
      <c r="S95" s="37" t="str">
        <f>INDEX(Odds!H:H,MATCH(R95,Odds!G:G,0))</f>
        <v>15/2</v>
      </c>
      <c r="T95" s="41">
        <f t="shared" si="10"/>
        <v>0</v>
      </c>
      <c r="AB95" s="582" t="str">
        <f>IF(O95="","",INDEX(Odds!H:H,MATCH(O95,Odds!G:G,0)))</f>
        <v/>
      </c>
      <c r="AC95" s="605">
        <f>IF(J95="","",INDEX(Odds!K:K,MATCH(J95,Odds!G:G,0)))</f>
        <v>1</v>
      </c>
      <c r="AD95" s="59"/>
      <c r="AE95" s="59"/>
      <c r="AF95" s="438"/>
      <c r="AG95" s="59"/>
    </row>
    <row r="96" spans="1:33">
      <c r="A96" s="644" t="str">
        <f>A95</f>
        <v>John Ronan</v>
      </c>
      <c r="B96" s="446" t="str">
        <f t="shared" si="6"/>
        <v>Middlesbro</v>
      </c>
      <c r="C96" s="516">
        <f>IF(J96="","",INDEX(Odds!C:C,MATCH(J96,Odds!G:G,0)))</f>
        <v>7</v>
      </c>
      <c r="D96" s="447">
        <f t="shared" si="7"/>
        <v>2.15</v>
      </c>
      <c r="E96" s="460" t="str">
        <f t="shared" si="9"/>
        <v>√</v>
      </c>
      <c r="F96" s="448"/>
      <c r="G96" s="449"/>
      <c r="H96" s="207"/>
      <c r="I96" s="380"/>
      <c r="J96" s="442" t="s">
        <v>534</v>
      </c>
      <c r="K96" s="191" t="str">
        <f>INDEX(Odds!H:H,MATCH(J96,Odds!G:G,0))</f>
        <v>23/20</v>
      </c>
      <c r="L96" s="450">
        <f>INDEX(Odds!I:I,MATCH(J96,Odds!G:G,0))</f>
        <v>2.15</v>
      </c>
      <c r="M96" s="444">
        <f>INDEX(Odds!J:J,MATCH(J96,Odds!G:G,0))</f>
        <v>1</v>
      </c>
      <c r="N96" s="445">
        <f t="shared" si="8"/>
        <v>2.15</v>
      </c>
      <c r="O96" s="577"/>
      <c r="P96" s="59"/>
      <c r="R96" s="36" t="str">
        <f>IF(Odds!G96="","",Odds!G96)</f>
        <v>Newcastle</v>
      </c>
      <c r="S96" s="37" t="str">
        <f>INDEX(Odds!H:H,MATCH(R96,Odds!G:G,0))</f>
        <v>1/2</v>
      </c>
      <c r="T96" s="41">
        <f t="shared" si="10"/>
        <v>0</v>
      </c>
      <c r="AB96" s="582" t="str">
        <f>IF(O96="","",INDEX(Odds!H:H,MATCH(O96,Odds!G:G,0)))</f>
        <v/>
      </c>
      <c r="AC96" s="605">
        <f>IF(J96="","",INDEX(Odds!K:K,MATCH(J96,Odds!G:G,0)))</f>
        <v>1</v>
      </c>
      <c r="AD96" s="59"/>
      <c r="AE96" s="59"/>
      <c r="AF96" s="438"/>
      <c r="AG96" s="59"/>
    </row>
    <row r="97" spans="1:33" ht="13.5" thickBot="1">
      <c r="A97" s="645" t="str">
        <f>A95</f>
        <v>John Ronan</v>
      </c>
      <c r="B97" s="451" t="str">
        <f t="shared" si="6"/>
        <v>Coventry</v>
      </c>
      <c r="C97" s="517">
        <f>IF(J97="","",INDEX(Odds!C:C,MATCH(J97,Odds!G:G,0)))</f>
        <v>7</v>
      </c>
      <c r="D97" s="452">
        <f t="shared" si="7"/>
        <v>2.2000000000000002</v>
      </c>
      <c r="E97" s="460" t="str">
        <f t="shared" si="9"/>
        <v>x</v>
      </c>
      <c r="F97" s="448"/>
      <c r="G97" s="449"/>
      <c r="H97" s="207"/>
      <c r="I97" s="380"/>
      <c r="J97" s="453" t="s">
        <v>599</v>
      </c>
      <c r="K97" s="192" t="str">
        <f>INDEX(Odds!H:H,MATCH(J97,Odds!G:G,0))</f>
        <v>6/5</v>
      </c>
      <c r="L97" s="454">
        <f>INDEX(Odds!I:I,MATCH(J97,Odds!G:G,0))</f>
        <v>2.2000000000000002</v>
      </c>
      <c r="M97" s="444">
        <f>INDEX(Odds!J:J,MATCH(J97,Odds!G:G,0))</f>
        <v>0</v>
      </c>
      <c r="N97" s="455">
        <f t="shared" si="8"/>
        <v>0</v>
      </c>
      <c r="O97" s="578"/>
      <c r="P97" s="59"/>
      <c r="R97" s="36" t="str">
        <f>IF(Odds!G97="","",Odds!G97)</f>
        <v>Forest</v>
      </c>
      <c r="S97" s="37" t="str">
        <f>INDEX(Odds!H:H,MATCH(R97,Odds!G:G,0))</f>
        <v>29/10</v>
      </c>
      <c r="T97" s="41">
        <f t="shared" si="10"/>
        <v>0</v>
      </c>
      <c r="AB97" s="583" t="str">
        <f>IF(O97="","",INDEX(Odds!H:H,MATCH(O97,Odds!G:G,0)))</f>
        <v/>
      </c>
      <c r="AC97" s="605">
        <f>IF(J97="","",INDEX(Odds!K:K,MATCH(J97,Odds!G:G,0)))</f>
        <v>1</v>
      </c>
      <c r="AD97" s="59"/>
      <c r="AE97" s="59"/>
      <c r="AF97" s="438"/>
      <c r="AG97" s="59"/>
    </row>
    <row r="98" spans="1:33" ht="13.9" thickTop="1" thickBot="1">
      <c r="A98" s="440" t="str">
        <f>Results!B98</f>
        <v>Julie Dodd</v>
      </c>
      <c r="B98" s="456" t="str">
        <f t="shared" si="6"/>
        <v>Lincoln</v>
      </c>
      <c r="C98" s="516">
        <f>IF(J98="","",INDEX(Odds!C:C,MATCH(J98,Odds!G:G,0)))</f>
        <v>7</v>
      </c>
      <c r="D98" s="441">
        <f t="shared" si="7"/>
        <v>2.2999999999999998</v>
      </c>
      <c r="E98" s="459" t="str">
        <f t="shared" si="9"/>
        <v>√</v>
      </c>
      <c r="F98" s="382">
        <f>IF(J98="",-10,INDEX(Results!T:T,MATCH(A98,Results!V:V,0)))</f>
        <v>-4.7</v>
      </c>
      <c r="G98" s="189">
        <f>IF(J98="","",INDEX(Results!AI:AI,MATCH(A98,Results!V:V,0)))</f>
        <v>34.734999999999999</v>
      </c>
      <c r="H98" s="207">
        <f>IF(G98="",0,1)</f>
        <v>1</v>
      </c>
      <c r="I98" s="379">
        <f>INDEX(Picks!AG:AG,MATCH(A98,Picks!AD:AD,0))</f>
        <v>40</v>
      </c>
      <c r="J98" s="442" t="s">
        <v>609</v>
      </c>
      <c r="K98" s="190" t="str">
        <f>INDEX(Odds!H:H,MATCH(J98,Odds!G:G,0))</f>
        <v>13/10</v>
      </c>
      <c r="L98" s="443">
        <f>INDEX(Odds!I:I,MATCH(J98,Odds!G:G,0))</f>
        <v>2.2999999999999998</v>
      </c>
      <c r="M98" s="457">
        <f>INDEX(Odds!J:J,MATCH(J98,Odds!G:G,0))</f>
        <v>1</v>
      </c>
      <c r="N98" s="445">
        <f t="shared" ref="N98:N148" si="11">L98*M98</f>
        <v>2.2999999999999998</v>
      </c>
      <c r="O98" s="577"/>
      <c r="P98" s="59"/>
      <c r="R98" s="36" t="str">
        <f>IF(Odds!G98="","",Odds!G98)</f>
        <v>Spurs</v>
      </c>
      <c r="S98" s="37" t="str">
        <f>INDEX(Odds!H:H,MATCH(R98,Odds!G:G,0))</f>
        <v>21/20</v>
      </c>
      <c r="T98" s="41">
        <f t="shared" si="10"/>
        <v>0</v>
      </c>
      <c r="AB98" s="582" t="str">
        <f>IF(O98="","",INDEX(Odds!H:H,MATCH(O98,Odds!G:G,0)))</f>
        <v/>
      </c>
      <c r="AC98" s="605">
        <f>IF(J98="","",INDEX(Odds!K:K,MATCH(J98,Odds!G:G,0)))</f>
        <v>1</v>
      </c>
      <c r="AD98" s="59"/>
      <c r="AE98" s="59"/>
      <c r="AF98" s="438"/>
      <c r="AG98" s="59"/>
    </row>
    <row r="99" spans="1:33">
      <c r="A99" s="644" t="str">
        <f>A98</f>
        <v>Julie Dodd</v>
      </c>
      <c r="B99" s="446" t="str">
        <f t="shared" si="6"/>
        <v>MK Dons</v>
      </c>
      <c r="C99" s="516">
        <f>IF(J99="","",INDEX(Odds!C:C,MATCH(J99,Odds!G:G,0)))</f>
        <v>7</v>
      </c>
      <c r="D99" s="447">
        <f t="shared" si="7"/>
        <v>2.5</v>
      </c>
      <c r="E99" s="460" t="str">
        <f t="shared" si="9"/>
        <v>x</v>
      </c>
      <c r="F99" s="448"/>
      <c r="G99" s="449"/>
      <c r="H99" s="207"/>
      <c r="I99" s="380"/>
      <c r="J99" s="442" t="s">
        <v>610</v>
      </c>
      <c r="K99" s="191" t="str">
        <f>INDEX(Odds!H:H,MATCH(J99,Odds!G:G,0))</f>
        <v>6/4</v>
      </c>
      <c r="L99" s="450">
        <f>INDEX(Odds!I:I,MATCH(J99,Odds!G:G,0))</f>
        <v>2.5</v>
      </c>
      <c r="M99" s="444">
        <f>INDEX(Odds!J:J,MATCH(J99,Odds!G:G,0))</f>
        <v>0</v>
      </c>
      <c r="N99" s="445">
        <f t="shared" si="11"/>
        <v>0</v>
      </c>
      <c r="O99" s="577"/>
      <c r="P99" s="59"/>
      <c r="R99" s="36" t="str">
        <f>IF(Odds!G99="","",Odds!G99)</f>
        <v>Brighton</v>
      </c>
      <c r="S99" s="37" t="str">
        <f>INDEX(Odds!H:H,MATCH(R99,Odds!G:G,0))</f>
        <v>11/10</v>
      </c>
      <c r="T99" s="41">
        <f t="shared" si="10"/>
        <v>0</v>
      </c>
      <c r="AB99" s="582" t="str">
        <f>IF(O99="","",INDEX(Odds!H:H,MATCH(O99,Odds!G:G,0)))</f>
        <v/>
      </c>
      <c r="AC99" s="605">
        <f>IF(J99="","",INDEX(Odds!K:K,MATCH(J99,Odds!G:G,0)))</f>
        <v>1</v>
      </c>
      <c r="AD99" s="59"/>
      <c r="AE99" s="59"/>
      <c r="AF99" s="438"/>
      <c r="AG99" s="59"/>
    </row>
    <row r="100" spans="1:33" ht="13.5" thickBot="1">
      <c r="A100" s="645" t="str">
        <f>A98</f>
        <v>Julie Dodd</v>
      </c>
      <c r="B100" s="451" t="str">
        <f t="shared" si="6"/>
        <v>Exeter</v>
      </c>
      <c r="C100" s="517">
        <f>IF(J100="","",INDEX(Odds!C:C,MATCH(J100,Odds!G:G,0)))</f>
        <v>7</v>
      </c>
      <c r="D100" s="452">
        <f t="shared" si="7"/>
        <v>2.7</v>
      </c>
      <c r="E100" s="460" t="str">
        <f t="shared" si="9"/>
        <v>x</v>
      </c>
      <c r="F100" s="448"/>
      <c r="G100" s="449"/>
      <c r="H100" s="207"/>
      <c r="I100" s="380"/>
      <c r="J100" s="453" t="s">
        <v>569</v>
      </c>
      <c r="K100" s="192" t="str">
        <f>INDEX(Odds!H:H,MATCH(J100,Odds!G:G,0))</f>
        <v>17/10</v>
      </c>
      <c r="L100" s="454">
        <f>INDEX(Odds!I:I,MATCH(J100,Odds!G:G,0))</f>
        <v>2.7</v>
      </c>
      <c r="M100" s="444">
        <f>INDEX(Odds!J:J,MATCH(J100,Odds!G:G,0))</f>
        <v>0</v>
      </c>
      <c r="N100" s="455">
        <f t="shared" si="11"/>
        <v>0</v>
      </c>
      <c r="O100" s="578"/>
      <c r="P100" s="59"/>
      <c r="R100" s="36" t="str">
        <f>IF(Odds!G100="","",Odds!G100)</f>
        <v>Wolves</v>
      </c>
      <c r="S100" s="37" t="str">
        <f>INDEX(Odds!H:H,MATCH(R100,Odds!G:G,0))</f>
        <v>13/8</v>
      </c>
      <c r="T100" s="41">
        <f t="shared" si="10"/>
        <v>1</v>
      </c>
      <c r="AB100" s="583" t="str">
        <f>IF(O100="","",INDEX(Odds!H:H,MATCH(O100,Odds!G:G,0)))</f>
        <v/>
      </c>
      <c r="AC100" s="605">
        <f>IF(J100="","",INDEX(Odds!K:K,MATCH(J100,Odds!G:G,0)))</f>
        <v>1</v>
      </c>
      <c r="AD100" s="59"/>
      <c r="AE100" s="59"/>
      <c r="AF100" s="438"/>
      <c r="AG100" s="59"/>
    </row>
    <row r="101" spans="1:33" ht="13.9" thickTop="1" thickBot="1">
      <c r="A101" s="440" t="str">
        <f>Results!B101</f>
        <v>Kei Lok Ma</v>
      </c>
      <c r="B101" s="456" t="str">
        <f t="shared" si="6"/>
        <v>Middlesbro</v>
      </c>
      <c r="C101" s="516">
        <f>IF(J101="","",INDEX(Odds!C:C,MATCH(J101,Odds!G:G,0)))</f>
        <v>7</v>
      </c>
      <c r="D101" s="441">
        <f t="shared" si="7"/>
        <v>2.15</v>
      </c>
      <c r="E101" s="459" t="str">
        <f t="shared" si="9"/>
        <v>√</v>
      </c>
      <c r="F101" s="382">
        <f>IF(J101="",-10,INDEX(Results!T:T,MATCH(A101,Results!V:V,0)))</f>
        <v>0.92500000000000071</v>
      </c>
      <c r="G101" s="189">
        <f>IF(J101="","",INDEX(Results!AI:AI,MATCH(A101,Results!V:V,0)))</f>
        <v>29.931249999999999</v>
      </c>
      <c r="H101" s="207">
        <f>IF(G101="",0,1)</f>
        <v>1</v>
      </c>
      <c r="I101" s="379">
        <f>INDEX(Picks!AG:AG,MATCH(A101,Picks!AD:AD,0))</f>
        <v>23</v>
      </c>
      <c r="J101" s="442" t="s">
        <v>534</v>
      </c>
      <c r="K101" s="190" t="str">
        <f>INDEX(Odds!H:H,MATCH(J101,Odds!G:G,0))</f>
        <v>23/20</v>
      </c>
      <c r="L101" s="443">
        <f>INDEX(Odds!I:I,MATCH(J101,Odds!G:G,0))</f>
        <v>2.15</v>
      </c>
      <c r="M101" s="457">
        <f>INDEX(Odds!J:J,MATCH(J101,Odds!G:G,0))</f>
        <v>1</v>
      </c>
      <c r="N101" s="445">
        <f t="shared" si="11"/>
        <v>2.15</v>
      </c>
      <c r="O101" s="577"/>
      <c r="P101" s="59"/>
      <c r="R101" s="36" t="str">
        <f>IF(Odds!G101="","",Odds!G101)</f>
        <v>Chelsea</v>
      </c>
      <c r="S101" s="37" t="str">
        <f>INDEX(Odds!H:H,MATCH(R101,Odds!G:G,0))</f>
        <v>5/4</v>
      </c>
      <c r="T101" s="41">
        <f t="shared" si="10"/>
        <v>0</v>
      </c>
      <c r="AB101" s="582" t="str">
        <f>IF(O101="","",INDEX(Odds!H:H,MATCH(O101,Odds!G:G,0)))</f>
        <v/>
      </c>
      <c r="AC101" s="605">
        <f>IF(J101="","",INDEX(Odds!K:K,MATCH(J101,Odds!G:G,0)))</f>
        <v>1</v>
      </c>
      <c r="AD101" s="59"/>
      <c r="AE101" s="59"/>
      <c r="AF101" s="438"/>
      <c r="AG101" s="59"/>
    </row>
    <row r="102" spans="1:33">
      <c r="A102" s="644" t="str">
        <f>A101</f>
        <v>Kei Lok Ma</v>
      </c>
      <c r="B102" s="446" t="str">
        <f t="shared" si="6"/>
        <v>Luton</v>
      </c>
      <c r="C102" s="516">
        <f>IF(J102="","",INDEX(Odds!C:C,MATCH(J102,Odds!G:G,0)))</f>
        <v>7</v>
      </c>
      <c r="D102" s="447">
        <f t="shared" si="7"/>
        <v>3.25</v>
      </c>
      <c r="E102" s="460" t="str">
        <f t="shared" si="9"/>
        <v>x</v>
      </c>
      <c r="F102" s="448"/>
      <c r="G102" s="449"/>
      <c r="H102" s="207"/>
      <c r="I102" s="380"/>
      <c r="J102" s="442" t="s">
        <v>554</v>
      </c>
      <c r="K102" s="191" t="str">
        <f>INDEX(Odds!H:H,MATCH(J102,Odds!G:G,0))</f>
        <v>9/4</v>
      </c>
      <c r="L102" s="450">
        <f>INDEX(Odds!I:I,MATCH(J102,Odds!G:G,0))</f>
        <v>3.25</v>
      </c>
      <c r="M102" s="444">
        <f>INDEX(Odds!J:J,MATCH(J102,Odds!G:G,0))</f>
        <v>0</v>
      </c>
      <c r="N102" s="445">
        <f t="shared" si="11"/>
        <v>0</v>
      </c>
      <c r="O102" s="577"/>
      <c r="P102" s="59"/>
      <c r="R102" s="36" t="str">
        <f>IF(Odds!G102="","",Odds!G102)</f>
        <v>Rotherham</v>
      </c>
      <c r="S102" s="37" t="str">
        <f>INDEX(Odds!H:H,MATCH(R102,Odds!G:G,0))</f>
        <v>12/5</v>
      </c>
      <c r="T102" s="41">
        <f t="shared" si="10"/>
        <v>0</v>
      </c>
      <c r="AB102" s="582" t="str">
        <f>IF(O102="","",INDEX(Odds!H:H,MATCH(O102,Odds!G:G,0)))</f>
        <v/>
      </c>
      <c r="AC102" s="605">
        <f>IF(J102="","",INDEX(Odds!K:K,MATCH(J102,Odds!G:G,0)))</f>
        <v>1</v>
      </c>
      <c r="AD102" s="59"/>
      <c r="AE102" s="59"/>
      <c r="AF102" s="438"/>
      <c r="AG102" s="59"/>
    </row>
    <row r="103" spans="1:33" ht="13.5" thickBot="1">
      <c r="A103" s="645" t="str">
        <f>A101</f>
        <v>Kei Lok Ma</v>
      </c>
      <c r="B103" s="451" t="str">
        <f t="shared" si="6"/>
        <v>Sheff U</v>
      </c>
      <c r="C103" s="517">
        <f>IF(J103="","",INDEX(Odds!C:C,MATCH(J103,Odds!G:G,0)))</f>
        <v>7</v>
      </c>
      <c r="D103" s="452">
        <f t="shared" si="7"/>
        <v>1.8333333333333335</v>
      </c>
      <c r="E103" s="460" t="str">
        <f t="shared" si="9"/>
        <v>√</v>
      </c>
      <c r="F103" s="448"/>
      <c r="G103" s="449"/>
      <c r="H103" s="207"/>
      <c r="I103" s="380"/>
      <c r="J103" s="453" t="s">
        <v>434</v>
      </c>
      <c r="K103" s="192" t="str">
        <f>INDEX(Odds!H:H,MATCH(J103,Odds!G:G,0))</f>
        <v>5/6</v>
      </c>
      <c r="L103" s="454">
        <f>INDEX(Odds!I:I,MATCH(J103,Odds!G:G,0))</f>
        <v>1.8333333333333335</v>
      </c>
      <c r="M103" s="444">
        <f>INDEX(Odds!J:J,MATCH(J103,Odds!G:G,0))</f>
        <v>1</v>
      </c>
      <c r="N103" s="455">
        <f t="shared" si="11"/>
        <v>1.8333333333333335</v>
      </c>
      <c r="O103" s="578"/>
      <c r="P103" s="59"/>
      <c r="R103" s="36" t="str">
        <f>IF(Odds!G103="","",Odds!G103)</f>
        <v>Norwich</v>
      </c>
      <c r="S103" s="37" t="str">
        <f>INDEX(Odds!H:H,MATCH(R103,Odds!G:G,0))</f>
        <v>13/10</v>
      </c>
      <c r="T103" s="41">
        <f t="shared" si="10"/>
        <v>0</v>
      </c>
      <c r="AB103" s="583" t="str">
        <f>IF(O103="","",INDEX(Odds!H:H,MATCH(O103,Odds!G:G,0)))</f>
        <v/>
      </c>
      <c r="AC103" s="605">
        <f>IF(J103="","",INDEX(Odds!K:K,MATCH(J103,Odds!G:G,0)))</f>
        <v>1</v>
      </c>
      <c r="AD103" s="59"/>
      <c r="AE103" s="59"/>
      <c r="AF103" s="438"/>
      <c r="AG103" s="59"/>
    </row>
    <row r="104" spans="1:33" ht="13.9" thickTop="1" thickBot="1">
      <c r="A104" s="440" t="str">
        <f>Results!B104</f>
        <v>Kevin Carter</v>
      </c>
      <c r="B104" s="456" t="str">
        <f t="shared" si="6"/>
        <v>Brighton</v>
      </c>
      <c r="C104" s="516">
        <f>IF(J104="","",INDEX(Odds!C:C,MATCH(J104,Odds!G:G,0)))</f>
        <v>7</v>
      </c>
      <c r="D104" s="441">
        <f t="shared" si="7"/>
        <v>2.1</v>
      </c>
      <c r="E104" s="459" t="str">
        <f t="shared" si="9"/>
        <v>x</v>
      </c>
      <c r="F104" s="382">
        <f>IF(J104="",-10,INDEX(Results!T:T,MATCH(A104,Results!V:V,0)))</f>
        <v>2.2708333333333339</v>
      </c>
      <c r="G104" s="189">
        <f>IF(J104="","",INDEX(Results!AI:AI,MATCH(A104,Results!V:V,0)))</f>
        <v>23.839583333333337</v>
      </c>
      <c r="H104" s="207">
        <f>IF(G104="",0,1)</f>
        <v>1</v>
      </c>
      <c r="I104" s="379">
        <f>INDEX(Picks!AG:AG,MATCH(A104,Picks!AD:AD,0))</f>
        <v>15</v>
      </c>
      <c r="J104" s="442" t="s">
        <v>553</v>
      </c>
      <c r="K104" s="190" t="str">
        <f>INDEX(Odds!H:H,MATCH(J104,Odds!G:G,0))</f>
        <v>11/10</v>
      </c>
      <c r="L104" s="443">
        <f>INDEX(Odds!I:I,MATCH(J104,Odds!G:G,0))</f>
        <v>2.1</v>
      </c>
      <c r="M104" s="457">
        <f>INDEX(Odds!J:J,MATCH(J104,Odds!G:G,0))</f>
        <v>0</v>
      </c>
      <c r="N104" s="445">
        <f t="shared" si="11"/>
        <v>0</v>
      </c>
      <c r="O104" s="577"/>
      <c r="P104" s="59"/>
      <c r="R104" s="36" t="str">
        <f>IF(Odds!G104="","",Odds!G104)</f>
        <v>Preston</v>
      </c>
      <c r="S104" s="37" t="str">
        <f>INDEX(Odds!H:H,MATCH(R104,Odds!G:G,0))</f>
        <v>11/2</v>
      </c>
      <c r="T104" s="41">
        <f t="shared" si="10"/>
        <v>0</v>
      </c>
      <c r="AB104" s="582" t="str">
        <f>IF(O104="","",INDEX(Odds!H:H,MATCH(O104,Odds!G:G,0)))</f>
        <v/>
      </c>
      <c r="AC104" s="605">
        <f>IF(J104="","",INDEX(Odds!K:K,MATCH(J104,Odds!G:G,0)))</f>
        <v>1</v>
      </c>
      <c r="AD104" s="59"/>
      <c r="AE104" s="59"/>
      <c r="AF104" s="438"/>
      <c r="AG104" s="59"/>
    </row>
    <row r="105" spans="1:33">
      <c r="A105" s="644" t="str">
        <f>A104</f>
        <v>Kevin Carter</v>
      </c>
      <c r="B105" s="446" t="str">
        <f t="shared" si="6"/>
        <v>Wolves</v>
      </c>
      <c r="C105" s="516">
        <f>IF(J105="","",INDEX(Odds!C:C,MATCH(J105,Odds!G:G,0)))</f>
        <v>7</v>
      </c>
      <c r="D105" s="447">
        <f t="shared" si="7"/>
        <v>2.625</v>
      </c>
      <c r="E105" s="460" t="str">
        <f t="shared" si="9"/>
        <v>√</v>
      </c>
      <c r="F105" s="448"/>
      <c r="G105" s="449"/>
      <c r="H105" s="207"/>
      <c r="I105" s="380"/>
      <c r="J105" s="442" t="s">
        <v>580</v>
      </c>
      <c r="K105" s="191" t="str">
        <f>INDEX(Odds!H:H,MATCH(J105,Odds!G:G,0))</f>
        <v>13/8</v>
      </c>
      <c r="L105" s="450">
        <f>INDEX(Odds!I:I,MATCH(J105,Odds!G:G,0))</f>
        <v>2.625</v>
      </c>
      <c r="M105" s="444">
        <f>INDEX(Odds!J:J,MATCH(J105,Odds!G:G,0))</f>
        <v>1</v>
      </c>
      <c r="N105" s="445">
        <f t="shared" si="11"/>
        <v>2.625</v>
      </c>
      <c r="O105" s="577"/>
      <c r="P105" s="59"/>
      <c r="R105" s="36" t="str">
        <f>IF(Odds!G105="","",Odds!G105)</f>
        <v>Middlesbro</v>
      </c>
      <c r="S105" s="37" t="str">
        <f>INDEX(Odds!H:H,MATCH(R105,Odds!G:G,0))</f>
        <v>23/20</v>
      </c>
      <c r="T105" s="41">
        <f t="shared" si="10"/>
        <v>1</v>
      </c>
      <c r="AB105" s="582" t="str">
        <f>IF(O105="","",INDEX(Odds!H:H,MATCH(O105,Odds!G:G,0)))</f>
        <v/>
      </c>
      <c r="AC105" s="605">
        <f>IF(J105="","",INDEX(Odds!K:K,MATCH(J105,Odds!G:G,0)))</f>
        <v>1</v>
      </c>
      <c r="AD105" s="59"/>
      <c r="AE105" s="59"/>
      <c r="AF105" s="438"/>
      <c r="AG105" s="59"/>
    </row>
    <row r="106" spans="1:33" ht="13.5" thickBot="1">
      <c r="A106" s="645" t="str">
        <f>A104</f>
        <v>Kevin Carter</v>
      </c>
      <c r="B106" s="451" t="str">
        <f t="shared" si="6"/>
        <v>Sheff U</v>
      </c>
      <c r="C106" s="517">
        <f>IF(J106="","",INDEX(Odds!C:C,MATCH(J106,Odds!G:G,0)))</f>
        <v>7</v>
      </c>
      <c r="D106" s="452">
        <f t="shared" si="7"/>
        <v>1.8333333333333335</v>
      </c>
      <c r="E106" s="460" t="str">
        <f t="shared" si="9"/>
        <v>√</v>
      </c>
      <c r="F106" s="448"/>
      <c r="G106" s="449"/>
      <c r="H106" s="207"/>
      <c r="I106" s="380"/>
      <c r="J106" s="453" t="s">
        <v>434</v>
      </c>
      <c r="K106" s="192" t="str">
        <f>INDEX(Odds!H:H,MATCH(J106,Odds!G:G,0))</f>
        <v>5/6</v>
      </c>
      <c r="L106" s="454">
        <f>INDEX(Odds!I:I,MATCH(J106,Odds!G:G,0))</f>
        <v>1.8333333333333335</v>
      </c>
      <c r="M106" s="444">
        <f>INDEX(Odds!J:J,MATCH(J106,Odds!G:G,0))</f>
        <v>1</v>
      </c>
      <c r="N106" s="455">
        <f t="shared" si="11"/>
        <v>1.8333333333333335</v>
      </c>
      <c r="O106" s="578"/>
      <c r="P106" s="59"/>
      <c r="R106" s="36" t="str">
        <f>IF(Odds!G106="","",Odds!G106)</f>
        <v>Luton</v>
      </c>
      <c r="S106" s="37" t="str">
        <f>INDEX(Odds!H:H,MATCH(R106,Odds!G:G,0))</f>
        <v>9/4</v>
      </c>
      <c r="T106" s="41">
        <f t="shared" si="10"/>
        <v>0</v>
      </c>
      <c r="AB106" s="583" t="str">
        <f>IF(O106="","",INDEX(Odds!H:H,MATCH(O106,Odds!G:G,0)))</f>
        <v/>
      </c>
      <c r="AC106" s="605">
        <f>IF(J106="","",INDEX(Odds!K:K,MATCH(J106,Odds!G:G,0)))</f>
        <v>1</v>
      </c>
      <c r="AD106" s="59"/>
      <c r="AE106" s="59"/>
      <c r="AF106" s="438"/>
      <c r="AG106" s="59"/>
    </row>
    <row r="107" spans="1:33" ht="13.9" thickTop="1" thickBot="1">
      <c r="A107" s="440" t="str">
        <f>Results!B107</f>
        <v>Lennie Bow</v>
      </c>
      <c r="B107" s="456" t="str">
        <f t="shared" si="6"/>
        <v>Shrewsbury</v>
      </c>
      <c r="C107" s="516">
        <f>IF(J107="","",INDEX(Odds!C:C,MATCH(J107,Odds!G:G,0)))</f>
        <v>7</v>
      </c>
      <c r="D107" s="441">
        <f t="shared" si="7"/>
        <v>2.25</v>
      </c>
      <c r="E107" s="459" t="str">
        <f t="shared" si="9"/>
        <v>√</v>
      </c>
      <c r="F107" s="382">
        <f>IF(J107="",-10,INDEX(Results!T:T,MATCH(A107,Results!V:V,0)))</f>
        <v>0.77500000000000036</v>
      </c>
      <c r="G107" s="189">
        <f>IF(J107="","",INDEX(Results!AI:AI,MATCH(A107,Results!V:V,0)))</f>
        <v>17.008749999999999</v>
      </c>
      <c r="H107" s="207">
        <f>IF(G107="",0,1)</f>
        <v>1</v>
      </c>
      <c r="I107" s="379">
        <f>INDEX(Picks!AG:AG,MATCH(A107,Picks!AD:AD,0))</f>
        <v>24</v>
      </c>
      <c r="J107" s="442" t="s">
        <v>522</v>
      </c>
      <c r="K107" s="190" t="str">
        <f>INDEX(Odds!H:H,MATCH(J107,Odds!G:G,0))</f>
        <v>5/4</v>
      </c>
      <c r="L107" s="443">
        <f>INDEX(Odds!I:I,MATCH(J107,Odds!G:G,0))</f>
        <v>2.25</v>
      </c>
      <c r="M107" s="457">
        <f>INDEX(Odds!J:J,MATCH(J107,Odds!G:G,0))</f>
        <v>1</v>
      </c>
      <c r="N107" s="445">
        <f t="shared" si="11"/>
        <v>2.25</v>
      </c>
      <c r="O107" s="577"/>
      <c r="P107" s="59"/>
      <c r="R107" s="36" t="str">
        <f>IF(Odds!G107="","",Odds!G107)</f>
        <v>Millwall</v>
      </c>
      <c r="S107" s="37" t="str">
        <f>INDEX(Odds!H:H,MATCH(R107,Odds!G:G,0))</f>
        <v>7/4</v>
      </c>
      <c r="T107" s="41">
        <f t="shared" si="10"/>
        <v>1</v>
      </c>
      <c r="AB107" s="582" t="str">
        <f>IF(O107="","",INDEX(Odds!H:H,MATCH(O107,Odds!G:G,0)))</f>
        <v/>
      </c>
      <c r="AC107" s="605">
        <f>IF(J107="","",INDEX(Odds!K:K,MATCH(J107,Odds!G:G,0)))</f>
        <v>1</v>
      </c>
      <c r="AD107" s="59"/>
      <c r="AE107" s="59"/>
      <c r="AF107" s="438"/>
      <c r="AG107" s="59"/>
    </row>
    <row r="108" spans="1:33">
      <c r="A108" s="644" t="str">
        <f>A107</f>
        <v>Lennie Bow</v>
      </c>
      <c r="B108" s="446" t="str">
        <f t="shared" si="6"/>
        <v>Mansfield</v>
      </c>
      <c r="C108" s="516">
        <f>IF(J108="","",INDEX(Odds!C:C,MATCH(J108,Odds!G:G,0)))</f>
        <v>7</v>
      </c>
      <c r="D108" s="447">
        <f t="shared" si="7"/>
        <v>1.7</v>
      </c>
      <c r="E108" s="460" t="str">
        <f t="shared" si="9"/>
        <v>√</v>
      </c>
      <c r="F108" s="448"/>
      <c r="G108" s="449"/>
      <c r="H108" s="207"/>
      <c r="I108" s="380"/>
      <c r="J108" s="442" t="s">
        <v>546</v>
      </c>
      <c r="K108" s="191" t="str">
        <f>INDEX(Odds!H:H,MATCH(J108,Odds!G:G,0))</f>
        <v>7/10</v>
      </c>
      <c r="L108" s="450">
        <f>INDEX(Odds!I:I,MATCH(J108,Odds!G:G,0))</f>
        <v>1.7</v>
      </c>
      <c r="M108" s="444">
        <f>INDEX(Odds!J:J,MATCH(J108,Odds!G:G,0))</f>
        <v>1</v>
      </c>
      <c r="N108" s="445">
        <f t="shared" si="11"/>
        <v>1.7</v>
      </c>
      <c r="O108" s="577"/>
      <c r="P108" s="59"/>
      <c r="R108" s="36" t="str">
        <f>IF(Odds!G108="","",Odds!G108)</f>
        <v>Swansea</v>
      </c>
      <c r="S108" s="37" t="str">
        <f>INDEX(Odds!H:H,MATCH(R108,Odds!G:G,0))</f>
        <v>3/1</v>
      </c>
      <c r="T108" s="41">
        <f t="shared" si="10"/>
        <v>0</v>
      </c>
      <c r="AB108" s="582" t="str">
        <f>IF(O108="","",INDEX(Odds!H:H,MATCH(O108,Odds!G:G,0)))</f>
        <v/>
      </c>
      <c r="AC108" s="605">
        <f>IF(J108="","",INDEX(Odds!K:K,MATCH(J108,Odds!G:G,0)))</f>
        <v>1</v>
      </c>
      <c r="AD108" s="59"/>
      <c r="AE108" s="59"/>
      <c r="AF108" s="438"/>
      <c r="AG108" s="59"/>
    </row>
    <row r="109" spans="1:33" ht="13.5" thickBot="1">
      <c r="A109" s="645" t="str">
        <f>A107</f>
        <v>Lennie Bow</v>
      </c>
      <c r="B109" s="451" t="str">
        <f t="shared" si="6"/>
        <v>Stevenage</v>
      </c>
      <c r="C109" s="517">
        <f>IF(J109="","",INDEX(Odds!C:C,MATCH(J109,Odds!G:G,0)))</f>
        <v>7</v>
      </c>
      <c r="D109" s="452">
        <f t="shared" si="7"/>
        <v>1.85</v>
      </c>
      <c r="E109" s="460" t="str">
        <f t="shared" si="9"/>
        <v>x</v>
      </c>
      <c r="F109" s="448"/>
      <c r="G109" s="449"/>
      <c r="H109" s="207"/>
      <c r="I109" s="380"/>
      <c r="J109" s="453" t="s">
        <v>550</v>
      </c>
      <c r="K109" s="192" t="str">
        <f>INDEX(Odds!H:H,MATCH(J109,Odds!G:G,0))</f>
        <v>17/20</v>
      </c>
      <c r="L109" s="454">
        <f>INDEX(Odds!I:I,MATCH(J109,Odds!G:G,0))</f>
        <v>1.85</v>
      </c>
      <c r="M109" s="444">
        <f>INDEX(Odds!J:J,MATCH(J109,Odds!G:G,0))</f>
        <v>0</v>
      </c>
      <c r="N109" s="455">
        <f t="shared" si="11"/>
        <v>0</v>
      </c>
      <c r="O109" s="578"/>
      <c r="P109" s="59"/>
      <c r="R109" s="36" t="str">
        <f>IF(Odds!G109="","",Odds!G109)</f>
        <v>Hull</v>
      </c>
      <c r="S109" s="37" t="str">
        <f>INDEX(Odds!H:H,MATCH(R109,Odds!G:G,0))</f>
        <v>14/5</v>
      </c>
      <c r="T109" s="41">
        <f t="shared" si="10"/>
        <v>0</v>
      </c>
      <c r="AB109" s="583" t="str">
        <f>IF(O109="","",INDEX(Odds!H:H,MATCH(O109,Odds!G:G,0)))</f>
        <v/>
      </c>
      <c r="AC109" s="605">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Reading</v>
      </c>
      <c r="S110" s="37" t="str">
        <f>INDEX(Odds!H:H,MATCH(R110,Odds!G:G,0))</f>
        <v>3/1</v>
      </c>
      <c r="T110" s="41">
        <f t="shared" si="10"/>
        <v>0</v>
      </c>
      <c r="AB110" s="582" t="str">
        <f>IF(O110="","",INDEX(Odds!H:H,MATCH(O110,Odds!G:G,0)))</f>
        <v/>
      </c>
      <c r="AC110" s="605" t="str">
        <f>IF(J110="","",INDEX(Odds!K:K,MATCH(J110,Odds!G:G,0)))</f>
        <v/>
      </c>
      <c r="AD110" s="59"/>
      <c r="AE110" s="59"/>
      <c r="AF110" s="438"/>
      <c r="AG110" s="59"/>
    </row>
    <row r="111" spans="1:33">
      <c r="A111" s="644"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Blackburn</v>
      </c>
      <c r="S111" s="37" t="str">
        <f>INDEX(Odds!H:H,MATCH(R111,Odds!G:G,0))</f>
        <v>14/5</v>
      </c>
      <c r="T111" s="41">
        <f t="shared" si="10"/>
        <v>0</v>
      </c>
      <c r="AB111" s="582" t="str">
        <f>IF(O111="","",INDEX(Odds!H:H,MATCH(O111,Odds!G:G,0)))</f>
        <v/>
      </c>
      <c r="AC111" s="605" t="str">
        <f>IF(J111="","",INDEX(Odds!K:K,MATCH(J111,Odds!G:G,0)))</f>
        <v/>
      </c>
      <c r="AD111" s="59"/>
      <c r="AE111" s="59"/>
      <c r="AF111" s="438"/>
      <c r="AG111" s="59"/>
    </row>
    <row r="112" spans="1:33" ht="13.5" thickBot="1">
      <c r="A112" s="645"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Huddersfield</v>
      </c>
      <c r="S112" s="37" t="str">
        <f>INDEX(Odds!H:H,MATCH(R112,Odds!G:G,0))</f>
        <v>21/10</v>
      </c>
      <c r="T112" s="41">
        <f t="shared" si="10"/>
        <v>0</v>
      </c>
      <c r="AB112" s="583" t="str">
        <f>IF(O112="","",INDEX(Odds!H:H,MATCH(O112,Odds!G:G,0)))</f>
        <v/>
      </c>
      <c r="AC112" s="605" t="str">
        <f>IF(J112="","",INDEX(Odds!K:K,MATCH(J112,Odds!G:G,0)))</f>
        <v/>
      </c>
      <c r="AD112" s="59"/>
      <c r="AE112" s="59"/>
      <c r="AF112" s="438"/>
      <c r="AG112" s="59"/>
    </row>
    <row r="113" spans="1:33" ht="13.9" thickTop="1" thickBot="1">
      <c r="A113" s="440" t="str">
        <f>Results!B113</f>
        <v>Mal Stott</v>
      </c>
      <c r="B113" s="456" t="str">
        <f t="shared" si="12"/>
        <v>Charlton</v>
      </c>
      <c r="C113" s="516">
        <f>IF(J113="","",INDEX(Odds!C:C,MATCH(J113,Odds!G:G,0)))</f>
        <v>7</v>
      </c>
      <c r="D113" s="441">
        <f t="shared" si="13"/>
        <v>2</v>
      </c>
      <c r="E113" s="459" t="str">
        <f t="shared" si="9"/>
        <v>x</v>
      </c>
      <c r="F113" s="382">
        <f>IF(J113="",-10,INDEX(Results!T:T,MATCH(A113,Results!V:V,0)))</f>
        <v>-4.75</v>
      </c>
      <c r="G113" s="189">
        <f>IF(J113="","",INDEX(Results!AI:AI,MATCH(A113,Results!V:V,0)))</f>
        <v>22.224999999999998</v>
      </c>
      <c r="H113" s="207">
        <f>IF(G113="",0,1)</f>
        <v>1</v>
      </c>
      <c r="I113" s="379">
        <f>INDEX(Picks!AG:AG,MATCH(A113,Picks!AD:AD,0))</f>
        <v>41</v>
      </c>
      <c r="J113" s="442" t="s">
        <v>605</v>
      </c>
      <c r="K113" s="190" t="str">
        <f>INDEX(Odds!H:H,MATCH(J113,Odds!G:G,0))</f>
        <v>1/1</v>
      </c>
      <c r="L113" s="443">
        <f>INDEX(Odds!I:I,MATCH(J113,Odds!G:G,0))</f>
        <v>2</v>
      </c>
      <c r="M113" s="457">
        <f>INDEX(Odds!J:J,MATCH(J113,Odds!G:G,0))</f>
        <v>0</v>
      </c>
      <c r="N113" s="445">
        <f t="shared" si="11"/>
        <v>0</v>
      </c>
      <c r="O113" s="577"/>
      <c r="P113" s="59"/>
      <c r="R113" s="36" t="str">
        <f>IF(Odds!G113="","",Odds!G113)</f>
        <v>Cambridge</v>
      </c>
      <c r="S113" s="37" t="str">
        <f>INDEX(Odds!H:H,MATCH(R113,Odds!G:G,0))</f>
        <v>11/2</v>
      </c>
      <c r="T113" s="41">
        <f t="shared" si="10"/>
        <v>0</v>
      </c>
      <c r="AB113" s="582" t="str">
        <f>IF(O113="","",INDEX(Odds!H:H,MATCH(O113,Odds!G:G,0)))</f>
        <v/>
      </c>
      <c r="AC113" s="605">
        <f>IF(J113="","",INDEX(Odds!K:K,MATCH(J113,Odds!G:G,0)))</f>
        <v>1</v>
      </c>
      <c r="AD113" s="59"/>
      <c r="AE113" s="59"/>
      <c r="AF113" s="438"/>
      <c r="AG113" s="59"/>
    </row>
    <row r="114" spans="1:33">
      <c r="A114" s="644" t="str">
        <f>A113</f>
        <v>Mal Stott</v>
      </c>
      <c r="B114" s="446" t="str">
        <f t="shared" si="12"/>
        <v>Shrewsbury</v>
      </c>
      <c r="C114" s="516">
        <f>IF(J114="","",INDEX(Odds!C:C,MATCH(J114,Odds!G:G,0)))</f>
        <v>7</v>
      </c>
      <c r="D114" s="447">
        <f t="shared" si="13"/>
        <v>2.25</v>
      </c>
      <c r="E114" s="460" t="str">
        <f t="shared" si="9"/>
        <v>√</v>
      </c>
      <c r="F114" s="448"/>
      <c r="G114" s="449"/>
      <c r="H114" s="207"/>
      <c r="I114" s="380"/>
      <c r="J114" s="442" t="s">
        <v>522</v>
      </c>
      <c r="K114" s="191" t="str">
        <f>INDEX(Odds!H:H,MATCH(J114,Odds!G:G,0))</f>
        <v>5/4</v>
      </c>
      <c r="L114" s="450">
        <f>INDEX(Odds!I:I,MATCH(J114,Odds!G:G,0))</f>
        <v>2.25</v>
      </c>
      <c r="M114" s="444">
        <f>INDEX(Odds!J:J,MATCH(J114,Odds!G:G,0))</f>
        <v>1</v>
      </c>
      <c r="N114" s="445">
        <f t="shared" si="11"/>
        <v>2.25</v>
      </c>
      <c r="O114" s="577"/>
      <c r="P114" s="59"/>
      <c r="R114" s="36" t="str">
        <f>IF(Odds!G114="","",Odds!G114)</f>
        <v>Exeter</v>
      </c>
      <c r="S114" s="37" t="str">
        <f>INDEX(Odds!H:H,MATCH(R114,Odds!G:G,0))</f>
        <v>17/10</v>
      </c>
      <c r="T114" s="41">
        <f t="shared" si="10"/>
        <v>0</v>
      </c>
      <c r="AB114" s="582" t="str">
        <f>IF(O114="","",INDEX(Odds!H:H,MATCH(O114,Odds!G:G,0)))</f>
        <v/>
      </c>
      <c r="AC114" s="605">
        <f>IF(J114="","",INDEX(Odds!K:K,MATCH(J114,Odds!G:G,0)))</f>
        <v>1</v>
      </c>
      <c r="AD114" s="59"/>
      <c r="AE114" s="59"/>
      <c r="AF114" s="438"/>
      <c r="AG114" s="59"/>
    </row>
    <row r="115" spans="1:33" ht="13.5" thickBot="1">
      <c r="A115" s="645" t="str">
        <f>A113</f>
        <v>Mal Stott</v>
      </c>
      <c r="B115" s="451" t="str">
        <f t="shared" si="12"/>
        <v>Swindon</v>
      </c>
      <c r="C115" s="517">
        <f>IF(J115="","",INDEX(Odds!C:C,MATCH(J115,Odds!G:G,0)))</f>
        <v>7</v>
      </c>
      <c r="D115" s="452">
        <f t="shared" si="13"/>
        <v>2.1</v>
      </c>
      <c r="E115" s="460" t="str">
        <f t="shared" si="9"/>
        <v>x</v>
      </c>
      <c r="F115" s="448"/>
      <c r="G115" s="449"/>
      <c r="H115" s="207"/>
      <c r="I115" s="380"/>
      <c r="J115" s="453" t="s">
        <v>571</v>
      </c>
      <c r="K115" s="192" t="str">
        <f>INDEX(Odds!H:H,MATCH(J115,Odds!G:G,0))</f>
        <v>11/10</v>
      </c>
      <c r="L115" s="454">
        <f>INDEX(Odds!I:I,MATCH(J115,Odds!G:G,0))</f>
        <v>2.1</v>
      </c>
      <c r="M115" s="444">
        <f>INDEX(Odds!J:J,MATCH(J115,Odds!G:G,0))</f>
        <v>0</v>
      </c>
      <c r="N115" s="455">
        <f t="shared" si="11"/>
        <v>0</v>
      </c>
      <c r="O115" s="578"/>
      <c r="P115" s="59"/>
      <c r="R115" s="36" t="str">
        <f>IF(Odds!G115="","",Odds!G115)</f>
        <v>Fleetwood</v>
      </c>
      <c r="S115" s="37" t="str">
        <f>INDEX(Odds!H:H,MATCH(R115,Odds!G:G,0))</f>
        <v>13/5</v>
      </c>
      <c r="T115" s="41">
        <f t="shared" si="10"/>
        <v>1</v>
      </c>
      <c r="AB115" s="583" t="str">
        <f>IF(O115="","",INDEX(Odds!H:H,MATCH(O115,Odds!G:G,0)))</f>
        <v/>
      </c>
      <c r="AC115" s="605">
        <f>IF(J115="","",INDEX(Odds!K:K,MATCH(J115,Odds!G:G,0)))</f>
        <v>1</v>
      </c>
      <c r="AD115" s="59"/>
      <c r="AE115" s="59"/>
      <c r="AF115" s="438"/>
      <c r="AG115" s="59"/>
    </row>
    <row r="116" spans="1:33" ht="13.9" thickTop="1" thickBot="1">
      <c r="A116" s="440" t="str">
        <f>Results!B116</f>
        <v>Mark Bunn</v>
      </c>
      <c r="B116" s="456" t="str">
        <f t="shared" si="12"/>
        <v>Barrow</v>
      </c>
      <c r="C116" s="516">
        <f>IF(J116="","",INDEX(Odds!C:C,MATCH(J116,Odds!G:G,0)))</f>
        <v>7</v>
      </c>
      <c r="D116" s="441">
        <f t="shared" si="13"/>
        <v>2.2999999999999998</v>
      </c>
      <c r="E116" s="459" t="str">
        <f t="shared" si="9"/>
        <v>x</v>
      </c>
      <c r="F116" s="382">
        <f>IF(J116="",-10,INDEX(Results!T:T,MATCH(A116,Results!V:V,0)))</f>
        <v>-7</v>
      </c>
      <c r="G116" s="189">
        <f>IF(J116="","",INDEX(Results!AI:AI,MATCH(A116,Results!V:V,0)))</f>
        <v>35.972499999999997</v>
      </c>
      <c r="H116" s="207">
        <f>IF(G116="",0,1)</f>
        <v>1</v>
      </c>
      <c r="I116" s="379">
        <f>INDEX(Picks!AG:AG,MATCH(A116,Picks!AD:AD,0))</f>
        <v>50</v>
      </c>
      <c r="J116" s="442" t="s">
        <v>614</v>
      </c>
      <c r="K116" s="190" t="str">
        <f>INDEX(Odds!H:H,MATCH(J116,Odds!G:G,0))</f>
        <v>13/10</v>
      </c>
      <c r="L116" s="443">
        <f>INDEX(Odds!I:I,MATCH(J116,Odds!G:G,0))</f>
        <v>2.2999999999999998</v>
      </c>
      <c r="M116" s="457">
        <f>INDEX(Odds!J:J,MATCH(J116,Odds!G:G,0))</f>
        <v>0</v>
      </c>
      <c r="N116" s="445">
        <f t="shared" si="11"/>
        <v>0</v>
      </c>
      <c r="O116" s="577"/>
      <c r="P116" s="59"/>
      <c r="R116" s="36" t="str">
        <f>IF(Odds!G116="","",Odds!G116)</f>
        <v>Accrington</v>
      </c>
      <c r="S116" s="37" t="str">
        <f>INDEX(Odds!H:H,MATCH(R116,Odds!G:G,0))</f>
        <v>15/8</v>
      </c>
      <c r="T116" s="41">
        <f t="shared" si="10"/>
        <v>0</v>
      </c>
      <c r="AB116" s="582" t="str">
        <f>IF(O116="","",INDEX(Odds!H:H,MATCH(O116,Odds!G:G,0)))</f>
        <v/>
      </c>
      <c r="AC116" s="605">
        <f>IF(J116="","",INDEX(Odds!K:K,MATCH(J116,Odds!G:G,0)))</f>
        <v>1</v>
      </c>
      <c r="AD116" s="59"/>
      <c r="AE116" s="59"/>
      <c r="AF116" s="438"/>
      <c r="AG116" s="59"/>
    </row>
    <row r="117" spans="1:33">
      <c r="A117" s="644" t="str">
        <f>A116</f>
        <v>Mark Bunn</v>
      </c>
      <c r="B117" s="446" t="str">
        <f t="shared" si="12"/>
        <v>Sutton</v>
      </c>
      <c r="C117" s="516">
        <f>IF(J117="","",INDEX(Odds!C:C,MATCH(J117,Odds!G:G,0)))</f>
        <v>7</v>
      </c>
      <c r="D117" s="447">
        <f t="shared" si="13"/>
        <v>2.25</v>
      </c>
      <c r="E117" s="460" t="str">
        <f t="shared" si="9"/>
        <v>x</v>
      </c>
      <c r="F117" s="448"/>
      <c r="G117" s="449"/>
      <c r="H117" s="207"/>
      <c r="I117" s="380"/>
      <c r="J117" s="442" t="s">
        <v>622</v>
      </c>
      <c r="K117" s="191" t="str">
        <f>INDEX(Odds!H:H,MATCH(J117,Odds!G:G,0))</f>
        <v>5/4</v>
      </c>
      <c r="L117" s="450">
        <f>INDEX(Odds!I:I,MATCH(J117,Odds!G:G,0))</f>
        <v>2.25</v>
      </c>
      <c r="M117" s="444">
        <f>INDEX(Odds!J:J,MATCH(J117,Odds!G:G,0))</f>
        <v>0</v>
      </c>
      <c r="N117" s="445">
        <f t="shared" si="11"/>
        <v>0</v>
      </c>
      <c r="O117" s="577"/>
      <c r="P117" s="59"/>
      <c r="R117" s="36" t="str">
        <f>IF(Odds!G117="","",Odds!G117)</f>
        <v>Sheff W</v>
      </c>
      <c r="S117" s="37" t="str">
        <f>INDEX(Odds!H:H,MATCH(R117,Odds!G:G,0))</f>
        <v>12/5</v>
      </c>
      <c r="T117" s="41">
        <f t="shared" si="10"/>
        <v>0</v>
      </c>
      <c r="AB117" s="582" t="str">
        <f>IF(O117="","",INDEX(Odds!H:H,MATCH(O117,Odds!G:G,0)))</f>
        <v/>
      </c>
      <c r="AC117" s="605">
        <f>IF(J117="","",INDEX(Odds!K:K,MATCH(J117,Odds!G:G,0)))</f>
        <v>1</v>
      </c>
      <c r="AD117" s="59"/>
      <c r="AE117" s="59"/>
      <c r="AF117" s="438"/>
      <c r="AG117" s="59"/>
    </row>
    <row r="118" spans="1:33" ht="13.5" thickBot="1">
      <c r="A118" s="645" t="str">
        <f>A116</f>
        <v>Mark Bunn</v>
      </c>
      <c r="B118" s="451" t="str">
        <f t="shared" si="12"/>
        <v>Northampton</v>
      </c>
      <c r="C118" s="517">
        <f>IF(J118="","",INDEX(Odds!C:C,MATCH(J118,Odds!G:G,0)))</f>
        <v>7</v>
      </c>
      <c r="D118" s="452">
        <f t="shared" si="13"/>
        <v>3.1</v>
      </c>
      <c r="E118" s="460" t="str">
        <f t="shared" si="9"/>
        <v>x</v>
      </c>
      <c r="F118" s="448"/>
      <c r="G118" s="449"/>
      <c r="H118" s="207"/>
      <c r="I118" s="380"/>
      <c r="J118" s="453" t="s">
        <v>625</v>
      </c>
      <c r="K118" s="192" t="str">
        <f>INDEX(Odds!H:H,MATCH(J118,Odds!G:G,0))</f>
        <v>21/10</v>
      </c>
      <c r="L118" s="454">
        <f>INDEX(Odds!I:I,MATCH(J118,Odds!G:G,0))</f>
        <v>3.1</v>
      </c>
      <c r="M118" s="444">
        <f>INDEX(Odds!J:J,MATCH(J118,Odds!G:G,0))</f>
        <v>0</v>
      </c>
      <c r="N118" s="455">
        <f t="shared" si="11"/>
        <v>0</v>
      </c>
      <c r="O118" s="578"/>
      <c r="P118" s="59"/>
      <c r="R118" s="36" t="str">
        <f>IF(Odds!G118="","",Odds!G118)</f>
        <v>Bristol R</v>
      </c>
      <c r="S118" s="37" t="str">
        <f>INDEX(Odds!H:H,MATCH(R118,Odds!G:G,0))</f>
        <v>12/5</v>
      </c>
      <c r="T118" s="41">
        <f t="shared" si="10"/>
        <v>0</v>
      </c>
      <c r="AB118" s="583" t="str">
        <f>IF(O118="","",INDEX(Odds!H:H,MATCH(O118,Odds!G:G,0)))</f>
        <v/>
      </c>
      <c r="AC118" s="605">
        <f>IF(J118="","",INDEX(Odds!K:K,MATCH(J118,Odds!G:G,0)))</f>
        <v>1</v>
      </c>
      <c r="AD118" s="59"/>
      <c r="AE118" s="59"/>
      <c r="AF118" s="438"/>
      <c r="AG118" s="59"/>
    </row>
    <row r="119" spans="1:33" ht="13.9" thickTop="1" thickBot="1">
      <c r="A119" s="440" t="str">
        <f>Results!B119</f>
        <v>Mark Saunders</v>
      </c>
      <c r="B119" s="456" t="str">
        <f t="shared" si="12"/>
        <v>Burnley</v>
      </c>
      <c r="C119" s="516">
        <f>IF(J119="","",INDEX(Odds!C:C,MATCH(J119,Odds!G:G,0)))</f>
        <v>7</v>
      </c>
      <c r="D119" s="441">
        <f t="shared" si="13"/>
        <v>1.5</v>
      </c>
      <c r="E119" s="459" t="str">
        <f t="shared" si="9"/>
        <v>√</v>
      </c>
      <c r="F119" s="382">
        <f>IF(J119="",-10,INDEX(Results!T:T,MATCH(A119,Results!V:V,0)))</f>
        <v>-0.91666666666666607</v>
      </c>
      <c r="G119" s="189">
        <f>IF(J119="","",INDEX(Results!AI:AI,MATCH(A119,Results!V:V,0)))</f>
        <v>13.25</v>
      </c>
      <c r="H119" s="207">
        <f>IF(G119="",0,1)</f>
        <v>1</v>
      </c>
      <c r="I119" s="379">
        <f>INDEX(Picks!AG:AG,MATCH(A119,Picks!AD:AD,0))</f>
        <v>28</v>
      </c>
      <c r="J119" s="442" t="s">
        <v>533</v>
      </c>
      <c r="K119" s="190" t="str">
        <f>INDEX(Odds!H:H,MATCH(J119,Odds!G:G,0))</f>
        <v>1/2</v>
      </c>
      <c r="L119" s="443">
        <f>INDEX(Odds!I:I,MATCH(J119,Odds!G:G,0))</f>
        <v>1.5</v>
      </c>
      <c r="M119" s="457">
        <f>INDEX(Odds!J:J,MATCH(J119,Odds!G:G,0))</f>
        <v>1</v>
      </c>
      <c r="N119" s="445">
        <f t="shared" si="11"/>
        <v>1.5</v>
      </c>
      <c r="O119" s="577"/>
      <c r="P119" s="59"/>
      <c r="R119" s="36" t="str">
        <f>IF(Odds!G119="","",Odds!G119)</f>
        <v>Oxford</v>
      </c>
      <c r="S119" s="37" t="str">
        <f>INDEX(Odds!H:H,MATCH(R119,Odds!G:G,0))</f>
        <v>9/5</v>
      </c>
      <c r="T119" s="41">
        <f t="shared" si="10"/>
        <v>0</v>
      </c>
      <c r="AB119" s="582" t="str">
        <f>IF(O119="","",INDEX(Odds!H:H,MATCH(O119,Odds!G:G,0)))</f>
        <v/>
      </c>
      <c r="AC119" s="605">
        <f>IF(J119="","",INDEX(Odds!K:K,MATCH(J119,Odds!G:G,0)))</f>
        <v>1</v>
      </c>
      <c r="AD119" s="59"/>
      <c r="AE119" s="59"/>
      <c r="AF119" s="438"/>
      <c r="AG119" s="59"/>
    </row>
    <row r="120" spans="1:33">
      <c r="A120" s="644" t="str">
        <f>A119</f>
        <v>Mark Saunders</v>
      </c>
      <c r="B120" s="446" t="str">
        <f t="shared" si="12"/>
        <v>Sheff U</v>
      </c>
      <c r="C120" s="516">
        <f>IF(J120="","",INDEX(Odds!C:C,MATCH(J120,Odds!G:G,0)))</f>
        <v>7</v>
      </c>
      <c r="D120" s="447">
        <f t="shared" si="13"/>
        <v>1.8333333333333335</v>
      </c>
      <c r="E120" s="460" t="str">
        <f t="shared" si="9"/>
        <v>√</v>
      </c>
      <c r="F120" s="448"/>
      <c r="G120" s="449"/>
      <c r="H120" s="207"/>
      <c r="I120" s="380"/>
      <c r="J120" s="442" t="s">
        <v>434</v>
      </c>
      <c r="K120" s="191" t="str">
        <f>INDEX(Odds!H:H,MATCH(J120,Odds!G:G,0))</f>
        <v>5/6</v>
      </c>
      <c r="L120" s="450">
        <f>INDEX(Odds!I:I,MATCH(J120,Odds!G:G,0))</f>
        <v>1.8333333333333335</v>
      </c>
      <c r="M120" s="444">
        <f>INDEX(Odds!J:J,MATCH(J120,Odds!G:G,0))</f>
        <v>1</v>
      </c>
      <c r="N120" s="445">
        <f t="shared" si="11"/>
        <v>1.8333333333333335</v>
      </c>
      <c r="O120" s="577"/>
      <c r="P120" s="59"/>
      <c r="R120" s="36" t="str">
        <f>IF(Odds!G120="","",Odds!G120)</f>
        <v>Forest Green</v>
      </c>
      <c r="S120" s="37" t="str">
        <f>INDEX(Odds!H:H,MATCH(R120,Odds!G:G,0))</f>
        <v>15/8</v>
      </c>
      <c r="T120" s="41">
        <f t="shared" si="10"/>
        <v>0</v>
      </c>
      <c r="AB120" s="582" t="str">
        <f>IF(O120="","",INDEX(Odds!H:H,MATCH(O120,Odds!G:G,0)))</f>
        <v/>
      </c>
      <c r="AC120" s="605">
        <f>IF(J120="","",INDEX(Odds!K:K,MATCH(J120,Odds!G:G,0)))</f>
        <v>1</v>
      </c>
      <c r="AD120" s="59"/>
      <c r="AE120" s="59"/>
      <c r="AF120" s="438"/>
      <c r="AG120" s="59"/>
    </row>
    <row r="121" spans="1:33" ht="13.5" thickBot="1">
      <c r="A121" s="645" t="str">
        <f>A119</f>
        <v>Mark Saunders</v>
      </c>
      <c r="B121" s="451" t="str">
        <f t="shared" si="12"/>
        <v>Watford</v>
      </c>
      <c r="C121" s="517">
        <f>IF(J121="","",INDEX(Odds!C:C,MATCH(J121,Odds!G:G,0)))</f>
        <v>7</v>
      </c>
      <c r="D121" s="452">
        <f t="shared" si="13"/>
        <v>2</v>
      </c>
      <c r="E121" s="460" t="str">
        <f t="shared" si="9"/>
        <v>x</v>
      </c>
      <c r="F121" s="448"/>
      <c r="G121" s="449"/>
      <c r="H121" s="207"/>
      <c r="I121" s="380"/>
      <c r="J121" s="453" t="s">
        <v>537</v>
      </c>
      <c r="K121" s="192" t="str">
        <f>INDEX(Odds!H:H,MATCH(J121,Odds!G:G,0))</f>
        <v>1/1</v>
      </c>
      <c r="L121" s="454">
        <f>INDEX(Odds!I:I,MATCH(J121,Odds!G:G,0))</f>
        <v>2</v>
      </c>
      <c r="M121" s="444">
        <f>INDEX(Odds!J:J,MATCH(J121,Odds!G:G,0))</f>
        <v>0</v>
      </c>
      <c r="N121" s="455">
        <f t="shared" si="11"/>
        <v>0</v>
      </c>
      <c r="O121" s="578"/>
      <c r="P121" s="59"/>
      <c r="R121" s="36" t="str">
        <f>IF(Odds!G121="","",Odds!G121)</f>
        <v>Bolton</v>
      </c>
      <c r="S121" s="37" t="str">
        <f>INDEX(Odds!H:H,MATCH(R121,Odds!G:G,0))</f>
        <v>2/1</v>
      </c>
      <c r="T121" s="41">
        <f t="shared" si="10"/>
        <v>1</v>
      </c>
      <c r="AB121" s="583" t="str">
        <f>IF(O121="","",INDEX(Odds!H:H,MATCH(O121,Odds!G:G,0)))</f>
        <v/>
      </c>
      <c r="AC121" s="605">
        <f>IF(J121="","",INDEX(Odds!K:K,MATCH(J121,Odds!G:G,0)))</f>
        <v>1</v>
      </c>
      <c r="AD121" s="59"/>
      <c r="AE121" s="59"/>
      <c r="AF121" s="438"/>
      <c r="AG121" s="59"/>
    </row>
    <row r="122" spans="1:33" ht="13.9" thickTop="1" thickBot="1">
      <c r="A122" s="440" t="str">
        <f>Results!B122</f>
        <v>Martin Molyneux</v>
      </c>
      <c r="B122" s="456" t="str">
        <f t="shared" si="12"/>
        <v>Middlesbro</v>
      </c>
      <c r="C122" s="516">
        <f>IF(J122="","",INDEX(Odds!C:C,MATCH(J122,Odds!G:G,0)))</f>
        <v>7</v>
      </c>
      <c r="D122" s="441">
        <f t="shared" si="13"/>
        <v>2.15</v>
      </c>
      <c r="E122" s="459" t="str">
        <f t="shared" si="9"/>
        <v>√</v>
      </c>
      <c r="F122" s="382">
        <f>IF(J122="",-10,INDEX(Results!T:T,MATCH(A122,Results!V:V,0)))</f>
        <v>17.963636363636361</v>
      </c>
      <c r="G122" s="189">
        <f>IF(J122="","",INDEX(Results!AI:AI,MATCH(A122,Results!V:V,0)))</f>
        <v>17.963636363636361</v>
      </c>
      <c r="H122" s="207">
        <f>IF(G122="",0,1)</f>
        <v>1</v>
      </c>
      <c r="I122" s="379">
        <f>INDEX(Picks!AG:AG,MATCH(A122,Picks!AD:AD,0))</f>
        <v>5</v>
      </c>
      <c r="J122" s="442" t="s">
        <v>534</v>
      </c>
      <c r="K122" s="190" t="str">
        <f>INDEX(Odds!H:H,MATCH(J122,Odds!G:G,0))</f>
        <v>23/20</v>
      </c>
      <c r="L122" s="443">
        <f>INDEX(Odds!I:I,MATCH(J122,Odds!G:G,0))</f>
        <v>2.15</v>
      </c>
      <c r="M122" s="457">
        <f>INDEX(Odds!J:J,MATCH(J122,Odds!G:G,0))</f>
        <v>1</v>
      </c>
      <c r="N122" s="445">
        <f t="shared" si="11"/>
        <v>2.15</v>
      </c>
      <c r="O122" s="577"/>
      <c r="P122" s="59"/>
      <c r="R122" s="36" t="str">
        <f>IF(Odds!G122="","",Odds!G122)</f>
        <v>Portsmouth</v>
      </c>
      <c r="S122" s="37" t="str">
        <f>INDEX(Odds!H:H,MATCH(R122,Odds!G:G,0))</f>
        <v>5/2</v>
      </c>
      <c r="T122" s="41">
        <f t="shared" si="10"/>
        <v>0</v>
      </c>
      <c r="AB122" s="582" t="str">
        <f>IF(O122="","",INDEX(Odds!H:H,MATCH(O122,Odds!G:G,0)))</f>
        <v/>
      </c>
      <c r="AC122" s="605">
        <f>IF(J122="","",INDEX(Odds!K:K,MATCH(J122,Odds!G:G,0)))</f>
        <v>1</v>
      </c>
      <c r="AD122" s="59"/>
      <c r="AE122" s="59"/>
      <c r="AF122" s="438"/>
      <c r="AG122" s="59"/>
    </row>
    <row r="123" spans="1:33">
      <c r="A123" s="644" t="str">
        <f>A122</f>
        <v>Martin Molyneux</v>
      </c>
      <c r="B123" s="446" t="str">
        <f>IF(J123="","",J123)</f>
        <v>Sheff U</v>
      </c>
      <c r="C123" s="516">
        <f>IF(J123="","",INDEX(Odds!C:C,MATCH(J123,Odds!G:G,0)))</f>
        <v>7</v>
      </c>
      <c r="D123" s="447">
        <f t="shared" si="13"/>
        <v>1.8333333333333335</v>
      </c>
      <c r="E123" s="460" t="str">
        <f t="shared" si="9"/>
        <v>√</v>
      </c>
      <c r="F123" s="448"/>
      <c r="G123" s="449"/>
      <c r="H123" s="207"/>
      <c r="I123" s="380"/>
      <c r="J123" s="442" t="s">
        <v>434</v>
      </c>
      <c r="K123" s="191" t="str">
        <f>INDEX(Odds!H:H,MATCH(J123,Odds!G:G,0))</f>
        <v>5/6</v>
      </c>
      <c r="L123" s="450">
        <f>INDEX(Odds!I:I,MATCH(J123,Odds!G:G,0))</f>
        <v>1.8333333333333335</v>
      </c>
      <c r="M123" s="444">
        <f>INDEX(Odds!J:J,MATCH(J123,Odds!G:G,0))</f>
        <v>1</v>
      </c>
      <c r="N123" s="445">
        <f t="shared" si="11"/>
        <v>1.8333333333333335</v>
      </c>
      <c r="O123" s="577"/>
      <c r="P123" s="59"/>
      <c r="R123" s="36" t="str">
        <f>IF(Odds!G123="","",Odds!G123)</f>
        <v>Port Vale</v>
      </c>
      <c r="S123" s="37" t="str">
        <f>INDEX(Odds!H:H,MATCH(R123,Odds!G:G,0))</f>
        <v>11/5</v>
      </c>
      <c r="T123" s="41">
        <f t="shared" si="10"/>
        <v>0</v>
      </c>
      <c r="AB123" s="582" t="str">
        <f>IF(O123="","",INDEX(Odds!H:H,MATCH(O123,Odds!G:G,0)))</f>
        <v/>
      </c>
      <c r="AC123" s="605">
        <f>IF(J123="","",INDEX(Odds!K:K,MATCH(J123,Odds!G:G,0)))</f>
        <v>1</v>
      </c>
      <c r="AD123" s="59"/>
      <c r="AE123" s="59"/>
      <c r="AF123" s="438"/>
      <c r="AG123" s="59"/>
    </row>
    <row r="124" spans="1:33" ht="13.5" thickBot="1">
      <c r="A124" s="645" t="str">
        <f>A122</f>
        <v>Martin Molyneux</v>
      </c>
      <c r="B124" s="451" t="str">
        <f t="shared" si="12"/>
        <v>Sunderland</v>
      </c>
      <c r="C124" s="517">
        <f>IF(J124="","",INDEX(Odds!C:C,MATCH(J124,Odds!G:G,0)))</f>
        <v>7</v>
      </c>
      <c r="D124" s="452">
        <f t="shared" si="13"/>
        <v>1.9090909090909092</v>
      </c>
      <c r="E124" s="460" t="str">
        <f t="shared" si="9"/>
        <v>√</v>
      </c>
      <c r="F124" s="448"/>
      <c r="G124" s="449"/>
      <c r="H124" s="207"/>
      <c r="I124" s="380"/>
      <c r="J124" s="453" t="s">
        <v>172</v>
      </c>
      <c r="K124" s="192" t="str">
        <f>INDEX(Odds!H:H,MATCH(J124,Odds!G:G,0))</f>
        <v>10/11</v>
      </c>
      <c r="L124" s="454">
        <f>INDEX(Odds!I:I,MATCH(J124,Odds!G:G,0))</f>
        <v>1.9090909090909092</v>
      </c>
      <c r="M124" s="444">
        <f>INDEX(Odds!J:J,MATCH(J124,Odds!G:G,0))</f>
        <v>1</v>
      </c>
      <c r="N124" s="455">
        <f t="shared" si="11"/>
        <v>1.9090909090909092</v>
      </c>
      <c r="O124" s="578"/>
      <c r="P124" s="59"/>
      <c r="R124" s="36" t="str">
        <f>IF(Odds!G124="","",Odds!G124)</f>
        <v>Derby</v>
      </c>
      <c r="S124" s="37" t="str">
        <f>INDEX(Odds!H:H,MATCH(R124,Odds!G:G,0))</f>
        <v>13/10</v>
      </c>
      <c r="T124" s="41">
        <f t="shared" si="10"/>
        <v>0</v>
      </c>
      <c r="AB124" s="583" t="str">
        <f>IF(O124="","",INDEX(Odds!H:H,MATCH(O124,Odds!G:G,0)))</f>
        <v/>
      </c>
      <c r="AC124" s="605">
        <f>IF(J124="","",INDEX(Odds!K:K,MATCH(J124,Odds!G:G,0)))</f>
        <v>1</v>
      </c>
      <c r="AD124" s="59"/>
      <c r="AE124" s="59"/>
      <c r="AF124" s="438"/>
      <c r="AG124" s="59"/>
    </row>
    <row r="125" spans="1:33" ht="13.9" thickTop="1" thickBot="1">
      <c r="A125" s="440" t="str">
        <f>Results!B125</f>
        <v>Martin Tarbuck</v>
      </c>
      <c r="B125" s="456" t="str">
        <f t="shared" si="12"/>
        <v>Derby</v>
      </c>
      <c r="C125" s="516">
        <f>IF(J125="","",INDEX(Odds!C:C,MATCH(J125,Odds!G:G,0)))</f>
        <v>7</v>
      </c>
      <c r="D125" s="441">
        <f t="shared" si="13"/>
        <v>2.2999999999999998</v>
      </c>
      <c r="E125" s="459" t="str">
        <f t="shared" si="9"/>
        <v>x</v>
      </c>
      <c r="F125" s="382">
        <f>IF(J125="",-10,INDEX(Results!T:T,MATCH(A125,Results!V:V,0)))</f>
        <v>-4.8499999999999996</v>
      </c>
      <c r="G125" s="189">
        <f>IF(J125="","",INDEX(Results!AI:AI,MATCH(A125,Results!V:V,0)))</f>
        <v>35.658999999999999</v>
      </c>
      <c r="H125" s="207">
        <f>IF(G125="",0,1)</f>
        <v>1</v>
      </c>
      <c r="I125" s="379">
        <f>INDEX(Picks!AG:AG,MATCH(A125,Picks!AD:AD,0))</f>
        <v>44</v>
      </c>
      <c r="J125" s="442" t="s">
        <v>583</v>
      </c>
      <c r="K125" s="190" t="str">
        <f>INDEX(Odds!H:H,MATCH(J125,Odds!G:G,0))</f>
        <v>13/10</v>
      </c>
      <c r="L125" s="443">
        <f>INDEX(Odds!I:I,MATCH(J125,Odds!G:G,0))</f>
        <v>2.2999999999999998</v>
      </c>
      <c r="M125" s="457">
        <f>INDEX(Odds!J:J,MATCH(J125,Odds!G:G,0))</f>
        <v>0</v>
      </c>
      <c r="N125" s="445">
        <f t="shared" si="11"/>
        <v>0</v>
      </c>
      <c r="O125" s="577"/>
      <c r="P125" s="59"/>
      <c r="R125" s="36" t="str">
        <f>IF(Odds!G125="","",Odds!G125)</f>
        <v>Newport</v>
      </c>
      <c r="S125" s="37" t="str">
        <f>INDEX(Odds!H:H,MATCH(R125,Odds!G:G,0))</f>
        <v>9/4</v>
      </c>
      <c r="T125" s="41">
        <f t="shared" si="10"/>
        <v>1</v>
      </c>
      <c r="AB125" s="582" t="str">
        <f>IF(O125="","",INDEX(Odds!H:H,MATCH(O125,Odds!G:G,0)))</f>
        <v/>
      </c>
      <c r="AC125" s="605">
        <f>IF(J125="","",INDEX(Odds!K:K,MATCH(J125,Odds!G:G,0)))</f>
        <v>1</v>
      </c>
      <c r="AD125" s="59"/>
      <c r="AE125" s="59"/>
      <c r="AF125" s="438"/>
      <c r="AG125" s="59"/>
    </row>
    <row r="126" spans="1:33">
      <c r="A126" s="644" t="str">
        <f>A125</f>
        <v>Martin Tarbuck</v>
      </c>
      <c r="B126" s="446" t="str">
        <f t="shared" si="12"/>
        <v>Middlesbro</v>
      </c>
      <c r="C126" s="516">
        <f>IF(J126="","",INDEX(Odds!C:C,MATCH(J126,Odds!G:G,0)))</f>
        <v>7</v>
      </c>
      <c r="D126" s="447">
        <f t="shared" si="13"/>
        <v>2.15</v>
      </c>
      <c r="E126" s="460" t="str">
        <f t="shared" si="9"/>
        <v>√</v>
      </c>
      <c r="F126" s="448"/>
      <c r="G126" s="449"/>
      <c r="H126" s="207"/>
      <c r="I126" s="380"/>
      <c r="J126" s="442" t="s">
        <v>534</v>
      </c>
      <c r="K126" s="191" t="str">
        <f>INDEX(Odds!H:H,MATCH(J126,Odds!G:G,0))</f>
        <v>23/20</v>
      </c>
      <c r="L126" s="450">
        <f>INDEX(Odds!I:I,MATCH(J126,Odds!G:G,0))</f>
        <v>2.15</v>
      </c>
      <c r="M126" s="444">
        <f>INDEX(Odds!J:J,MATCH(J126,Odds!G:G,0))</f>
        <v>1</v>
      </c>
      <c r="N126" s="445">
        <f t="shared" si="11"/>
        <v>2.15</v>
      </c>
      <c r="O126" s="577"/>
      <c r="P126" s="59"/>
      <c r="R126" s="36" t="str">
        <f>IF(Odds!G126="","",Odds!G126)</f>
        <v>Crewe</v>
      </c>
      <c r="S126" s="37" t="str">
        <f>INDEX(Odds!H:H,MATCH(R126,Odds!G:G,0))</f>
        <v>2/1</v>
      </c>
      <c r="T126" s="41">
        <f t="shared" si="10"/>
        <v>0</v>
      </c>
      <c r="AB126" s="582" t="str">
        <f>IF(O126="","",INDEX(Odds!H:H,MATCH(O126,Odds!G:G,0)))</f>
        <v/>
      </c>
      <c r="AC126" s="605">
        <f>IF(J126="","",INDEX(Odds!K:K,MATCH(J126,Odds!G:G,0)))</f>
        <v>1</v>
      </c>
      <c r="AD126" s="59"/>
      <c r="AE126" s="59"/>
      <c r="AF126" s="438"/>
      <c r="AG126" s="59"/>
    </row>
    <row r="127" spans="1:33" ht="13.5" thickBot="1">
      <c r="A127" s="645" t="str">
        <f>A125</f>
        <v>Martin Tarbuck</v>
      </c>
      <c r="B127" s="451" t="str">
        <f t="shared" si="12"/>
        <v>Orient</v>
      </c>
      <c r="C127" s="517">
        <f>IF(J127="","",INDEX(Odds!C:C,MATCH(J127,Odds!G:G,0)))</f>
        <v>7</v>
      </c>
      <c r="D127" s="452">
        <f t="shared" si="13"/>
        <v>3.2</v>
      </c>
      <c r="E127" s="460" t="str">
        <f t="shared" si="9"/>
        <v>x</v>
      </c>
      <c r="F127" s="448"/>
      <c r="G127" s="449"/>
      <c r="H127" s="207"/>
      <c r="I127" s="380"/>
      <c r="J127" s="453" t="s">
        <v>628</v>
      </c>
      <c r="K127" s="192" t="str">
        <f>INDEX(Odds!H:H,MATCH(J127,Odds!G:G,0))</f>
        <v>11/5</v>
      </c>
      <c r="L127" s="454">
        <f>INDEX(Odds!I:I,MATCH(J127,Odds!G:G,0))</f>
        <v>3.2</v>
      </c>
      <c r="M127" s="444">
        <f>INDEX(Odds!J:J,MATCH(J127,Odds!G:G,0))</f>
        <v>0</v>
      </c>
      <c r="N127" s="455">
        <f t="shared" si="11"/>
        <v>0</v>
      </c>
      <c r="O127" s="578"/>
      <c r="P127" s="59"/>
      <c r="R127" s="36" t="str">
        <f>IF(Odds!G127="","",Odds!G127)</f>
        <v>Colchester</v>
      </c>
      <c r="S127" s="37" t="str">
        <f>INDEX(Odds!H:H,MATCH(R127,Odds!G:G,0))</f>
        <v>13/5</v>
      </c>
      <c r="T127" s="41">
        <f t="shared" si="10"/>
        <v>1</v>
      </c>
      <c r="AB127" s="583" t="str">
        <f>IF(O127="","",INDEX(Odds!H:H,MATCH(O127,Odds!G:G,0)))</f>
        <v/>
      </c>
      <c r="AC127" s="605">
        <f>IF(J127="","",INDEX(Odds!K:K,MATCH(J127,Odds!G:G,0)))</f>
        <v>1</v>
      </c>
      <c r="AD127" s="59"/>
      <c r="AE127" s="59"/>
      <c r="AF127" s="438"/>
      <c r="AG127" s="59"/>
    </row>
    <row r="128" spans="1:33" ht="13.9" thickTop="1" thickBot="1">
      <c r="A128" s="440" t="str">
        <f>Results!B128</f>
        <v>Mike Penk</v>
      </c>
      <c r="B128" s="456" t="str">
        <f t="shared" si="12"/>
        <v>Millwall</v>
      </c>
      <c r="C128" s="516">
        <f>IF(J128="","",INDEX(Odds!C:C,MATCH(J128,Odds!G:G,0)))</f>
        <v>7</v>
      </c>
      <c r="D128" s="441">
        <f t="shared" si="13"/>
        <v>2.75</v>
      </c>
      <c r="E128" s="459" t="str">
        <f t="shared" si="9"/>
        <v>√</v>
      </c>
      <c r="F128" s="382">
        <f>IF(J128="",-10,INDEX(Results!T:T,MATCH(A128,Results!V:V,0)))</f>
        <v>24.40625</v>
      </c>
      <c r="G128" s="189">
        <f>IF(J128="","",INDEX(Results!AI:AI,MATCH(A128,Results!V:V,0)))</f>
        <v>24.40625</v>
      </c>
      <c r="H128" s="207">
        <f>IF(G128="",0,1)</f>
        <v>1</v>
      </c>
      <c r="I128" s="379">
        <f>INDEX(Picks!AG:AG,MATCH(A128,Picks!AD:AD,0))</f>
        <v>4</v>
      </c>
      <c r="J128" s="442" t="s">
        <v>600</v>
      </c>
      <c r="K128" s="190" t="str">
        <f>INDEX(Odds!H:H,MATCH(J128,Odds!G:G,0))</f>
        <v>7/4</v>
      </c>
      <c r="L128" s="443">
        <f>INDEX(Odds!I:I,MATCH(J128,Odds!G:G,0))</f>
        <v>2.75</v>
      </c>
      <c r="M128" s="457">
        <f>INDEX(Odds!J:J,MATCH(J128,Odds!G:G,0))</f>
        <v>1</v>
      </c>
      <c r="N128" s="445">
        <f t="shared" si="11"/>
        <v>2.75</v>
      </c>
      <c r="O128" s="577"/>
      <c r="P128" s="59"/>
      <c r="R128" s="36" t="str">
        <f>IF(Odds!G128="","",Odds!G128)</f>
        <v>Stockport</v>
      </c>
      <c r="S128" s="37" t="str">
        <f>INDEX(Odds!H:H,MATCH(R128,Odds!G:G,0))</f>
        <v>4/5</v>
      </c>
      <c r="T128" s="41">
        <f t="shared" si="10"/>
        <v>1</v>
      </c>
      <c r="AB128" s="582" t="str">
        <f>IF(O128="","",INDEX(Odds!H:H,MATCH(O128,Odds!G:G,0)))</f>
        <v/>
      </c>
      <c r="AC128" s="605">
        <f>IF(J128="","",INDEX(Odds!K:K,MATCH(J128,Odds!G:G,0)))</f>
        <v>1</v>
      </c>
      <c r="AD128" s="59"/>
      <c r="AE128" s="59"/>
      <c r="AF128" s="438"/>
      <c r="AG128" s="59"/>
    </row>
    <row r="129" spans="1:33">
      <c r="A129" s="644" t="str">
        <f>A128</f>
        <v>Mike Penk</v>
      </c>
      <c r="B129" s="446" t="str">
        <f t="shared" si="12"/>
        <v>Sheff U</v>
      </c>
      <c r="C129" s="516">
        <f>IF(J129="","",INDEX(Odds!C:C,MATCH(J129,Odds!G:G,0)))</f>
        <v>7</v>
      </c>
      <c r="D129" s="447">
        <f t="shared" si="13"/>
        <v>1.8333333333333335</v>
      </c>
      <c r="E129" s="460" t="str">
        <f t="shared" si="9"/>
        <v>√</v>
      </c>
      <c r="F129" s="448"/>
      <c r="G129" s="449"/>
      <c r="H129" s="207"/>
      <c r="I129" s="380"/>
      <c r="J129" s="442" t="s">
        <v>434</v>
      </c>
      <c r="K129" s="191" t="str">
        <f>INDEX(Odds!H:H,MATCH(J129,Odds!G:G,0))</f>
        <v>5/6</v>
      </c>
      <c r="L129" s="450">
        <f>INDEX(Odds!I:I,MATCH(J129,Odds!G:G,0))</f>
        <v>1.8333333333333335</v>
      </c>
      <c r="M129" s="444">
        <f>INDEX(Odds!J:J,MATCH(J129,Odds!G:G,0))</f>
        <v>1</v>
      </c>
      <c r="N129" s="445">
        <f t="shared" si="11"/>
        <v>1.8333333333333335</v>
      </c>
      <c r="O129" s="577"/>
      <c r="P129" s="59"/>
      <c r="R129" s="36" t="str">
        <f>IF(Odds!G129="","",Odds!G129)</f>
        <v>Sutton</v>
      </c>
      <c r="S129" s="37" t="str">
        <f>INDEX(Odds!H:H,MATCH(R129,Odds!G:G,0))</f>
        <v>5/4</v>
      </c>
      <c r="T129" s="41">
        <f t="shared" si="10"/>
        <v>0</v>
      </c>
      <c r="AB129" s="582" t="str">
        <f>IF(O129="","",INDEX(Odds!H:H,MATCH(O129,Odds!G:G,0)))</f>
        <v/>
      </c>
      <c r="AC129" s="605">
        <f>IF(J129="","",INDEX(Odds!K:K,MATCH(J129,Odds!G:G,0)))</f>
        <v>1</v>
      </c>
      <c r="AD129" s="59"/>
      <c r="AE129" s="59"/>
      <c r="AF129" s="438"/>
      <c r="AG129" s="59"/>
    </row>
    <row r="130" spans="1:33" ht="13.5" thickBot="1">
      <c r="A130" s="645" t="str">
        <f>A128</f>
        <v>Mike Penk</v>
      </c>
      <c r="B130" s="451" t="str">
        <f t="shared" si="12"/>
        <v>Plymouth</v>
      </c>
      <c r="C130" s="517">
        <f>IF(J130="","",INDEX(Odds!C:C,MATCH(J130,Odds!G:G,0)))</f>
        <v>7</v>
      </c>
      <c r="D130" s="452">
        <f t="shared" si="13"/>
        <v>2.0499999999999998</v>
      </c>
      <c r="E130" s="460" t="str">
        <f t="shared" si="9"/>
        <v>√</v>
      </c>
      <c r="F130" s="448"/>
      <c r="G130" s="449"/>
      <c r="H130" s="207"/>
      <c r="I130" s="380"/>
      <c r="J130" s="453" t="s">
        <v>585</v>
      </c>
      <c r="K130" s="192" t="str">
        <f>INDEX(Odds!H:H,MATCH(J130,Odds!G:G,0))</f>
        <v>21/20</v>
      </c>
      <c r="L130" s="454">
        <f>INDEX(Odds!I:I,MATCH(J130,Odds!G:G,0))</f>
        <v>2.0499999999999998</v>
      </c>
      <c r="M130" s="444">
        <f>INDEX(Odds!J:J,MATCH(J130,Odds!G:G,0))</f>
        <v>1</v>
      </c>
      <c r="N130" s="455">
        <f t="shared" si="11"/>
        <v>2.0499999999999998</v>
      </c>
      <c r="O130" s="578"/>
      <c r="P130" s="59"/>
      <c r="R130" s="36" t="str">
        <f>IF(Odds!G130="","",Odds!G130)</f>
        <v>Gillingham</v>
      </c>
      <c r="S130" s="37" t="str">
        <f>INDEX(Odds!H:H,MATCH(R130,Odds!G:G,0))</f>
        <v>4/1</v>
      </c>
      <c r="T130" s="41">
        <f t="shared" si="10"/>
        <v>0</v>
      </c>
      <c r="AB130" s="583" t="str">
        <f>IF(O130="","",INDEX(Odds!H:H,MATCH(O130,Odds!G:G,0)))</f>
        <v/>
      </c>
      <c r="AC130" s="605">
        <f>IF(J130="","",INDEX(Odds!K:K,MATCH(J130,Odds!G:G,0)))</f>
        <v>1</v>
      </c>
      <c r="AD130" s="59"/>
      <c r="AE130" s="59"/>
      <c r="AF130" s="438"/>
      <c r="AG130" s="59"/>
    </row>
    <row r="131" spans="1:33" ht="13.9" thickTop="1" thickBot="1">
      <c r="A131" s="440" t="str">
        <f>Results!B131</f>
        <v>Mo Sudell</v>
      </c>
      <c r="B131" s="456" t="str">
        <f t="shared" si="12"/>
        <v>Stevenage</v>
      </c>
      <c r="C131" s="516">
        <f>IF(J131="","",INDEX(Odds!C:C,MATCH(J131,Odds!G:G,0)))</f>
        <v>7</v>
      </c>
      <c r="D131" s="441">
        <f t="shared" si="13"/>
        <v>1.85</v>
      </c>
      <c r="E131" s="459" t="str">
        <f t="shared" ref="E131:E175" si="14">IF(J131="","",IF(M131=1,"√","x"))</f>
        <v>x</v>
      </c>
      <c r="F131" s="382">
        <f>IF(J131="",-10,INDEX(Results!T:T,MATCH(A131,Results!V:V,0)))</f>
        <v>-7</v>
      </c>
      <c r="G131" s="189">
        <f>IF(J131="","",INDEX(Results!AI:AI,MATCH(A131,Results!V:V,0)))</f>
        <v>21.069999999999997</v>
      </c>
      <c r="H131" s="207">
        <f>IF(G131="",0,1)</f>
        <v>1</v>
      </c>
      <c r="I131" s="379">
        <f>INDEX(Picks!AG:AG,MATCH(A131,Picks!AD:AD,0))</f>
        <v>50</v>
      </c>
      <c r="J131" s="442" t="s">
        <v>550</v>
      </c>
      <c r="K131" s="190" t="str">
        <f>INDEX(Odds!H:H,MATCH(J131,Odds!G:G,0))</f>
        <v>17/20</v>
      </c>
      <c r="L131" s="443">
        <f>INDEX(Odds!I:I,MATCH(J131,Odds!G:G,0))</f>
        <v>1.85</v>
      </c>
      <c r="M131" s="457">
        <f>INDEX(Odds!J:J,MATCH(J131,Odds!G:G,0))</f>
        <v>0</v>
      </c>
      <c r="N131" s="445">
        <f t="shared" si="11"/>
        <v>0</v>
      </c>
      <c r="O131" s="577"/>
      <c r="P131" s="59"/>
      <c r="R131" s="36" t="str">
        <f>IF(Odds!G131="","",Odds!G131)</f>
        <v>Northampton</v>
      </c>
      <c r="S131" s="37" t="str">
        <f>INDEX(Odds!H:H,MATCH(R131,Odds!G:G,0))</f>
        <v>21/10</v>
      </c>
      <c r="T131" s="41">
        <f t="shared" si="10"/>
        <v>0</v>
      </c>
      <c r="AB131" s="582" t="str">
        <f>IF(O131="","",INDEX(Odds!H:H,MATCH(O131,Odds!G:G,0)))</f>
        <v/>
      </c>
      <c r="AC131" s="605">
        <f>IF(J131="","",INDEX(Odds!K:K,MATCH(J131,Odds!G:G,0)))</f>
        <v>1</v>
      </c>
      <c r="AD131" s="59"/>
      <c r="AE131" s="59"/>
      <c r="AF131" s="438"/>
      <c r="AG131" s="59"/>
    </row>
    <row r="132" spans="1:33">
      <c r="A132" s="644" t="str">
        <f>A131</f>
        <v>Mo Sudell</v>
      </c>
      <c r="B132" s="446" t="str">
        <f t="shared" si="12"/>
        <v>Morecambe</v>
      </c>
      <c r="C132" s="516">
        <f>IF(J132="","",INDEX(Odds!C:C,MATCH(J132,Odds!G:G,0)))</f>
        <v>7</v>
      </c>
      <c r="D132" s="447">
        <f t="shared" si="13"/>
        <v>2.4</v>
      </c>
      <c r="E132" s="460" t="str">
        <f t="shared" si="14"/>
        <v>x</v>
      </c>
      <c r="F132" s="448"/>
      <c r="G132" s="449"/>
      <c r="H132" s="207"/>
      <c r="I132" s="380"/>
      <c r="J132" s="442" t="s">
        <v>612</v>
      </c>
      <c r="K132" s="191" t="str">
        <f>INDEX(Odds!H:H,MATCH(J132,Odds!G:G,0))</f>
        <v>7/5</v>
      </c>
      <c r="L132" s="450">
        <f>INDEX(Odds!I:I,MATCH(J132,Odds!G:G,0))</f>
        <v>2.4</v>
      </c>
      <c r="M132" s="444">
        <f>INDEX(Odds!J:J,MATCH(J132,Odds!G:G,0))</f>
        <v>0</v>
      </c>
      <c r="N132" s="445">
        <f t="shared" si="11"/>
        <v>0</v>
      </c>
      <c r="O132" s="577"/>
      <c r="P132" s="59"/>
      <c r="R132" s="36" t="str">
        <f>IF(Odds!G132="","",Odds!G132)</f>
        <v>Bradford</v>
      </c>
      <c r="S132" s="37" t="str">
        <f>INDEX(Odds!H:H,MATCH(R132,Odds!G:G,0))</f>
        <v>16/5</v>
      </c>
      <c r="T132" s="41">
        <f t="shared" si="10"/>
        <v>1</v>
      </c>
      <c r="AB132" s="582" t="str">
        <f>IF(O132="","",INDEX(Odds!H:H,MATCH(O132,Odds!G:G,0)))</f>
        <v/>
      </c>
      <c r="AC132" s="605">
        <f>IF(J132="","",INDEX(Odds!K:K,MATCH(J132,Odds!G:G,0)))</f>
        <v>1</v>
      </c>
      <c r="AD132" s="59"/>
      <c r="AE132" s="59"/>
      <c r="AF132" s="438"/>
      <c r="AG132" s="59"/>
    </row>
    <row r="133" spans="1:33" ht="13.5" thickBot="1">
      <c r="A133" s="645" t="str">
        <f>A131</f>
        <v>Mo Sudell</v>
      </c>
      <c r="B133" s="451" t="str">
        <f t="shared" si="12"/>
        <v>Charlton</v>
      </c>
      <c r="C133" s="517">
        <f>IF(J133="","",INDEX(Odds!C:C,MATCH(J133,Odds!G:G,0)))</f>
        <v>7</v>
      </c>
      <c r="D133" s="452">
        <f t="shared" si="13"/>
        <v>2</v>
      </c>
      <c r="E133" s="460" t="str">
        <f t="shared" si="14"/>
        <v>x</v>
      </c>
      <c r="F133" s="448"/>
      <c r="G133" s="449"/>
      <c r="H133" s="207"/>
      <c r="I133" s="380"/>
      <c r="J133" s="453" t="s">
        <v>605</v>
      </c>
      <c r="K133" s="192" t="str">
        <f>INDEX(Odds!H:H,MATCH(J133,Odds!G:G,0))</f>
        <v>1/1</v>
      </c>
      <c r="L133" s="454">
        <f>INDEX(Odds!I:I,MATCH(J133,Odds!G:G,0))</f>
        <v>2</v>
      </c>
      <c r="M133" s="444">
        <f>INDEX(Odds!J:J,MATCH(J133,Odds!G:G,0))</f>
        <v>0</v>
      </c>
      <c r="N133" s="455">
        <f t="shared" si="11"/>
        <v>0</v>
      </c>
      <c r="O133" s="578"/>
      <c r="P133" s="59"/>
      <c r="R133" s="36" t="str">
        <f>IF(Odds!G133="","",Odds!G133)</f>
        <v>Doncaster</v>
      </c>
      <c r="S133" s="37" t="str">
        <f>INDEX(Odds!H:H,MATCH(R133,Odds!G:G,0))</f>
        <v>13/5</v>
      </c>
      <c r="T133" s="41">
        <f t="shared" si="10"/>
        <v>1</v>
      </c>
      <c r="AB133" s="583" t="str">
        <f>IF(O133="","",INDEX(Odds!H:H,MATCH(O133,Odds!G:G,0)))</f>
        <v/>
      </c>
      <c r="AC133" s="605">
        <f>IF(J133="","",INDEX(Odds!K:K,MATCH(J133,Odds!G:G,0)))</f>
        <v>1</v>
      </c>
      <c r="AD133" s="59"/>
      <c r="AE133" s="59"/>
      <c r="AF133" s="438"/>
      <c r="AG133" s="59"/>
    </row>
    <row r="134" spans="1:33" ht="13.9" thickTop="1" thickBot="1">
      <c r="A134" s="440" t="str">
        <f>Results!B134</f>
        <v>Nick Blocksidge</v>
      </c>
      <c r="B134" s="456" t="str">
        <f t="shared" si="12"/>
        <v/>
      </c>
      <c r="C134" s="516" t="str">
        <f>IF(J134="","",INDEX(Odds!C:C,MATCH(J134,Odds!G:G,0)))</f>
        <v/>
      </c>
      <c r="D134" s="441" t="str">
        <f t="shared" si="13"/>
        <v/>
      </c>
      <c r="E134" s="459" t="str">
        <f t="shared" si="14"/>
        <v/>
      </c>
      <c r="F134" s="382">
        <f>IF(J134="",-10,INDEX(Results!T:T,MATCH(A134,Results!V:V,0)))</f>
        <v>-10</v>
      </c>
      <c r="G134" s="189" t="str">
        <f>IF(J134="","",INDEX(Results!AI:AI,MATCH(A134,Results!V:V,0)))</f>
        <v/>
      </c>
      <c r="H134" s="207">
        <f>IF(G134="",0,1)</f>
        <v>0</v>
      </c>
      <c r="I134" s="379" t="str">
        <f>INDEX(Picks!AG:AG,MATCH(A134,Picks!AD:AD,0))</f>
        <v/>
      </c>
      <c r="J134" s="442"/>
      <c r="K134" s="190" t="e">
        <f>INDEX(Odds!H:H,MATCH(J134,Odds!G:G,0))</f>
        <v>#N/A</v>
      </c>
      <c r="L134" s="443" t="e">
        <f>INDEX(Odds!I:I,MATCH(J134,Odds!G:G,0))</f>
        <v>#N/A</v>
      </c>
      <c r="M134" s="457" t="e">
        <f>INDEX(Odds!J:J,MATCH(J134,Odds!G:G,0))</f>
        <v>#N/A</v>
      </c>
      <c r="N134" s="445" t="e">
        <f t="shared" si="11"/>
        <v>#N/A</v>
      </c>
      <c r="O134" s="577"/>
      <c r="P134" s="59"/>
      <c r="R134" s="36" t="str">
        <f>IF(Odds!G134="","",Odds!G134)</f>
        <v>Salford</v>
      </c>
      <c r="S134" s="37" t="str">
        <f>INDEX(Odds!H:H,MATCH(R134,Odds!G:G,0))</f>
        <v>21/10</v>
      </c>
      <c r="T134" s="41">
        <f t="shared" si="10"/>
        <v>0</v>
      </c>
      <c r="AB134" s="582" t="str">
        <f>IF(O134="","",INDEX(Odds!H:H,MATCH(O134,Odds!G:G,0)))</f>
        <v/>
      </c>
      <c r="AC134" s="605" t="str">
        <f>IF(J134="","",INDEX(Odds!K:K,MATCH(J134,Odds!G:G,0)))</f>
        <v/>
      </c>
      <c r="AD134" s="59"/>
      <c r="AE134" s="59"/>
      <c r="AF134" s="438"/>
      <c r="AG134" s="59"/>
    </row>
    <row r="135" spans="1:33">
      <c r="A135" s="644" t="str">
        <f>A134</f>
        <v>Nick Blocksidge</v>
      </c>
      <c r="B135" s="446" t="str">
        <f t="shared" si="12"/>
        <v/>
      </c>
      <c r="C135" s="516" t="str">
        <f>IF(J135="","",INDEX(Odds!C:C,MATCH(J135,Odds!G:G,0)))</f>
        <v/>
      </c>
      <c r="D135" s="447" t="str">
        <f t="shared" si="13"/>
        <v/>
      </c>
      <c r="E135" s="460" t="str">
        <f t="shared" si="14"/>
        <v/>
      </c>
      <c r="F135" s="448"/>
      <c r="G135" s="449"/>
      <c r="H135" s="207"/>
      <c r="I135" s="380"/>
      <c r="J135" s="442"/>
      <c r="K135" s="191" t="e">
        <f>INDEX(Odds!H:H,MATCH(J135,Odds!G:G,0))</f>
        <v>#N/A</v>
      </c>
      <c r="L135" s="450" t="e">
        <f>INDEX(Odds!I:I,MATCH(J135,Odds!G:G,0))</f>
        <v>#N/A</v>
      </c>
      <c r="M135" s="444" t="e">
        <f>INDEX(Odds!J:J,MATCH(J135,Odds!G:G,0))</f>
        <v>#N/A</v>
      </c>
      <c r="N135" s="445" t="e">
        <f t="shared" si="11"/>
        <v>#N/A</v>
      </c>
      <c r="O135" s="577"/>
      <c r="P135" s="59"/>
      <c r="R135" s="36" t="str">
        <f>IF(Odds!G135="","",Odds!G135)</f>
        <v>Orient</v>
      </c>
      <c r="S135" s="37" t="str">
        <f>INDEX(Odds!H:H,MATCH(R135,Odds!G:G,0))</f>
        <v>11/5</v>
      </c>
      <c r="T135" s="41">
        <f t="shared" si="10"/>
        <v>0</v>
      </c>
      <c r="AB135" s="582" t="str">
        <f>IF(O135="","",INDEX(Odds!H:H,MATCH(O135,Odds!G:G,0)))</f>
        <v/>
      </c>
      <c r="AC135" s="605" t="str">
        <f>IF(J135="","",INDEX(Odds!K:K,MATCH(J135,Odds!G:G,0)))</f>
        <v/>
      </c>
      <c r="AD135" s="59"/>
      <c r="AE135" s="59"/>
      <c r="AF135" s="438"/>
      <c r="AG135" s="59"/>
    </row>
    <row r="136" spans="1:33" ht="13.5" thickBot="1">
      <c r="A136" s="645" t="str">
        <f>A134</f>
        <v>Nick Blocksidge</v>
      </c>
      <c r="B136" s="451" t="str">
        <f t="shared" si="12"/>
        <v/>
      </c>
      <c r="C136" s="517" t="str">
        <f>IF(J136="","",INDEX(Odds!C:C,MATCH(J136,Odds!G:G,0)))</f>
        <v/>
      </c>
      <c r="D136" s="452" t="str">
        <f t="shared" si="13"/>
        <v/>
      </c>
      <c r="E136" s="460" t="str">
        <f t="shared" si="14"/>
        <v/>
      </c>
      <c r="F136" s="448"/>
      <c r="G136" s="449"/>
      <c r="H136" s="207"/>
      <c r="I136" s="380"/>
      <c r="J136" s="453"/>
      <c r="K136" s="192" t="e">
        <f>INDEX(Odds!H:H,MATCH(J136,Odds!G:G,0))</f>
        <v>#N/A</v>
      </c>
      <c r="L136" s="454" t="e">
        <f>INDEX(Odds!I:I,MATCH(J136,Odds!G:G,0))</f>
        <v>#N/A</v>
      </c>
      <c r="M136" s="444" t="e">
        <f>INDEX(Odds!J:J,MATCH(J136,Odds!G:G,0))</f>
        <v>#N/A</v>
      </c>
      <c r="N136" s="455" t="e">
        <f t="shared" si="11"/>
        <v>#N/A</v>
      </c>
      <c r="O136" s="578"/>
      <c r="P136" s="59"/>
      <c r="R136" s="36" t="str">
        <f>IF(Odds!G136="","",Odds!G136)</f>
        <v>Carlisle</v>
      </c>
      <c r="S136" s="37" t="str">
        <f>INDEX(Odds!H:H,MATCH(R136,Odds!G:G,0))</f>
        <v>6/4</v>
      </c>
      <c r="T136" s="41">
        <f t="shared" si="10"/>
        <v>0</v>
      </c>
      <c r="AB136" s="583" t="str">
        <f>IF(O136="","",INDEX(Odds!H:H,MATCH(O136,Odds!G:G,0)))</f>
        <v/>
      </c>
      <c r="AC136" s="605" t="str">
        <f>IF(J136="","",INDEX(Odds!K:K,MATCH(J136,Odds!G:G,0)))</f>
        <v/>
      </c>
      <c r="AD136" s="59"/>
      <c r="AE136" s="59"/>
      <c r="AF136" s="438"/>
      <c r="AG136" s="59"/>
    </row>
    <row r="137" spans="1:33" ht="13.9" thickTop="1" thickBot="1">
      <c r="A137" s="440" t="str">
        <f>Results!B137</f>
        <v>Nigel Heyes</v>
      </c>
      <c r="B137" s="456" t="str">
        <f t="shared" si="12"/>
        <v>Sunderland</v>
      </c>
      <c r="C137" s="516">
        <f>IF(J137="","",INDEX(Odds!C:C,MATCH(J137,Odds!G:G,0)))</f>
        <v>7</v>
      </c>
      <c r="D137" s="441">
        <f t="shared" si="13"/>
        <v>1.9090909090909092</v>
      </c>
      <c r="E137" s="459" t="str">
        <f t="shared" si="14"/>
        <v>√</v>
      </c>
      <c r="F137" s="382">
        <f>IF(J137="",-10,INDEX(Results!T:T,MATCH(A137,Results!V:V,0)))</f>
        <v>1.454545454545455</v>
      </c>
      <c r="G137" s="189">
        <f>IF(J137="","",INDEX(Results!AI:AI,MATCH(A137,Results!V:V,0)))</f>
        <v>24.145454545454545</v>
      </c>
      <c r="H137" s="207">
        <f>IF(G137="",0,1)</f>
        <v>1</v>
      </c>
      <c r="I137" s="379">
        <f>INDEX(Picks!AG:AG,MATCH(A137,Picks!AD:AD,0))</f>
        <v>20</v>
      </c>
      <c r="J137" s="442" t="s">
        <v>172</v>
      </c>
      <c r="K137" s="190" t="str">
        <f>INDEX(Odds!H:H,MATCH(J137,Odds!G:G,0))</f>
        <v>10/11</v>
      </c>
      <c r="L137" s="443">
        <f>INDEX(Odds!I:I,MATCH(J137,Odds!G:G,0))</f>
        <v>1.9090909090909092</v>
      </c>
      <c r="M137" s="457">
        <f>INDEX(Odds!J:J,MATCH(J137,Odds!G:G,0))</f>
        <v>1</v>
      </c>
      <c r="N137" s="445">
        <f t="shared" si="11"/>
        <v>1.9090909090909092</v>
      </c>
      <c r="O137" s="577"/>
      <c r="P137" s="59"/>
      <c r="R137" s="36" t="str">
        <f>IF(Odds!G137="","",Odds!G137)</f>
        <v>Man U</v>
      </c>
      <c r="S137" s="37" t="str">
        <f>INDEX(Odds!H:H,MATCH(R137,Odds!G:G,0))</f>
        <v>3/4</v>
      </c>
      <c r="T137" s="41">
        <f t="shared" si="10"/>
        <v>1</v>
      </c>
      <c r="AB137" s="582" t="str">
        <f>IF(O137="","",INDEX(Odds!H:H,MATCH(O137,Odds!G:G,0)))</f>
        <v/>
      </c>
      <c r="AC137" s="605">
        <f>IF(J137="","",INDEX(Odds!K:K,MATCH(J137,Odds!G:G,0)))</f>
        <v>1</v>
      </c>
      <c r="AD137" s="59"/>
      <c r="AE137" s="59"/>
      <c r="AF137" s="438"/>
      <c r="AG137" s="59"/>
    </row>
    <row r="138" spans="1:33">
      <c r="A138" s="644" t="str">
        <f>A137</f>
        <v>Nigel Heyes</v>
      </c>
      <c r="B138" s="446" t="str">
        <f t="shared" si="12"/>
        <v>Morecambe</v>
      </c>
      <c r="C138" s="516">
        <f>IF(J138="","",INDEX(Odds!C:C,MATCH(J138,Odds!G:G,0)))</f>
        <v>7</v>
      </c>
      <c r="D138" s="447">
        <f t="shared" si="13"/>
        <v>2.4</v>
      </c>
      <c r="E138" s="460" t="str">
        <f t="shared" si="14"/>
        <v>x</v>
      </c>
      <c r="F138" s="448"/>
      <c r="G138" s="449"/>
      <c r="H138" s="207"/>
      <c r="I138" s="380"/>
      <c r="J138" s="442" t="s">
        <v>612</v>
      </c>
      <c r="K138" s="191" t="str">
        <f>INDEX(Odds!H:H,MATCH(J138,Odds!G:G,0))</f>
        <v>7/5</v>
      </c>
      <c r="L138" s="450">
        <f>INDEX(Odds!I:I,MATCH(J138,Odds!G:G,0))</f>
        <v>2.4</v>
      </c>
      <c r="M138" s="444">
        <f>INDEX(Odds!J:J,MATCH(J138,Odds!G:G,0))</f>
        <v>0</v>
      </c>
      <c r="N138" s="445">
        <f t="shared" si="11"/>
        <v>0</v>
      </c>
      <c r="O138" s="577"/>
      <c r="P138" s="59"/>
      <c r="R138" s="36" t="str">
        <f>IF(Odds!G138="","",Odds!G138)</f>
        <v>Villa</v>
      </c>
      <c r="S138" s="37" t="str">
        <f>INDEX(Odds!H:H,MATCH(R138,Odds!G:G,0))</f>
        <v>12/1</v>
      </c>
      <c r="T138" s="41">
        <f t="shared" si="10"/>
        <v>0</v>
      </c>
      <c r="AB138" s="582" t="str">
        <f>IF(O138="","",INDEX(Odds!H:H,MATCH(O138,Odds!G:G,0)))</f>
        <v/>
      </c>
      <c r="AC138" s="605">
        <f>IF(J138="","",INDEX(Odds!K:K,MATCH(J138,Odds!G:G,0)))</f>
        <v>1</v>
      </c>
      <c r="AD138" s="59"/>
      <c r="AE138" s="59"/>
      <c r="AF138" s="438"/>
      <c r="AG138" s="59"/>
    </row>
    <row r="139" spans="1:33" ht="13.5" thickBot="1">
      <c r="A139" s="645" t="str">
        <f>A137</f>
        <v>Nigel Heyes</v>
      </c>
      <c r="B139" s="451" t="str">
        <f t="shared" si="12"/>
        <v>Shrewsbury</v>
      </c>
      <c r="C139" s="517">
        <f>IF(J139="","",INDEX(Odds!C:C,MATCH(J139,Odds!G:G,0)))</f>
        <v>7</v>
      </c>
      <c r="D139" s="452">
        <f t="shared" si="13"/>
        <v>2.25</v>
      </c>
      <c r="E139" s="620" t="str">
        <f t="shared" si="14"/>
        <v>√</v>
      </c>
      <c r="F139" s="621"/>
      <c r="G139" s="622"/>
      <c r="H139" s="207"/>
      <c r="I139" s="380"/>
      <c r="J139" s="453" t="s">
        <v>522</v>
      </c>
      <c r="K139" s="192" t="str">
        <f>INDEX(Odds!H:H,MATCH(J139,Odds!G:G,0))</f>
        <v>5/4</v>
      </c>
      <c r="L139" s="454">
        <f>INDEX(Odds!I:I,MATCH(J139,Odds!G:G,0))</f>
        <v>2.25</v>
      </c>
      <c r="M139" s="444">
        <f>INDEX(Odds!J:J,MATCH(J139,Odds!G:G,0))</f>
        <v>1</v>
      </c>
      <c r="N139" s="455">
        <f t="shared" si="11"/>
        <v>2.25</v>
      </c>
      <c r="O139" s="578"/>
      <c r="P139" s="59"/>
      <c r="R139" s="42" t="str">
        <f>IF(Odds!G139="","",Odds!G139)</f>
        <v/>
      </c>
      <c r="S139" s="43" t="str">
        <f>INDEX(Odds!H:H,MATCH(R139,Odds!G:G,0))</f>
        <v/>
      </c>
      <c r="T139" s="44" t="e">
        <f t="shared" si="10"/>
        <v>#N/A</v>
      </c>
      <c r="AB139" s="583" t="str">
        <f>IF(O139="","",INDEX(Odds!H:H,MATCH(O139,Odds!G:G,0)))</f>
        <v/>
      </c>
      <c r="AC139" s="605">
        <f>IF(J139="","",INDEX(Odds!K:K,MATCH(J139,Odds!G:G,0)))</f>
        <v>1</v>
      </c>
      <c r="AD139" s="59"/>
      <c r="AE139" s="59"/>
      <c r="AF139" s="438"/>
      <c r="AG139" s="59"/>
    </row>
    <row r="140" spans="1:33" ht="13.9" thickTop="1" thickBot="1">
      <c r="A140" s="440" t="str">
        <f>Results!B140</f>
        <v>Paul Adderley</v>
      </c>
      <c r="B140" s="456" t="str">
        <f t="shared" si="12"/>
        <v>Sheff U</v>
      </c>
      <c r="C140" s="516">
        <f>IF(J140="","",INDEX(Odds!C:C,MATCH(J140,Odds!G:G,0)))</f>
        <v>7</v>
      </c>
      <c r="D140" s="441">
        <f t="shared" si="13"/>
        <v>1.8333333333333335</v>
      </c>
      <c r="E140" s="460" t="str">
        <f t="shared" si="14"/>
        <v>√</v>
      </c>
      <c r="F140" s="618">
        <f>IF(J140="",-10,INDEX(Results!T:T,MATCH(A140,Results!V:V,0)))</f>
        <v>0.2424242424242431</v>
      </c>
      <c r="G140" s="619">
        <f>IF(J140="","",INDEX(Results!AI:AI,MATCH(A140,Results!V:V,0)))</f>
        <v>16.72727272727273</v>
      </c>
      <c r="H140" s="207">
        <f>IF(G140="",0,1)</f>
        <v>1</v>
      </c>
      <c r="I140" s="379">
        <f>INDEX(Picks!AG:AG,MATCH(A140,Picks!AD:AD,0))</f>
        <v>26</v>
      </c>
      <c r="J140" s="442" t="s">
        <v>434</v>
      </c>
      <c r="K140" s="190" t="str">
        <f>INDEX(Odds!H:H,MATCH(J140,Odds!G:G,0))</f>
        <v>5/6</v>
      </c>
      <c r="L140" s="443">
        <f>INDEX(Odds!I:I,MATCH(J140,Odds!G:G,0))</f>
        <v>1.8333333333333335</v>
      </c>
      <c r="M140" s="457">
        <f>INDEX(Odds!J:J,MATCH(J140,Odds!G:G,0))</f>
        <v>1</v>
      </c>
      <c r="N140" s="445">
        <f t="shared" si="11"/>
        <v>1.8333333333333335</v>
      </c>
      <c r="O140" s="577"/>
      <c r="P140" s="59"/>
      <c r="AB140" s="582" t="str">
        <f>IF(O140="","",INDEX(Odds!H:H,MATCH(O140,Odds!G:G,0)))</f>
        <v/>
      </c>
      <c r="AC140" s="605">
        <f>IF(J140="","",INDEX(Odds!K:K,MATCH(J140,Odds!G:G,0)))</f>
        <v>1</v>
      </c>
      <c r="AD140" s="59"/>
      <c r="AE140" s="59"/>
      <c r="AF140" s="438"/>
      <c r="AG140" s="59"/>
    </row>
    <row r="141" spans="1:33">
      <c r="A141" s="644" t="str">
        <f>A140</f>
        <v>Paul Adderley</v>
      </c>
      <c r="B141" s="446" t="str">
        <f t="shared" si="12"/>
        <v>Watford</v>
      </c>
      <c r="C141" s="516">
        <f>IF(J141="","",INDEX(Odds!C:C,MATCH(J141,Odds!G:G,0)))</f>
        <v>7</v>
      </c>
      <c r="D141" s="447">
        <f t="shared" si="13"/>
        <v>2</v>
      </c>
      <c r="E141" s="460" t="str">
        <f t="shared" si="14"/>
        <v>x</v>
      </c>
      <c r="F141" s="448"/>
      <c r="G141" s="449"/>
      <c r="H141" s="207"/>
      <c r="I141" s="380"/>
      <c r="J141" s="442" t="s">
        <v>537</v>
      </c>
      <c r="K141" s="191" t="str">
        <f>INDEX(Odds!H:H,MATCH(J141,Odds!G:G,0))</f>
        <v>1/1</v>
      </c>
      <c r="L141" s="450">
        <f>INDEX(Odds!I:I,MATCH(J141,Odds!G:G,0))</f>
        <v>2</v>
      </c>
      <c r="M141" s="444">
        <f>INDEX(Odds!J:J,MATCH(J141,Odds!G:G,0))</f>
        <v>0</v>
      </c>
      <c r="N141" s="445">
        <f t="shared" si="11"/>
        <v>0</v>
      </c>
      <c r="O141" s="577"/>
      <c r="P141" s="59"/>
      <c r="AB141" s="582" t="str">
        <f>IF(O141="","",INDEX(Odds!H:H,MATCH(O141,Odds!G:G,0)))</f>
        <v/>
      </c>
      <c r="AC141" s="605">
        <f>IF(J141="","",INDEX(Odds!K:K,MATCH(J141,Odds!G:G,0)))</f>
        <v>1</v>
      </c>
      <c r="AD141" s="59"/>
      <c r="AE141" s="59"/>
      <c r="AF141" s="438"/>
      <c r="AG141" s="59"/>
    </row>
    <row r="142" spans="1:33" ht="13.5" thickBot="1">
      <c r="A142" s="645" t="str">
        <f>A140</f>
        <v>Paul Adderley</v>
      </c>
      <c r="B142" s="451" t="str">
        <f t="shared" si="12"/>
        <v>Sunderland</v>
      </c>
      <c r="C142" s="517">
        <f>IF(J142="","",INDEX(Odds!C:C,MATCH(J142,Odds!G:G,0)))</f>
        <v>7</v>
      </c>
      <c r="D142" s="452">
        <f t="shared" si="13"/>
        <v>1.9090909090909092</v>
      </c>
      <c r="E142" s="460" t="str">
        <f t="shared" si="14"/>
        <v>√</v>
      </c>
      <c r="F142" s="448"/>
      <c r="G142" s="449"/>
      <c r="H142" s="207"/>
      <c r="I142" s="380"/>
      <c r="J142" s="453" t="s">
        <v>172</v>
      </c>
      <c r="K142" s="192" t="str">
        <f>INDEX(Odds!H:H,MATCH(J142,Odds!G:G,0))</f>
        <v>10/11</v>
      </c>
      <c r="L142" s="454">
        <f>INDEX(Odds!I:I,MATCH(J142,Odds!G:G,0))</f>
        <v>1.9090909090909092</v>
      </c>
      <c r="M142" s="444">
        <f>INDEX(Odds!J:J,MATCH(J142,Odds!G:G,0))</f>
        <v>1</v>
      </c>
      <c r="N142" s="455">
        <f t="shared" si="11"/>
        <v>1.9090909090909092</v>
      </c>
      <c r="O142" s="578"/>
      <c r="P142" s="59"/>
      <c r="AB142" s="583" t="str">
        <f>IF(O142="","",INDEX(Odds!H:H,MATCH(O142,Odds!G:G,0)))</f>
        <v/>
      </c>
      <c r="AC142" s="605">
        <f>IF(J142="","",INDEX(Odds!K:K,MATCH(J142,Odds!G:G,0)))</f>
        <v>1</v>
      </c>
      <c r="AD142" s="59"/>
      <c r="AE142" s="59"/>
      <c r="AF142" s="438"/>
      <c r="AG142" s="59"/>
    </row>
    <row r="143" spans="1:33" ht="13.9" thickTop="1" thickBot="1">
      <c r="A143" s="440" t="str">
        <f>Results!B143</f>
        <v>Paul Allen</v>
      </c>
      <c r="B143" s="456" t="str">
        <f t="shared" si="12"/>
        <v>Southampton draw</v>
      </c>
      <c r="C143" s="516">
        <f>IF(J143="","",INDEX(Odds!C:C,MATCH(J143,Odds!G:G,0)))</f>
        <v>7</v>
      </c>
      <c r="D143" s="441">
        <f t="shared" si="13"/>
        <v>3.1</v>
      </c>
      <c r="E143" s="459" t="str">
        <f t="shared" si="14"/>
        <v>x</v>
      </c>
      <c r="F143" s="382">
        <f>IF(J143="",-10,INDEX(Results!T:T,MATCH(A143,Results!V:V,0)))</f>
        <v>10.059999999999999</v>
      </c>
      <c r="G143" s="189">
        <f>IF(J143="","",INDEX(Results!AI:AI,MATCH(A143,Results!V:V,0)))</f>
        <v>66.046000000000006</v>
      </c>
      <c r="H143" s="207">
        <f>IF(G143="",0,1)</f>
        <v>1</v>
      </c>
      <c r="I143" s="379">
        <f>INDEX(Picks!AG:AG,MATCH(A143,Picks!AD:AD,0))</f>
        <v>9</v>
      </c>
      <c r="J143" s="442" t="s">
        <v>634</v>
      </c>
      <c r="K143" s="190" t="str">
        <f>INDEX(Odds!H:H,MATCH(J143,Odds!G:G,0))</f>
        <v>21/10</v>
      </c>
      <c r="L143" s="443">
        <f>INDEX(Odds!I:I,MATCH(J143,Odds!G:G,0))</f>
        <v>3.1</v>
      </c>
      <c r="M143" s="457">
        <f>INDEX(Odds!J:J,MATCH(J143,Odds!G:G,0))</f>
        <v>0</v>
      </c>
      <c r="N143" s="445">
        <f t="shared" si="11"/>
        <v>0</v>
      </c>
      <c r="O143" s="577"/>
      <c r="P143" s="59"/>
      <c r="AB143" s="582" t="str">
        <f>IF(O143="","",INDEX(Odds!H:H,MATCH(O143,Odds!G:G,0)))</f>
        <v/>
      </c>
      <c r="AC143" s="605">
        <f>IF(J143="","",INDEX(Odds!K:K,MATCH(J143,Odds!G:G,0)))</f>
        <v>1</v>
      </c>
      <c r="AD143" s="59"/>
      <c r="AE143" s="59"/>
      <c r="AF143" s="438"/>
      <c r="AG143" s="59"/>
    </row>
    <row r="144" spans="1:33">
      <c r="A144" s="644" t="str">
        <f>A143</f>
        <v>Paul Allen</v>
      </c>
      <c r="B144" s="446" t="str">
        <f t="shared" si="12"/>
        <v>West Ham draw</v>
      </c>
      <c r="C144" s="516">
        <f>IF(J144="","",INDEX(Odds!C:C,MATCH(J144,Odds!G:G,0)))</f>
        <v>7</v>
      </c>
      <c r="D144" s="447">
        <f t="shared" si="13"/>
        <v>3.2</v>
      </c>
      <c r="E144" s="460" t="str">
        <f t="shared" si="14"/>
        <v>√</v>
      </c>
      <c r="F144" s="448"/>
      <c r="G144" s="449"/>
      <c r="H144" s="207"/>
      <c r="I144" s="380"/>
      <c r="J144" s="442" t="s">
        <v>633</v>
      </c>
      <c r="K144" s="191" t="str">
        <f>INDEX(Odds!H:H,MATCH(J144,Odds!G:G,0))</f>
        <v>11/5</v>
      </c>
      <c r="L144" s="450">
        <f>INDEX(Odds!I:I,MATCH(J144,Odds!G:G,0))</f>
        <v>3.2</v>
      </c>
      <c r="M144" s="444">
        <f>INDEX(Odds!J:J,MATCH(J144,Odds!G:G,0))</f>
        <v>1</v>
      </c>
      <c r="N144" s="445">
        <f t="shared" si="11"/>
        <v>3.2</v>
      </c>
      <c r="O144" s="577"/>
      <c r="P144" s="59"/>
      <c r="AB144" s="582" t="str">
        <f>IF(O144="","",INDEX(Odds!H:H,MATCH(O144,Odds!G:G,0)))</f>
        <v/>
      </c>
      <c r="AC144" s="605">
        <f>IF(J144="","",INDEX(Odds!K:K,MATCH(J144,Odds!G:G,0)))</f>
        <v>1</v>
      </c>
      <c r="AD144" s="59"/>
      <c r="AE144" s="59"/>
      <c r="AF144" s="438"/>
      <c r="AG144" s="59"/>
    </row>
    <row r="145" spans="1:33" ht="13.5" thickBot="1">
      <c r="A145" s="645" t="str">
        <f>A143</f>
        <v>Paul Allen</v>
      </c>
      <c r="B145" s="451" t="str">
        <f t="shared" si="12"/>
        <v>Palace draw</v>
      </c>
      <c r="C145" s="517">
        <f>IF(J145="","",INDEX(Odds!C:C,MATCH(J145,Odds!G:G,0)))</f>
        <v>7</v>
      </c>
      <c r="D145" s="452">
        <f t="shared" si="13"/>
        <v>3.3</v>
      </c>
      <c r="E145" s="460" t="str">
        <f t="shared" si="14"/>
        <v>√</v>
      </c>
      <c r="F145" s="448"/>
      <c r="G145" s="449"/>
      <c r="H145" s="207"/>
      <c r="I145" s="380"/>
      <c r="J145" s="453" t="s">
        <v>635</v>
      </c>
      <c r="K145" s="192" t="str">
        <f>INDEX(Odds!H:H,MATCH(J145,Odds!G:G,0))</f>
        <v>23/10</v>
      </c>
      <c r="L145" s="454">
        <f>INDEX(Odds!I:I,MATCH(J145,Odds!G:G,0))</f>
        <v>3.3</v>
      </c>
      <c r="M145" s="444">
        <f>INDEX(Odds!J:J,MATCH(J145,Odds!G:G,0))</f>
        <v>1</v>
      </c>
      <c r="N145" s="455">
        <f t="shared" si="11"/>
        <v>3.3</v>
      </c>
      <c r="O145" s="578"/>
      <c r="P145" s="59"/>
      <c r="AB145" s="583" t="str">
        <f>IF(O145="","",INDEX(Odds!H:H,MATCH(O145,Odds!G:G,0)))</f>
        <v/>
      </c>
      <c r="AC145" s="605">
        <f>IF(J145="","",INDEX(Odds!K:K,MATCH(J145,Odds!G:G,0)))</f>
        <v>1</v>
      </c>
      <c r="AD145" s="59"/>
      <c r="AE145" s="59"/>
      <c r="AF145" s="438"/>
      <c r="AG145" s="59"/>
    </row>
    <row r="146" spans="1:33" ht="13.9" thickTop="1" thickBot="1">
      <c r="A146" s="440" t="str">
        <f>Results!B146</f>
        <v>Paul Barnes</v>
      </c>
      <c r="B146" s="456" t="str">
        <f t="shared" si="12"/>
        <v>Wolves</v>
      </c>
      <c r="C146" s="516">
        <f>IF(J146="","",INDEX(Odds!C:C,MATCH(J146,Odds!G:G,0)))</f>
        <v>7</v>
      </c>
      <c r="D146" s="441">
        <f t="shared" si="13"/>
        <v>2.625</v>
      </c>
      <c r="E146" s="459" t="str">
        <f t="shared" si="14"/>
        <v>√</v>
      </c>
      <c r="F146" s="382">
        <f>IF(J146="",-10,INDEX(Results!T:T,MATCH(A146,Results!V:V,0)))</f>
        <v>1.96875</v>
      </c>
      <c r="G146" s="189">
        <f>IF(J146="","",INDEX(Results!AI:AI,MATCH(A146,Results!V:V,0)))</f>
        <v>34.865624999999994</v>
      </c>
      <c r="H146" s="207">
        <f>IF(G146="",0,1)</f>
        <v>1</v>
      </c>
      <c r="I146" s="379">
        <f>INDEX(Picks!AG:AG,MATCH(A146,Picks!AD:AD,0))</f>
        <v>17</v>
      </c>
      <c r="J146" s="442" t="s">
        <v>580</v>
      </c>
      <c r="K146" s="190" t="str">
        <f>INDEX(Odds!H:H,MATCH(J146,Odds!G:G,0))</f>
        <v>13/8</v>
      </c>
      <c r="L146" s="443">
        <f>INDEX(Odds!I:I,MATCH(J146,Odds!G:G,0))</f>
        <v>2.625</v>
      </c>
      <c r="M146" s="457">
        <f>INDEX(Odds!J:J,MATCH(J146,Odds!G:G,0))</f>
        <v>1</v>
      </c>
      <c r="N146" s="445">
        <f t="shared" si="11"/>
        <v>2.625</v>
      </c>
      <c r="O146" s="577"/>
      <c r="P146" s="59"/>
      <c r="AB146" s="582" t="str">
        <f>IF(O146="","",INDEX(Odds!H:H,MATCH(O146,Odds!G:G,0)))</f>
        <v/>
      </c>
      <c r="AC146" s="605">
        <f>IF(J146="","",INDEX(Odds!K:K,MATCH(J146,Odds!G:G,0)))</f>
        <v>1</v>
      </c>
      <c r="AD146" s="59"/>
      <c r="AE146" s="59"/>
      <c r="AF146" s="438"/>
      <c r="AG146" s="59"/>
    </row>
    <row r="147" spans="1:33">
      <c r="A147" s="644" t="str">
        <f>A146</f>
        <v>Paul Barnes</v>
      </c>
      <c r="B147" s="446" t="str">
        <f t="shared" si="12"/>
        <v>West Ham</v>
      </c>
      <c r="C147" s="516">
        <f>IF(J147="","",INDEX(Odds!C:C,MATCH(J147,Odds!G:G,0)))</f>
        <v>7</v>
      </c>
      <c r="D147" s="447">
        <f t="shared" si="13"/>
        <v>3.3</v>
      </c>
      <c r="E147" s="460" t="str">
        <f t="shared" si="14"/>
        <v>x</v>
      </c>
      <c r="F147" s="448"/>
      <c r="G147" s="449"/>
      <c r="H147" s="207"/>
      <c r="I147" s="380"/>
      <c r="J147" s="442" t="s">
        <v>437</v>
      </c>
      <c r="K147" s="191" t="str">
        <f>INDEX(Odds!H:H,MATCH(J147,Odds!G:G,0))</f>
        <v>23/10</v>
      </c>
      <c r="L147" s="450">
        <f>INDEX(Odds!I:I,MATCH(J147,Odds!G:G,0))</f>
        <v>3.3</v>
      </c>
      <c r="M147" s="444">
        <f>INDEX(Odds!J:J,MATCH(J147,Odds!G:G,0))</f>
        <v>0</v>
      </c>
      <c r="N147" s="445">
        <f t="shared" si="11"/>
        <v>0</v>
      </c>
      <c r="O147" s="577"/>
      <c r="P147" s="59"/>
      <c r="AB147" s="582" t="str">
        <f>IF(O147="","",INDEX(Odds!H:H,MATCH(O147,Odds!G:G,0)))</f>
        <v/>
      </c>
      <c r="AC147" s="605">
        <f>IF(J147="","",INDEX(Odds!K:K,MATCH(J147,Odds!G:G,0)))</f>
        <v>1</v>
      </c>
      <c r="AD147" s="59"/>
      <c r="AE147" s="59"/>
      <c r="AF147" s="438"/>
      <c r="AG147" s="59"/>
    </row>
    <row r="148" spans="1:33" ht="13.5" thickBot="1">
      <c r="A148" s="645" t="str">
        <f>A146</f>
        <v>Paul Barnes</v>
      </c>
      <c r="B148" s="451" t="str">
        <f t="shared" si="12"/>
        <v>Man U</v>
      </c>
      <c r="C148" s="517">
        <f>IF(J148="","",INDEX(Odds!C:C,MATCH(J148,Odds!G:G,0)))</f>
        <v>1</v>
      </c>
      <c r="D148" s="452">
        <f t="shared" si="13"/>
        <v>1.75</v>
      </c>
      <c r="E148" s="460" t="str">
        <f t="shared" si="14"/>
        <v>√</v>
      </c>
      <c r="F148" s="448"/>
      <c r="G148" s="449"/>
      <c r="H148" s="207"/>
      <c r="I148" s="380"/>
      <c r="J148" s="453" t="s">
        <v>555</v>
      </c>
      <c r="K148" s="192" t="str">
        <f>INDEX(Odds!H:H,MATCH(J148,Odds!G:G,0))</f>
        <v>3/4</v>
      </c>
      <c r="L148" s="454">
        <f>INDEX(Odds!I:I,MATCH(J148,Odds!G:G,0))</f>
        <v>1.75</v>
      </c>
      <c r="M148" s="444">
        <f>INDEX(Odds!J:J,MATCH(J148,Odds!G:G,0))</f>
        <v>1</v>
      </c>
      <c r="N148" s="455">
        <f t="shared" si="11"/>
        <v>1.75</v>
      </c>
      <c r="O148" s="578"/>
      <c r="P148" s="59"/>
      <c r="AB148" s="583" t="str">
        <f>IF(O148="","",INDEX(Odds!H:H,MATCH(O148,Odds!G:G,0)))</f>
        <v/>
      </c>
      <c r="AC148" s="605">
        <f>IF(J148="","",INDEX(Odds!K:K,MATCH(J148,Odds!G:G,0)))</f>
        <v>1</v>
      </c>
      <c r="AD148" s="59"/>
      <c r="AE148" s="59"/>
      <c r="AF148" s="438"/>
      <c r="AG148" s="59"/>
    </row>
    <row r="149" spans="1:33" ht="13.9" thickTop="1" thickBot="1">
      <c r="A149" s="440" t="str">
        <f>Results!B149</f>
        <v>Paul England</v>
      </c>
      <c r="B149" s="456" t="str">
        <f t="shared" si="12"/>
        <v>Swindon</v>
      </c>
      <c r="C149" s="516">
        <f>IF(J149="","",INDEX(Odds!C:C,MATCH(J149,Odds!G:G,0)))</f>
        <v>7</v>
      </c>
      <c r="D149" s="441">
        <f t="shared" si="13"/>
        <v>2.1</v>
      </c>
      <c r="E149" s="459" t="str">
        <f t="shared" si="14"/>
        <v>x</v>
      </c>
      <c r="F149" s="382">
        <f>IF(J149="",-10,INDEX(Results!T:T,MATCH(A149,Results!V:V,0)))</f>
        <v>-1.25</v>
      </c>
      <c r="G149" s="189">
        <f>IF(J149="","",INDEX(Results!AI:AI,MATCH(A149,Results!V:V,0)))</f>
        <v>12.925000000000004</v>
      </c>
      <c r="H149" s="207">
        <f>IF(G149="",0,1)</f>
        <v>1</v>
      </c>
      <c r="I149" s="379">
        <f>INDEX(Picks!AG:AG,MATCH(A149,Picks!AD:AD,0))</f>
        <v>30</v>
      </c>
      <c r="J149" s="442" t="s">
        <v>571</v>
      </c>
      <c r="K149" s="190" t="str">
        <f>INDEX(Odds!H:H,MATCH(J149,Odds!G:G,0))</f>
        <v>11/10</v>
      </c>
      <c r="L149" s="443">
        <f>INDEX(Odds!I:I,MATCH(J149,Odds!G:G,0))</f>
        <v>2.1</v>
      </c>
      <c r="M149" s="457">
        <f>INDEX(Odds!J:J,MATCH(J149,Odds!G:G,0))</f>
        <v>0</v>
      </c>
      <c r="N149" s="445">
        <f t="shared" ref="N149:N175" si="15">L149*M149</f>
        <v>0</v>
      </c>
      <c r="O149" s="577"/>
      <c r="P149" s="59"/>
      <c r="AB149" s="582" t="str">
        <f>IF(O149="","",INDEX(Odds!H:H,MATCH(O149,Odds!G:G,0)))</f>
        <v/>
      </c>
      <c r="AC149" s="605">
        <f>IF(J149="","",INDEX(Odds!K:K,MATCH(J149,Odds!G:G,0)))</f>
        <v>1</v>
      </c>
      <c r="AD149" s="59"/>
      <c r="AE149" s="59"/>
      <c r="AF149" s="438"/>
      <c r="AG149" s="59"/>
    </row>
    <row r="150" spans="1:33">
      <c r="A150" s="644" t="str">
        <f>A149</f>
        <v>Paul England</v>
      </c>
      <c r="B150" s="446" t="str">
        <f t="shared" si="12"/>
        <v>Mansfield</v>
      </c>
      <c r="C150" s="516">
        <f>IF(J150="","",INDEX(Odds!C:C,MATCH(J150,Odds!G:G,0)))</f>
        <v>7</v>
      </c>
      <c r="D150" s="447">
        <f t="shared" si="13"/>
        <v>1.7</v>
      </c>
      <c r="E150" s="460" t="str">
        <f t="shared" si="14"/>
        <v>√</v>
      </c>
      <c r="F150" s="448"/>
      <c r="G150" s="449"/>
      <c r="H150" s="207"/>
      <c r="I150" s="380"/>
      <c r="J150" s="442" t="s">
        <v>546</v>
      </c>
      <c r="K150" s="191" t="str">
        <f>INDEX(Odds!H:H,MATCH(J150,Odds!G:G,0))</f>
        <v>7/10</v>
      </c>
      <c r="L150" s="450">
        <f>INDEX(Odds!I:I,MATCH(J150,Odds!G:G,0))</f>
        <v>1.7</v>
      </c>
      <c r="M150" s="444">
        <f>INDEX(Odds!J:J,MATCH(J150,Odds!G:G,0))</f>
        <v>1</v>
      </c>
      <c r="N150" s="445">
        <f t="shared" si="15"/>
        <v>1.7</v>
      </c>
      <c r="O150" s="577"/>
      <c r="P150" s="59"/>
      <c r="AB150" s="582" t="str">
        <f>IF(O150="","",INDEX(Odds!H:H,MATCH(O150,Odds!G:G,0)))</f>
        <v/>
      </c>
      <c r="AC150" s="605">
        <f>IF(J150="","",INDEX(Odds!K:K,MATCH(J150,Odds!G:G,0)))</f>
        <v>1</v>
      </c>
      <c r="AD150" s="59"/>
      <c r="AE150" s="59"/>
      <c r="AF150" s="438"/>
      <c r="AG150" s="59"/>
    </row>
    <row r="151" spans="1:33" ht="13.5" thickBot="1">
      <c r="A151" s="645" t="str">
        <f>A149</f>
        <v>Paul England</v>
      </c>
      <c r="B151" s="451" t="str">
        <f t="shared" si="12"/>
        <v>Barnsley</v>
      </c>
      <c r="C151" s="517">
        <f>IF(J151="","",INDEX(Odds!C:C,MATCH(J151,Odds!G:G,0)))</f>
        <v>7</v>
      </c>
      <c r="D151" s="452">
        <f t="shared" si="13"/>
        <v>1.5</v>
      </c>
      <c r="E151" s="460" t="str">
        <f t="shared" si="14"/>
        <v>√</v>
      </c>
      <c r="F151" s="448"/>
      <c r="G151" s="449"/>
      <c r="H151" s="207"/>
      <c r="I151" s="380"/>
      <c r="J151" s="453" t="s">
        <v>584</v>
      </c>
      <c r="K151" s="192" t="str">
        <f>INDEX(Odds!H:H,MATCH(J151,Odds!G:G,0))</f>
        <v>1/2</v>
      </c>
      <c r="L151" s="454">
        <f>INDEX(Odds!I:I,MATCH(J151,Odds!G:G,0))</f>
        <v>1.5</v>
      </c>
      <c r="M151" s="444">
        <f>INDEX(Odds!J:J,MATCH(J151,Odds!G:G,0))</f>
        <v>1</v>
      </c>
      <c r="N151" s="455">
        <f t="shared" si="15"/>
        <v>1.5</v>
      </c>
      <c r="O151" s="578"/>
      <c r="P151" s="59"/>
      <c r="AB151" s="583" t="str">
        <f>IF(O151="","",INDEX(Odds!H:H,MATCH(O151,Odds!G:G,0)))</f>
        <v/>
      </c>
      <c r="AC151" s="605">
        <f>IF(J151="","",INDEX(Odds!K:K,MATCH(J151,Odds!G:G,0)))</f>
        <v>1</v>
      </c>
      <c r="AD151" s="59"/>
      <c r="AE151" s="59"/>
      <c r="AF151" s="438"/>
      <c r="AG151" s="59"/>
    </row>
    <row r="152" spans="1:33" ht="13.9" thickTop="1" thickBot="1">
      <c r="A152" s="440" t="str">
        <f>Results!B152</f>
        <v>Paul Fairhurst</v>
      </c>
      <c r="B152" s="456" t="str">
        <f t="shared" si="12"/>
        <v>Bristol C</v>
      </c>
      <c r="C152" s="516">
        <f>IF(J152="","",INDEX(Odds!C:C,MATCH(J152,Odds!G:G,0)))</f>
        <v>7</v>
      </c>
      <c r="D152" s="441">
        <f t="shared" si="13"/>
        <v>3</v>
      </c>
      <c r="E152" s="459" t="str">
        <f t="shared" si="14"/>
        <v>√</v>
      </c>
      <c r="F152" s="382">
        <f>IF(J152="",-10,INDEX(Results!T:T,MATCH(A152,Results!V:V,0)))</f>
        <v>3.6363636363636367</v>
      </c>
      <c r="G152" s="189">
        <f>IF(J152="","",INDEX(Results!AI:AI,MATCH(A152,Results!V:V,0)))</f>
        <v>49.018181818181816</v>
      </c>
      <c r="H152" s="207">
        <f>IF(G152="",0,1)</f>
        <v>1</v>
      </c>
      <c r="I152" s="379">
        <f>INDEX(Picks!AG:AG,MATCH(A152,Picks!AD:AD,0))</f>
        <v>12</v>
      </c>
      <c r="J152" s="442" t="s">
        <v>597</v>
      </c>
      <c r="K152" s="190" t="str">
        <f>INDEX(Odds!H:H,MATCH(J152,Odds!G:G,0))</f>
        <v>2/1</v>
      </c>
      <c r="L152" s="443">
        <f>INDEX(Odds!I:I,MATCH(J152,Odds!G:G,0))</f>
        <v>3</v>
      </c>
      <c r="M152" s="457">
        <f>INDEX(Odds!J:J,MATCH(J152,Odds!G:G,0))</f>
        <v>1</v>
      </c>
      <c r="N152" s="445">
        <f t="shared" si="15"/>
        <v>3</v>
      </c>
      <c r="O152" s="577"/>
      <c r="P152" s="59"/>
      <c r="AB152" s="582" t="str">
        <f>IF(O152="","",INDEX(Odds!H:H,MATCH(O152,Odds!G:G,0)))</f>
        <v/>
      </c>
      <c r="AC152" s="605">
        <f>IF(J152="","",INDEX(Odds!K:K,MATCH(J152,Odds!G:G,0)))</f>
        <v>1</v>
      </c>
      <c r="AD152" s="59"/>
      <c r="AE152" s="59"/>
      <c r="AF152" s="438"/>
      <c r="AG152" s="59"/>
    </row>
    <row r="153" spans="1:33" ht="14.25" customHeight="1">
      <c r="A153" s="644" t="str">
        <f>A152</f>
        <v>Paul Fairhurst</v>
      </c>
      <c r="B153" s="446" t="str">
        <f t="shared" si="12"/>
        <v>Burnley draw</v>
      </c>
      <c r="C153" s="516">
        <f>IF(J153="","",INDEX(Odds!C:C,MATCH(J153,Odds!G:G,0)))</f>
        <v>7</v>
      </c>
      <c r="D153" s="447">
        <f t="shared" si="13"/>
        <v>3.9</v>
      </c>
      <c r="E153" s="460" t="str">
        <f t="shared" si="14"/>
        <v>x</v>
      </c>
      <c r="F153" s="448"/>
      <c r="G153" s="449"/>
      <c r="H153" s="207"/>
      <c r="I153" s="380"/>
      <c r="J153" s="442" t="s">
        <v>543</v>
      </c>
      <c r="K153" s="191" t="str">
        <f>INDEX(Odds!H:H,MATCH(J153,Odds!G:G,0))</f>
        <v>29/10</v>
      </c>
      <c r="L153" s="450">
        <f>INDEX(Odds!I:I,MATCH(J153,Odds!G:G,0))</f>
        <v>3.9</v>
      </c>
      <c r="M153" s="444">
        <f>INDEX(Odds!J:J,MATCH(J153,Odds!G:G,0))</f>
        <v>0</v>
      </c>
      <c r="N153" s="445">
        <f t="shared" si="15"/>
        <v>0</v>
      </c>
      <c r="O153" s="577"/>
      <c r="P153" s="59"/>
      <c r="AB153" s="582" t="str">
        <f>IF(O153="","",INDEX(Odds!H:H,MATCH(O153,Odds!G:G,0)))</f>
        <v/>
      </c>
      <c r="AC153" s="605">
        <f>IF(J153="","",INDEX(Odds!K:K,MATCH(J153,Odds!G:G,0)))</f>
        <v>1</v>
      </c>
      <c r="AD153" s="59"/>
      <c r="AE153" s="59"/>
      <c r="AF153" s="438"/>
      <c r="AG153" s="59"/>
    </row>
    <row r="154" spans="1:33" ht="13.5" thickBot="1">
      <c r="A154" s="645" t="str">
        <f>A152</f>
        <v>Paul Fairhurst</v>
      </c>
      <c r="B154" s="451" t="str">
        <f>IF(J154="","",J154)</f>
        <v>Sunderland</v>
      </c>
      <c r="C154" s="517">
        <f>IF(J154="","",INDEX(Odds!C:C,MATCH(J154,Odds!G:G,0)))</f>
        <v>7</v>
      </c>
      <c r="D154" s="452">
        <f t="shared" si="13"/>
        <v>1.9090909090909092</v>
      </c>
      <c r="E154" s="460" t="str">
        <f t="shared" si="14"/>
        <v>√</v>
      </c>
      <c r="F154" s="448"/>
      <c r="G154" s="449"/>
      <c r="H154" s="207"/>
      <c r="I154" s="380"/>
      <c r="J154" s="453" t="s">
        <v>172</v>
      </c>
      <c r="K154" s="192" t="str">
        <f>INDEX(Odds!H:H,MATCH(J154,Odds!G:G,0))</f>
        <v>10/11</v>
      </c>
      <c r="L154" s="454">
        <f>INDEX(Odds!I:I,MATCH(J154,Odds!G:G,0))</f>
        <v>1.9090909090909092</v>
      </c>
      <c r="M154" s="444">
        <f>INDEX(Odds!J:J,MATCH(J154,Odds!G:G,0))</f>
        <v>1</v>
      </c>
      <c r="N154" s="455">
        <f t="shared" si="15"/>
        <v>1.9090909090909092</v>
      </c>
      <c r="O154" s="578"/>
      <c r="P154" s="59"/>
      <c r="AB154" s="583" t="str">
        <f>IF(O154="","",INDEX(Odds!H:H,MATCH(O154,Odds!G:G,0)))</f>
        <v/>
      </c>
      <c r="AC154" s="605">
        <f>IF(J154="","",INDEX(Odds!K:K,MATCH(J154,Odds!G:G,0)))</f>
        <v>1</v>
      </c>
      <c r="AD154" s="59"/>
      <c r="AE154" s="59"/>
      <c r="AF154" s="438"/>
      <c r="AG154" s="59"/>
    </row>
    <row r="155" spans="1:33" ht="13.9" thickTop="1" thickBot="1">
      <c r="A155" s="440" t="str">
        <f>Results!B155</f>
        <v>Paul Fiddler</v>
      </c>
      <c r="B155" s="456" t="str">
        <f t="shared" si="12"/>
        <v>Wigan</v>
      </c>
      <c r="C155" s="516">
        <f>IF(J155="","",INDEX(Odds!C:C,MATCH(J155,Odds!G:G,0)))</f>
        <v>7</v>
      </c>
      <c r="D155" s="441">
        <f t="shared" si="13"/>
        <v>2.375</v>
      </c>
      <c r="E155" s="459" t="str">
        <f t="shared" si="14"/>
        <v>√</v>
      </c>
      <c r="F155" s="382">
        <f>IF(J155="",-10,INDEX(Results!T:T,MATCH(A155,Results!V:V,0)))</f>
        <v>0.4375</v>
      </c>
      <c r="G155" s="189">
        <f>IF(J155="","",INDEX(Results!AI:AI,MATCH(A155,Results!V:V,0)))</f>
        <v>13.09375</v>
      </c>
      <c r="H155" s="207">
        <f>IF(G155="",0,1)</f>
        <v>1</v>
      </c>
      <c r="I155" s="379">
        <f>INDEX(Picks!AG:AG,MATCH(A155,Picks!AD:AD,0))</f>
        <v>25</v>
      </c>
      <c r="J155" s="442" t="s">
        <v>357</v>
      </c>
      <c r="K155" s="190" t="str">
        <f>INDEX(Odds!H:H,MATCH(J155,Odds!G:G,0))</f>
        <v>11/8</v>
      </c>
      <c r="L155" s="443">
        <f>INDEX(Odds!I:I,MATCH(J155,Odds!G:G,0))</f>
        <v>2.375</v>
      </c>
      <c r="M155" s="457">
        <f>INDEX(Odds!J:J,MATCH(J155,Odds!G:G,0))</f>
        <v>1</v>
      </c>
      <c r="N155" s="445">
        <f t="shared" si="15"/>
        <v>2.375</v>
      </c>
      <c r="O155" s="577"/>
      <c r="P155" s="59"/>
      <c r="AB155" s="582" t="str">
        <f>IF(O155="","",INDEX(Odds!H:H,MATCH(O155,Odds!G:G,0)))</f>
        <v/>
      </c>
      <c r="AC155" s="605">
        <f>IF(J155="","",INDEX(Odds!K:K,MATCH(J155,Odds!G:G,0)))</f>
        <v>1</v>
      </c>
      <c r="AD155" s="59"/>
      <c r="AE155" s="59"/>
      <c r="AF155" s="438"/>
      <c r="AG155" s="59"/>
    </row>
    <row r="156" spans="1:33">
      <c r="A156" s="644" t="str">
        <f>A155</f>
        <v>Paul Fiddler</v>
      </c>
      <c r="B156" s="446" t="str">
        <f t="shared" si="12"/>
        <v>Barnsley</v>
      </c>
      <c r="C156" s="516">
        <f>IF(J156="","",INDEX(Odds!C:C,MATCH(J156,Odds!G:G,0)))</f>
        <v>7</v>
      </c>
      <c r="D156" s="447">
        <f t="shared" si="13"/>
        <v>1.5</v>
      </c>
      <c r="E156" s="460" t="str">
        <f t="shared" si="14"/>
        <v>√</v>
      </c>
      <c r="F156" s="448"/>
      <c r="G156" s="449"/>
      <c r="H156" s="207"/>
      <c r="I156" s="380"/>
      <c r="J156" s="442" t="s">
        <v>584</v>
      </c>
      <c r="K156" s="191" t="str">
        <f>INDEX(Odds!H:H,MATCH(J156,Odds!G:G,0))</f>
        <v>1/2</v>
      </c>
      <c r="L156" s="450">
        <f>INDEX(Odds!I:I,MATCH(J156,Odds!G:G,0))</f>
        <v>1.5</v>
      </c>
      <c r="M156" s="444">
        <f>INDEX(Odds!J:J,MATCH(J156,Odds!G:G,0))</f>
        <v>1</v>
      </c>
      <c r="N156" s="445">
        <f t="shared" si="15"/>
        <v>1.5</v>
      </c>
      <c r="O156" s="577"/>
      <c r="P156" s="59"/>
      <c r="AB156" s="582" t="str">
        <f>IF(O156="","",INDEX(Odds!H:H,MATCH(O156,Odds!G:G,0)))</f>
        <v/>
      </c>
      <c r="AC156" s="605">
        <f>IF(J156="","",INDEX(Odds!K:K,MATCH(J156,Odds!G:G,0)))</f>
        <v>1</v>
      </c>
      <c r="AD156" s="59"/>
      <c r="AE156" s="59"/>
      <c r="AF156" s="438"/>
      <c r="AG156" s="59"/>
    </row>
    <row r="157" spans="1:33" ht="13.5" thickBot="1">
      <c r="A157" s="645" t="str">
        <f>A155</f>
        <v>Paul Fiddler</v>
      </c>
      <c r="B157" s="451" t="str">
        <f t="shared" si="12"/>
        <v>Newcastle</v>
      </c>
      <c r="C157" s="517">
        <f>IF(J157="","",INDEX(Odds!C:C,MATCH(J157,Odds!G:G,0)))</f>
        <v>7</v>
      </c>
      <c r="D157" s="452">
        <f t="shared" si="13"/>
        <v>1.5</v>
      </c>
      <c r="E157" s="620" t="str">
        <f t="shared" si="14"/>
        <v>x</v>
      </c>
      <c r="F157" s="621"/>
      <c r="G157" s="622"/>
      <c r="H157" s="207"/>
      <c r="I157" s="380"/>
      <c r="J157" s="453" t="s">
        <v>579</v>
      </c>
      <c r="K157" s="192" t="str">
        <f>INDEX(Odds!H:H,MATCH(J157,Odds!G:G,0))</f>
        <v>1/2</v>
      </c>
      <c r="L157" s="454">
        <f>INDEX(Odds!I:I,MATCH(J157,Odds!G:G,0))</f>
        <v>1.5</v>
      </c>
      <c r="M157" s="444">
        <f>INDEX(Odds!J:J,MATCH(J157,Odds!G:G,0))</f>
        <v>0</v>
      </c>
      <c r="N157" s="455">
        <f t="shared" si="15"/>
        <v>0</v>
      </c>
      <c r="O157" s="578"/>
      <c r="P157" s="59"/>
      <c r="AB157" s="583" t="str">
        <f>IF(O157="","",INDEX(Odds!H:H,MATCH(O157,Odds!G:G,0)))</f>
        <v/>
      </c>
      <c r="AC157" s="605">
        <f>IF(J157="","",INDEX(Odds!K:K,MATCH(J157,Odds!G:G,0)))</f>
        <v>1</v>
      </c>
      <c r="AD157" s="59"/>
      <c r="AE157" s="59"/>
      <c r="AF157" s="438"/>
      <c r="AG157" s="59"/>
    </row>
    <row r="158" spans="1:33" ht="13.9" thickTop="1" thickBot="1">
      <c r="A158" s="440" t="str">
        <f>Results!B158</f>
        <v>Pete Baron</v>
      </c>
      <c r="B158" s="456" t="str">
        <f t="shared" si="12"/>
        <v>Wolves</v>
      </c>
      <c r="C158" s="516">
        <f>IF(J158="","",INDEX(Odds!C:C,MATCH(J158,Odds!G:G,0)))</f>
        <v>7</v>
      </c>
      <c r="D158" s="441">
        <f t="shared" si="13"/>
        <v>2.625</v>
      </c>
      <c r="E158" s="460" t="str">
        <f t="shared" si="14"/>
        <v>√</v>
      </c>
      <c r="F158" s="618">
        <f>IF(J158="",-10,INDEX(Results!T:T,MATCH(A158,Results!V:V,0)))</f>
        <v>50.453125</v>
      </c>
      <c r="G158" s="619">
        <f>IF(J158="","",INDEX(Results!AI:AI,MATCH(A158,Results!V:V,0)))</f>
        <v>50.453125</v>
      </c>
      <c r="H158" s="207">
        <f>IF(G158="",0,1)</f>
        <v>1</v>
      </c>
      <c r="I158" s="379">
        <f>INDEX(Picks!AG:AG,MATCH(A158,Picks!AD:AD,0))</f>
        <v>1</v>
      </c>
      <c r="J158" s="442" t="s">
        <v>580</v>
      </c>
      <c r="K158" s="190" t="str">
        <f>INDEX(Odds!H:H,MATCH(J158,Odds!G:G,0))</f>
        <v>13/8</v>
      </c>
      <c r="L158" s="443">
        <f>INDEX(Odds!I:I,MATCH(J158,Odds!G:G,0))</f>
        <v>2.625</v>
      </c>
      <c r="M158" s="457">
        <f>INDEX(Odds!J:J,MATCH(J158,Odds!G:G,0))</f>
        <v>1</v>
      </c>
      <c r="N158" s="445">
        <f t="shared" si="15"/>
        <v>2.625</v>
      </c>
      <c r="O158" s="577"/>
      <c r="P158" s="59"/>
      <c r="AB158" s="582" t="str">
        <f>IF(O158="","",INDEX(Odds!H:H,MATCH(O158,Odds!G:G,0)))</f>
        <v/>
      </c>
      <c r="AC158" s="605">
        <f>IF(J158="","",INDEX(Odds!K:K,MATCH(J158,Odds!G:G,0)))</f>
        <v>1</v>
      </c>
      <c r="AD158" s="59"/>
      <c r="AE158" s="59"/>
      <c r="AF158" s="438"/>
      <c r="AG158" s="59"/>
    </row>
    <row r="159" spans="1:33">
      <c r="A159" s="644" t="str">
        <f>A158</f>
        <v>Pete Baron</v>
      </c>
      <c r="B159" s="446" t="str">
        <f t="shared" si="12"/>
        <v>Millwall</v>
      </c>
      <c r="C159" s="516">
        <f>IF(J159="","",INDEX(Odds!C:C,MATCH(J159,Odds!G:G,0)))</f>
        <v>7</v>
      </c>
      <c r="D159" s="447">
        <f t="shared" si="13"/>
        <v>2.75</v>
      </c>
      <c r="E159" s="460" t="str">
        <f t="shared" si="14"/>
        <v>√</v>
      </c>
      <c r="F159" s="448"/>
      <c r="G159" s="449"/>
      <c r="H159" s="207"/>
      <c r="I159" s="380"/>
      <c r="J159" s="442" t="s">
        <v>600</v>
      </c>
      <c r="K159" s="191" t="str">
        <f>INDEX(Odds!H:H,MATCH(J159,Odds!G:G,0))</f>
        <v>7/4</v>
      </c>
      <c r="L159" s="450">
        <f>INDEX(Odds!I:I,MATCH(J159,Odds!G:G,0))</f>
        <v>2.75</v>
      </c>
      <c r="M159" s="444">
        <f>INDEX(Odds!J:J,MATCH(J159,Odds!G:G,0))</f>
        <v>1</v>
      </c>
      <c r="N159" s="445">
        <f t="shared" si="15"/>
        <v>2.75</v>
      </c>
      <c r="O159" s="577"/>
      <c r="P159" s="59"/>
      <c r="AB159" s="582" t="str">
        <f>IF(O159="","",INDEX(Odds!H:H,MATCH(O159,Odds!G:G,0)))</f>
        <v/>
      </c>
      <c r="AC159" s="605">
        <f>IF(J159="","",INDEX(Odds!K:K,MATCH(J159,Odds!G:G,0)))</f>
        <v>1</v>
      </c>
      <c r="AD159" s="59"/>
      <c r="AE159" s="59"/>
      <c r="AF159" s="438"/>
      <c r="AG159" s="59"/>
    </row>
    <row r="160" spans="1:33" ht="13.5" thickBot="1">
      <c r="A160" s="645" t="str">
        <f>A158</f>
        <v>Pete Baron</v>
      </c>
      <c r="B160" s="451" t="str">
        <f t="shared" si="12"/>
        <v>Ipswich draw</v>
      </c>
      <c r="C160" s="517">
        <f>IF(J160="","",INDEX(Odds!C:C,MATCH(J160,Odds!G:G,0)))</f>
        <v>7</v>
      </c>
      <c r="D160" s="452">
        <f t="shared" si="13"/>
        <v>3.3</v>
      </c>
      <c r="E160" s="460" t="str">
        <f t="shared" si="14"/>
        <v>√</v>
      </c>
      <c r="F160" s="448"/>
      <c r="G160" s="449"/>
      <c r="H160" s="207"/>
      <c r="I160" s="380"/>
      <c r="J160" s="453" t="s">
        <v>639</v>
      </c>
      <c r="K160" s="192" t="str">
        <f>INDEX(Odds!H:H,MATCH(J160,Odds!G:G,0))</f>
        <v>23/10</v>
      </c>
      <c r="L160" s="454">
        <f>INDEX(Odds!I:I,MATCH(J160,Odds!G:G,0))</f>
        <v>3.3</v>
      </c>
      <c r="M160" s="444">
        <f>INDEX(Odds!J:J,MATCH(J160,Odds!G:G,0))</f>
        <v>1</v>
      </c>
      <c r="N160" s="455">
        <f t="shared" si="15"/>
        <v>3.3</v>
      </c>
      <c r="O160" s="578"/>
      <c r="P160" s="59"/>
      <c r="AB160" s="583" t="str">
        <f>IF(O160="","",INDEX(Odds!H:H,MATCH(O160,Odds!G:G,0)))</f>
        <v/>
      </c>
      <c r="AC160" s="605">
        <f>IF(J160="","",INDEX(Odds!K:K,MATCH(J160,Odds!G:G,0)))</f>
        <v>1</v>
      </c>
      <c r="AD160" s="59"/>
      <c r="AE160" s="59"/>
      <c r="AF160" s="438"/>
      <c r="AG160" s="59"/>
    </row>
    <row r="161" spans="1:33" ht="13.9" thickTop="1" thickBot="1">
      <c r="A161" s="440" t="str">
        <f>Results!B161</f>
        <v>Phil Miller</v>
      </c>
      <c r="B161" s="456" t="str">
        <f t="shared" si="12"/>
        <v/>
      </c>
      <c r="C161" s="516" t="str">
        <f>IF(J161="","",INDEX(Odds!C:C,MATCH(J161,Odds!G:G,0)))</f>
        <v/>
      </c>
      <c r="D161" s="441" t="str">
        <f t="shared" si="13"/>
        <v/>
      </c>
      <c r="E161" s="459" t="str">
        <f t="shared" si="14"/>
        <v/>
      </c>
      <c r="F161" s="382">
        <f>IF(J161="",-10,INDEX(Results!T:T,MATCH(A161,Results!V:V,0)))</f>
        <v>-10</v>
      </c>
      <c r="G161" s="189" t="str">
        <f>IF(J161="","",INDEX(Results!AI:AI,MATCH(A161,Results!V:V,0)))</f>
        <v/>
      </c>
      <c r="H161" s="207">
        <f>IF(G161="",0,1)</f>
        <v>0</v>
      </c>
      <c r="I161" s="379" t="str">
        <f>INDEX(Picks!AG:AG,MATCH(A161,Picks!AD:AD,0))</f>
        <v/>
      </c>
      <c r="J161" s="442"/>
      <c r="K161" s="190" t="e">
        <f>INDEX(Odds!H:H,MATCH(J161,Odds!G:G,0))</f>
        <v>#N/A</v>
      </c>
      <c r="L161" s="443" t="e">
        <f>INDEX(Odds!I:I,MATCH(J161,Odds!G:G,0))</f>
        <v>#N/A</v>
      </c>
      <c r="M161" s="457" t="e">
        <f>INDEX(Odds!J:J,MATCH(J161,Odds!G:G,0))</f>
        <v>#N/A</v>
      </c>
      <c r="N161" s="445" t="e">
        <f t="shared" si="15"/>
        <v>#N/A</v>
      </c>
      <c r="O161" s="577"/>
      <c r="P161" s="59"/>
      <c r="AB161" s="582" t="str">
        <f>IF(O161="","",INDEX(Odds!H:H,MATCH(O161,Odds!G:G,0)))</f>
        <v/>
      </c>
      <c r="AC161" s="605" t="str">
        <f>IF(J161="","",INDEX(Odds!K:K,MATCH(J161,Odds!G:G,0)))</f>
        <v/>
      </c>
      <c r="AD161" s="59"/>
      <c r="AE161" s="59"/>
      <c r="AF161" s="438"/>
      <c r="AG161" s="59"/>
    </row>
    <row r="162" spans="1:33">
      <c r="A162" s="644" t="str">
        <f>A161</f>
        <v>Phil Miller</v>
      </c>
      <c r="B162" s="446" t="str">
        <f t="shared" si="12"/>
        <v/>
      </c>
      <c r="C162" s="516" t="str">
        <f>IF(J162="","",INDEX(Odds!C:C,MATCH(J162,Odds!G:G,0)))</f>
        <v/>
      </c>
      <c r="D162" s="447" t="str">
        <f t="shared" si="13"/>
        <v/>
      </c>
      <c r="E162" s="460" t="str">
        <f t="shared" si="14"/>
        <v/>
      </c>
      <c r="F162" s="448"/>
      <c r="G162" s="449"/>
      <c r="H162" s="207"/>
      <c r="I162" s="380"/>
      <c r="J162" s="442"/>
      <c r="K162" s="191" t="e">
        <f>INDEX(Odds!H:H,MATCH(J162,Odds!G:G,0))</f>
        <v>#N/A</v>
      </c>
      <c r="L162" s="450" t="e">
        <f>INDEX(Odds!I:I,MATCH(J162,Odds!G:G,0))</f>
        <v>#N/A</v>
      </c>
      <c r="M162" s="444" t="e">
        <f>INDEX(Odds!J:J,MATCH(J162,Odds!G:G,0))</f>
        <v>#N/A</v>
      </c>
      <c r="N162" s="445" t="e">
        <f t="shared" si="15"/>
        <v>#N/A</v>
      </c>
      <c r="O162" s="577"/>
      <c r="P162" s="59"/>
      <c r="AB162" s="582" t="str">
        <f>IF(O162="","",INDEX(Odds!H:H,MATCH(O162,Odds!G:G,0)))</f>
        <v/>
      </c>
      <c r="AC162" s="605" t="str">
        <f>IF(J162="","",INDEX(Odds!K:K,MATCH(J162,Odds!G:G,0)))</f>
        <v/>
      </c>
      <c r="AD162" s="59"/>
      <c r="AE162" s="59"/>
      <c r="AF162" s="438"/>
      <c r="AG162" s="59"/>
    </row>
    <row r="163" spans="1:33" ht="13.5" thickBot="1">
      <c r="A163" s="645" t="str">
        <f>A161</f>
        <v>Phil Miller</v>
      </c>
      <c r="B163" s="451" t="str">
        <f t="shared" si="12"/>
        <v/>
      </c>
      <c r="C163" s="517" t="str">
        <f>IF(J163="","",INDEX(Odds!C:C,MATCH(J163,Odds!G:G,0)))</f>
        <v/>
      </c>
      <c r="D163" s="452" t="str">
        <f t="shared" si="13"/>
        <v/>
      </c>
      <c r="E163" s="460" t="str">
        <f t="shared" si="14"/>
        <v/>
      </c>
      <c r="F163" s="448"/>
      <c r="G163" s="449"/>
      <c r="H163" s="207"/>
      <c r="I163" s="380"/>
      <c r="J163" s="453"/>
      <c r="K163" s="192" t="e">
        <f>INDEX(Odds!H:H,MATCH(J163,Odds!G:G,0))</f>
        <v>#N/A</v>
      </c>
      <c r="L163" s="454" t="e">
        <f>INDEX(Odds!I:I,MATCH(J163,Odds!G:G,0))</f>
        <v>#N/A</v>
      </c>
      <c r="M163" s="444" t="e">
        <f>INDEX(Odds!J:J,MATCH(J163,Odds!G:G,0))</f>
        <v>#N/A</v>
      </c>
      <c r="N163" s="455" t="e">
        <f t="shared" si="15"/>
        <v>#N/A</v>
      </c>
      <c r="O163" s="578"/>
      <c r="P163" s="59"/>
      <c r="AB163" s="583" t="str">
        <f>IF(O163="","",INDEX(Odds!H:H,MATCH(O163,Odds!G:G,0)))</f>
        <v/>
      </c>
      <c r="AC163" s="605" t="str">
        <f>IF(J163="","",INDEX(Odds!K:K,MATCH(J163,Odds!G:G,0)))</f>
        <v/>
      </c>
      <c r="AD163" s="59"/>
      <c r="AE163" s="59"/>
      <c r="AF163" s="438"/>
      <c r="AG163" s="59"/>
    </row>
    <row r="164" spans="1:33" ht="13.9" thickTop="1" thickBot="1">
      <c r="A164" s="440" t="str">
        <f>Results!B164</f>
        <v>Rob England</v>
      </c>
      <c r="B164" s="456" t="str">
        <f t="shared" ref="B164:B175" si="16">IF(J164="","",J164)</f>
        <v>Blackpool</v>
      </c>
      <c r="C164" s="516">
        <f>IF(J164="","",INDEX(Odds!C:C,MATCH(J164,Odds!G:G,0)))</f>
        <v>7</v>
      </c>
      <c r="D164" s="441">
        <f t="shared" ref="D164:D175" si="17">IF(J164="","",L164)</f>
        <v>2.15</v>
      </c>
      <c r="E164" s="459" t="str">
        <f t="shared" si="14"/>
        <v>x</v>
      </c>
      <c r="F164" s="382">
        <f>IF(J164="",-10,INDEX(Results!T:T,MATCH(A164,Results!V:V,0)))</f>
        <v>-5.7777777777777777</v>
      </c>
      <c r="G164" s="189">
        <f>IF(J164="","",INDEX(Results!AI:AI,MATCH(A164,Results!V:V,0)))</f>
        <v>13.700000000000003</v>
      </c>
      <c r="H164" s="207">
        <f>IF(G164="",0,1)</f>
        <v>1</v>
      </c>
      <c r="I164" s="379">
        <f>INDEX(Picks!AG:AG,MATCH(A164,Picks!AD:AD,0))</f>
        <v>49</v>
      </c>
      <c r="J164" s="442" t="s">
        <v>539</v>
      </c>
      <c r="K164" s="190" t="str">
        <f>INDEX(Odds!H:H,MATCH(J164,Odds!G:G,0))</f>
        <v>23/20</v>
      </c>
      <c r="L164" s="443">
        <f>INDEX(Odds!I:I,MATCH(J164,Odds!G:G,0))</f>
        <v>2.15</v>
      </c>
      <c r="M164" s="457">
        <f>INDEX(Odds!J:J,MATCH(J164,Odds!G:G,0))</f>
        <v>0</v>
      </c>
      <c r="N164" s="445">
        <f t="shared" si="15"/>
        <v>0</v>
      </c>
      <c r="O164" s="577"/>
      <c r="P164" s="59"/>
      <c r="AB164" s="582" t="str">
        <f>IF(O164="","",INDEX(Odds!H:H,MATCH(O164,Odds!G:G,0)))</f>
        <v/>
      </c>
      <c r="AC164" s="605">
        <f>IF(J164="","",INDEX(Odds!K:K,MATCH(J164,Odds!G:G,0)))</f>
        <v>1</v>
      </c>
      <c r="AD164" s="59"/>
      <c r="AE164" s="59"/>
      <c r="AF164" s="438"/>
      <c r="AG164" s="59"/>
    </row>
    <row r="165" spans="1:33">
      <c r="A165" s="644" t="str">
        <f>A164</f>
        <v>Rob England</v>
      </c>
      <c r="B165" s="446" t="str">
        <f t="shared" si="16"/>
        <v>Ipswich</v>
      </c>
      <c r="C165" s="516">
        <f>IF(J165="","",INDEX(Odds!C:C,MATCH(J165,Odds!G:G,0)))</f>
        <v>7</v>
      </c>
      <c r="D165" s="447">
        <f t="shared" si="17"/>
        <v>2.1</v>
      </c>
      <c r="E165" s="460" t="str">
        <f t="shared" si="14"/>
        <v>x</v>
      </c>
      <c r="F165" s="448"/>
      <c r="G165" s="449"/>
      <c r="H165" s="207"/>
      <c r="I165" s="380"/>
      <c r="J165" s="442" t="s">
        <v>608</v>
      </c>
      <c r="K165" s="191" t="str">
        <f>INDEX(Odds!H:H,MATCH(J165,Odds!G:G,0))</f>
        <v>11/10</v>
      </c>
      <c r="L165" s="450">
        <f>INDEX(Odds!I:I,MATCH(J165,Odds!G:G,0))</f>
        <v>2.1</v>
      </c>
      <c r="M165" s="444">
        <f>INDEX(Odds!J:J,MATCH(J165,Odds!G:G,0))</f>
        <v>0</v>
      </c>
      <c r="N165" s="445">
        <f t="shared" si="15"/>
        <v>0</v>
      </c>
      <c r="O165" s="577"/>
      <c r="P165" s="59"/>
      <c r="AB165" s="582" t="str">
        <f>IF(O165="","",INDEX(Odds!H:H,MATCH(O165,Odds!G:G,0)))</f>
        <v/>
      </c>
      <c r="AC165" s="605">
        <f>IF(J165="","",INDEX(Odds!K:K,MATCH(J165,Odds!G:G,0)))</f>
        <v>1</v>
      </c>
      <c r="AD165" s="59"/>
      <c r="AE165" s="59"/>
      <c r="AF165" s="438"/>
      <c r="AG165" s="59"/>
    </row>
    <row r="166" spans="1:33" ht="13.5" thickBot="1">
      <c r="A166" s="645" t="str">
        <f>A164</f>
        <v>Rob England</v>
      </c>
      <c r="B166" s="451" t="str">
        <f t="shared" si="16"/>
        <v>Man C</v>
      </c>
      <c r="C166" s="517">
        <f>IF(J166="","",INDEX(Odds!C:C,MATCH(J166,Odds!G:G,0)))</f>
        <v>1</v>
      </c>
      <c r="D166" s="452">
        <f t="shared" si="17"/>
        <v>1.2222222222222223</v>
      </c>
      <c r="E166" s="460" t="str">
        <f t="shared" si="14"/>
        <v>√</v>
      </c>
      <c r="F166" s="448"/>
      <c r="G166" s="449"/>
      <c r="H166" s="207"/>
      <c r="I166" s="380"/>
      <c r="J166" s="453" t="s">
        <v>630</v>
      </c>
      <c r="K166" s="192" t="str">
        <f>INDEX(Odds!H:H,MATCH(J166,Odds!G:G,0))</f>
        <v>2/9</v>
      </c>
      <c r="L166" s="454">
        <f>INDEX(Odds!I:I,MATCH(J166,Odds!G:G,0))</f>
        <v>1.2222222222222223</v>
      </c>
      <c r="M166" s="444">
        <f>INDEX(Odds!J:J,MATCH(J166,Odds!G:G,0))</f>
        <v>1</v>
      </c>
      <c r="N166" s="455">
        <f t="shared" si="15"/>
        <v>1.2222222222222223</v>
      </c>
      <c r="O166" s="578"/>
      <c r="P166" s="59"/>
      <c r="AB166" s="583" t="str">
        <f>IF(O166="","",INDEX(Odds!H:H,MATCH(O166,Odds!G:G,0)))</f>
        <v/>
      </c>
      <c r="AC166" s="605">
        <f>IF(J166="","",INDEX(Odds!K:K,MATCH(J166,Odds!G:G,0)))</f>
        <v>1</v>
      </c>
      <c r="AD166" s="59"/>
      <c r="AE166" s="59"/>
      <c r="AF166" s="438"/>
      <c r="AG166" s="59"/>
    </row>
    <row r="167" spans="1:33" ht="13.5" customHeight="1" thickTop="1" thickBot="1">
      <c r="A167" s="440" t="str">
        <f>Results!B167</f>
        <v>Sally Williams</v>
      </c>
      <c r="B167" s="456" t="str">
        <f t="shared" si="16"/>
        <v>Wigan</v>
      </c>
      <c r="C167" s="516">
        <f>IF(J167="","",INDEX(Odds!C:C,MATCH(J167,Odds!G:G,0)))</f>
        <v>7</v>
      </c>
      <c r="D167" s="441">
        <f t="shared" si="17"/>
        <v>2.375</v>
      </c>
      <c r="E167" s="459" t="str">
        <f t="shared" si="14"/>
        <v>√</v>
      </c>
      <c r="F167" s="382">
        <f>IF(J167="",-10,INDEX(Results!T:T,MATCH(A167,Results!V:V,0)))</f>
        <v>5.5</v>
      </c>
      <c r="G167" s="189">
        <f>IF(J167="","",INDEX(Results!AI:AI,MATCH(A167,Results!V:V,0)))</f>
        <v>47.35</v>
      </c>
      <c r="H167" s="207">
        <f>IF(G167="",0,1)</f>
        <v>1</v>
      </c>
      <c r="I167" s="379">
        <f>INDEX(Picks!AG:AG,MATCH(A167,Picks!AD:AD,0))</f>
        <v>11</v>
      </c>
      <c r="J167" s="442" t="s">
        <v>357</v>
      </c>
      <c r="K167" s="190" t="str">
        <f>INDEX(Odds!H:H,MATCH(J167,Odds!G:G,0))</f>
        <v>11/8</v>
      </c>
      <c r="L167" s="443">
        <f>INDEX(Odds!I:I,MATCH(J167,Odds!G:G,0))</f>
        <v>2.375</v>
      </c>
      <c r="M167" s="457">
        <f>INDEX(Odds!J:J,MATCH(J167,Odds!G:G,0))</f>
        <v>1</v>
      </c>
      <c r="N167" s="445">
        <f t="shared" si="15"/>
        <v>2.375</v>
      </c>
      <c r="O167" s="577"/>
      <c r="P167" s="59"/>
      <c r="AB167" s="582" t="str">
        <f>IF(O167="","",INDEX(Odds!H:H,MATCH(O167,Odds!G:G,0)))</f>
        <v/>
      </c>
      <c r="AC167" s="605">
        <f>IF(J167="","",INDEX(Odds!K:K,MATCH(J167,Odds!G:G,0)))</f>
        <v>1</v>
      </c>
      <c r="AD167" s="59"/>
      <c r="AE167" s="59"/>
      <c r="AF167" s="438"/>
      <c r="AG167" s="59"/>
    </row>
    <row r="168" spans="1:33">
      <c r="A168" s="644" t="str">
        <f>A167</f>
        <v>Sally Williams</v>
      </c>
      <c r="B168" s="446" t="str">
        <f t="shared" si="16"/>
        <v>Bolton</v>
      </c>
      <c r="C168" s="516">
        <f>IF(J168="","",INDEX(Odds!C:C,MATCH(J168,Odds!G:G,0)))</f>
        <v>7</v>
      </c>
      <c r="D168" s="447">
        <f t="shared" si="17"/>
        <v>3</v>
      </c>
      <c r="E168" s="460" t="str">
        <f t="shared" si="14"/>
        <v>√</v>
      </c>
      <c r="F168" s="448"/>
      <c r="G168" s="449"/>
      <c r="H168" s="207"/>
      <c r="I168" s="380"/>
      <c r="J168" s="442" t="s">
        <v>544</v>
      </c>
      <c r="K168" s="191" t="str">
        <f>INDEX(Odds!H:H,MATCH(J168,Odds!G:G,0))</f>
        <v>2/1</v>
      </c>
      <c r="L168" s="450">
        <f>INDEX(Odds!I:I,MATCH(J168,Odds!G:G,0))</f>
        <v>3</v>
      </c>
      <c r="M168" s="444">
        <f>INDEX(Odds!J:J,MATCH(J168,Odds!G:G,0))</f>
        <v>1</v>
      </c>
      <c r="N168" s="445">
        <f t="shared" si="15"/>
        <v>3</v>
      </c>
      <c r="O168" s="577"/>
      <c r="P168" s="59"/>
      <c r="AB168" s="582" t="str">
        <f>IF(O168="","",INDEX(Odds!H:H,MATCH(O168,Odds!G:G,0)))</f>
        <v/>
      </c>
      <c r="AC168" s="605">
        <f>IF(J168="","",INDEX(Odds!K:K,MATCH(J168,Odds!G:G,0)))</f>
        <v>1</v>
      </c>
      <c r="AD168" s="59"/>
      <c r="AE168" s="59"/>
      <c r="AF168" s="438"/>
      <c r="AG168" s="59"/>
    </row>
    <row r="169" spans="1:33" ht="13.5" thickBot="1">
      <c r="A169" s="645" t="str">
        <f>A167</f>
        <v>Sally Williams</v>
      </c>
      <c r="B169" s="451" t="str">
        <f t="shared" si="16"/>
        <v>Salford</v>
      </c>
      <c r="C169" s="517">
        <f>IF(J169="","",INDEX(Odds!C:C,MATCH(J169,Odds!G:G,0)))</f>
        <v>7</v>
      </c>
      <c r="D169" s="452">
        <f t="shared" si="17"/>
        <v>3.1</v>
      </c>
      <c r="E169" s="460" t="str">
        <f t="shared" si="14"/>
        <v>x</v>
      </c>
      <c r="F169" s="448"/>
      <c r="G169" s="449"/>
      <c r="H169" s="207"/>
      <c r="I169" s="380"/>
      <c r="J169" s="453" t="s">
        <v>530</v>
      </c>
      <c r="K169" s="192" t="str">
        <f>INDEX(Odds!H:H,MATCH(J169,Odds!G:G,0))</f>
        <v>21/10</v>
      </c>
      <c r="L169" s="454">
        <f>INDEX(Odds!I:I,MATCH(J169,Odds!G:G,0))</f>
        <v>3.1</v>
      </c>
      <c r="M169" s="444">
        <f>INDEX(Odds!J:J,MATCH(J169,Odds!G:G,0))</f>
        <v>0</v>
      </c>
      <c r="N169" s="455">
        <f t="shared" si="15"/>
        <v>0</v>
      </c>
      <c r="O169" s="578"/>
      <c r="P169" s="59"/>
      <c r="AB169" s="583" t="str">
        <f>IF(O169="","",INDEX(Odds!H:H,MATCH(O169,Odds!G:G,0)))</f>
        <v/>
      </c>
      <c r="AC169" s="605">
        <f>IF(J169="","",INDEX(Odds!K:K,MATCH(J169,Odds!G:G,0)))</f>
        <v>1</v>
      </c>
      <c r="AD169" s="59"/>
      <c r="AE169" s="59"/>
      <c r="AF169" s="438"/>
      <c r="AG169" s="59"/>
    </row>
    <row r="170" spans="1:33" ht="13.9" thickTop="1" thickBot="1">
      <c r="A170" s="440" t="str">
        <f>Results!B170</f>
        <v>Simon Greenhalgh</v>
      </c>
      <c r="B170" s="456" t="str">
        <f t="shared" si="16"/>
        <v>Sheff W</v>
      </c>
      <c r="C170" s="516">
        <f>IF(J170="","",INDEX(Odds!C:C,MATCH(J170,Odds!G:G,0)))</f>
        <v>7</v>
      </c>
      <c r="D170" s="441">
        <f t="shared" si="17"/>
        <v>3.4</v>
      </c>
      <c r="E170" s="459" t="str">
        <f t="shared" si="14"/>
        <v>x</v>
      </c>
      <c r="F170" s="382">
        <f>IF(J170="",-10,INDEX(Results!T:T,MATCH(A170,Results!V:V,0)))</f>
        <v>-2.8</v>
      </c>
      <c r="G170" s="189">
        <f>IF(J170="","",INDEX(Results!AI:AI,MATCH(A170,Results!V:V,0)))</f>
        <v>85.807999999999993</v>
      </c>
      <c r="H170" s="207">
        <f>IF(G170="",0,1)</f>
        <v>1</v>
      </c>
      <c r="I170" s="379">
        <f>INDEX(Picks!AG:AG,MATCH(A170,Picks!AD:AD,0))</f>
        <v>32</v>
      </c>
      <c r="J170" s="442" t="s">
        <v>545</v>
      </c>
      <c r="K170" s="190" t="str">
        <f>INDEX(Odds!H:H,MATCH(J170,Odds!G:G,0))</f>
        <v>12/5</v>
      </c>
      <c r="L170" s="443">
        <f>INDEX(Odds!I:I,MATCH(J170,Odds!G:G,0))</f>
        <v>3.4</v>
      </c>
      <c r="M170" s="457">
        <f>INDEX(Odds!J:J,MATCH(J170,Odds!G:G,0))</f>
        <v>0</v>
      </c>
      <c r="N170" s="445">
        <f t="shared" si="15"/>
        <v>0</v>
      </c>
      <c r="O170" s="577"/>
      <c r="P170" s="59"/>
      <c r="AB170" s="582" t="str">
        <f>IF(O170="","",INDEX(Odds!H:H,MATCH(O170,Odds!G:G,0)))</f>
        <v/>
      </c>
      <c r="AC170" s="605">
        <f>IF(J170="","",INDEX(Odds!K:K,MATCH(J170,Odds!G:G,0)))</f>
        <v>1</v>
      </c>
      <c r="AD170" s="59"/>
      <c r="AE170" s="59"/>
      <c r="AF170" s="438"/>
      <c r="AG170" s="59"/>
    </row>
    <row r="171" spans="1:33">
      <c r="A171" s="644" t="str">
        <f>A170</f>
        <v>Simon Greenhalgh</v>
      </c>
      <c r="B171" s="446" t="str">
        <f t="shared" si="16"/>
        <v>Bradford</v>
      </c>
      <c r="C171" s="516">
        <f>IF(J171="","",INDEX(Odds!C:C,MATCH(J171,Odds!G:G,0)))</f>
        <v>7</v>
      </c>
      <c r="D171" s="447">
        <f t="shared" si="17"/>
        <v>4.2</v>
      </c>
      <c r="E171" s="460" t="str">
        <f t="shared" si="14"/>
        <v>√</v>
      </c>
      <c r="F171" s="448"/>
      <c r="G171" s="449"/>
      <c r="H171" s="207"/>
      <c r="I171" s="380"/>
      <c r="J171" s="442" t="s">
        <v>626</v>
      </c>
      <c r="K171" s="191" t="str">
        <f>INDEX(Odds!H:H,MATCH(J171,Odds!G:G,0))</f>
        <v>16/5</v>
      </c>
      <c r="L171" s="450">
        <f>INDEX(Odds!I:I,MATCH(J171,Odds!G:G,0))</f>
        <v>4.2</v>
      </c>
      <c r="M171" s="444">
        <f>INDEX(Odds!J:J,MATCH(J171,Odds!G:G,0))</f>
        <v>1</v>
      </c>
      <c r="N171" s="445">
        <f t="shared" si="15"/>
        <v>4.2</v>
      </c>
      <c r="O171" s="577"/>
      <c r="P171" s="59"/>
      <c r="AB171" s="582" t="str">
        <f>IF(O171="","",INDEX(Odds!H:H,MATCH(O171,Odds!G:G,0)))</f>
        <v/>
      </c>
      <c r="AC171" s="605">
        <f>IF(J171="","",INDEX(Odds!K:K,MATCH(J171,Odds!G:G,0)))</f>
        <v>1</v>
      </c>
      <c r="AD171" s="59"/>
      <c r="AE171" s="59"/>
      <c r="AF171" s="438"/>
      <c r="AG171" s="59"/>
    </row>
    <row r="172" spans="1:33" ht="13.5" thickBot="1">
      <c r="A172" s="645" t="str">
        <f>A170</f>
        <v>Simon Greenhalgh</v>
      </c>
      <c r="B172" s="451" t="str">
        <f t="shared" si="16"/>
        <v>Salford</v>
      </c>
      <c r="C172" s="517">
        <f>IF(J172="","",INDEX(Odds!C:C,MATCH(J172,Odds!G:G,0)))</f>
        <v>7</v>
      </c>
      <c r="D172" s="452">
        <f t="shared" si="17"/>
        <v>3.1</v>
      </c>
      <c r="E172" s="460" t="str">
        <f t="shared" si="14"/>
        <v>x</v>
      </c>
      <c r="F172" s="448"/>
      <c r="G172" s="449"/>
      <c r="H172" s="207"/>
      <c r="I172" s="380"/>
      <c r="J172" s="453" t="s">
        <v>530</v>
      </c>
      <c r="K172" s="192" t="str">
        <f>INDEX(Odds!H:H,MATCH(J172,Odds!G:G,0))</f>
        <v>21/10</v>
      </c>
      <c r="L172" s="454">
        <f>INDEX(Odds!I:I,MATCH(J172,Odds!G:G,0))</f>
        <v>3.1</v>
      </c>
      <c r="M172" s="444">
        <f>INDEX(Odds!J:J,MATCH(J172,Odds!G:G,0))</f>
        <v>0</v>
      </c>
      <c r="N172" s="455">
        <f t="shared" si="15"/>
        <v>0</v>
      </c>
      <c r="O172" s="578"/>
      <c r="P172" s="59"/>
      <c r="AB172" s="583" t="str">
        <f>IF(O172="","",INDEX(Odds!H:H,MATCH(O172,Odds!G:G,0)))</f>
        <v/>
      </c>
      <c r="AC172" s="605">
        <f>IF(J172="","",INDEX(Odds!K:K,MATCH(J172,Odds!G:G,0)))</f>
        <v>1</v>
      </c>
      <c r="AD172" s="59"/>
      <c r="AE172" s="59"/>
      <c r="AF172" s="438"/>
      <c r="AG172" s="59"/>
    </row>
    <row r="173" spans="1:33" ht="13.9" thickTop="1" thickBot="1">
      <c r="A173" s="440" t="str">
        <f>Results!B173</f>
        <v>Stephen Barr</v>
      </c>
      <c r="B173" s="456" t="str">
        <f t="shared" si="16"/>
        <v>Middlesbro</v>
      </c>
      <c r="C173" s="516">
        <f>IF(J173="","",INDEX(Odds!C:C,MATCH(J173,Odds!G:G,0)))</f>
        <v>7</v>
      </c>
      <c r="D173" s="441">
        <f t="shared" si="17"/>
        <v>2.15</v>
      </c>
      <c r="E173" s="459" t="str">
        <f t="shared" si="14"/>
        <v>√</v>
      </c>
      <c r="F173" s="382">
        <f>IF(J173="",-10,INDEX(Results!T:T,MATCH(A173,Results!V:V,0)))</f>
        <v>2.2375000000000007</v>
      </c>
      <c r="G173" s="189">
        <f>IF(J173="","",INDEX(Results!AI:AI,MATCH(A173,Results!V:V,0)))</f>
        <v>23.224374999999995</v>
      </c>
      <c r="H173" s="207">
        <f>IF(G173="",0,1)</f>
        <v>1</v>
      </c>
      <c r="I173" s="379">
        <f>INDEX(Picks!AG:AG,MATCH(A173,Picks!AD:AD,0))</f>
        <v>16</v>
      </c>
      <c r="J173" s="442" t="s">
        <v>534</v>
      </c>
      <c r="K173" s="190" t="str">
        <f>INDEX(Odds!H:H,MATCH(J173,Odds!G:G,0))</f>
        <v>23/20</v>
      </c>
      <c r="L173" s="443">
        <f>INDEX(Odds!I:I,MATCH(J173,Odds!G:G,0))</f>
        <v>2.15</v>
      </c>
      <c r="M173" s="457">
        <f>INDEX(Odds!J:J,MATCH(J173,Odds!G:G,0))</f>
        <v>1</v>
      </c>
      <c r="N173" s="445">
        <f t="shared" si="15"/>
        <v>2.15</v>
      </c>
      <c r="O173" s="577"/>
      <c r="P173" s="59"/>
      <c r="AB173" s="582" t="str">
        <f>IF(O173="","",INDEX(Odds!H:H,MATCH(O173,Odds!G:G,0)))</f>
        <v/>
      </c>
      <c r="AC173" s="605">
        <f>IF(J173="","",INDEX(Odds!K:K,MATCH(J173,Odds!G:G,0)))</f>
        <v>1</v>
      </c>
      <c r="AD173" s="59"/>
      <c r="AE173" s="59"/>
      <c r="AF173" s="438"/>
      <c r="AG173" s="59"/>
    </row>
    <row r="174" spans="1:33">
      <c r="A174" s="644" t="str">
        <f>A173</f>
        <v>Stephen Barr</v>
      </c>
      <c r="B174" s="446" t="str">
        <f t="shared" si="16"/>
        <v>West Brom</v>
      </c>
      <c r="C174" s="516">
        <f>IF(J174="","",INDEX(Odds!C:C,MATCH(J174,Odds!G:G,0)))</f>
        <v>6</v>
      </c>
      <c r="D174" s="447">
        <f t="shared" si="17"/>
        <v>2.0499999999999998</v>
      </c>
      <c r="E174" s="460" t="str">
        <f t="shared" si="14"/>
        <v>x</v>
      </c>
      <c r="F174" s="448"/>
      <c r="G174" s="449"/>
      <c r="H174" s="207"/>
      <c r="I174" s="380"/>
      <c r="J174" s="442" t="s">
        <v>551</v>
      </c>
      <c r="K174" s="191" t="str">
        <f>INDEX(Odds!H:H,MATCH(J174,Odds!G:G,0))</f>
        <v>21/20</v>
      </c>
      <c r="L174" s="450">
        <f>INDEX(Odds!I:I,MATCH(J174,Odds!G:G,0))</f>
        <v>2.0499999999999998</v>
      </c>
      <c r="M174" s="444">
        <f>INDEX(Odds!J:J,MATCH(J174,Odds!G:G,0))</f>
        <v>0</v>
      </c>
      <c r="N174" s="445">
        <f t="shared" si="15"/>
        <v>0</v>
      </c>
      <c r="O174" s="577"/>
      <c r="P174" s="59"/>
      <c r="AB174" s="582" t="str">
        <f>IF(O174="","",INDEX(Odds!H:H,MATCH(O174,Odds!G:G,0)))</f>
        <v/>
      </c>
      <c r="AC174" s="605">
        <f>IF(J174="","",INDEX(Odds!K:K,MATCH(J174,Odds!G:G,0)))</f>
        <v>1</v>
      </c>
    </row>
    <row r="175" spans="1:33" ht="13.5" thickBot="1">
      <c r="A175" s="645" t="str">
        <f>A173</f>
        <v>Stephen Barr</v>
      </c>
      <c r="B175" s="451" t="str">
        <f t="shared" si="16"/>
        <v>Shrewsbury</v>
      </c>
      <c r="C175" s="517">
        <f>IF(J175="","",INDEX(Odds!C:C,MATCH(J175,Odds!G:G,0)))</f>
        <v>7</v>
      </c>
      <c r="D175" s="452">
        <f t="shared" si="17"/>
        <v>2.25</v>
      </c>
      <c r="E175" s="467" t="str">
        <f t="shared" si="14"/>
        <v>√</v>
      </c>
      <c r="F175" s="468"/>
      <c r="G175" s="469"/>
      <c r="H175" s="207"/>
      <c r="I175" s="380"/>
      <c r="J175" s="453" t="s">
        <v>522</v>
      </c>
      <c r="K175" s="192" t="str">
        <f>INDEX(Odds!H:H,MATCH(J175,Odds!G:G,0))</f>
        <v>5/4</v>
      </c>
      <c r="L175" s="454">
        <f>INDEX(Odds!I:I,MATCH(J175,Odds!G:G,0))</f>
        <v>2.25</v>
      </c>
      <c r="M175" s="444">
        <f>INDEX(Odds!J:J,MATCH(J175,Odds!G:G,0))</f>
        <v>1</v>
      </c>
      <c r="N175" s="455">
        <f t="shared" si="15"/>
        <v>2.25</v>
      </c>
      <c r="O175" s="578"/>
      <c r="P175" s="59"/>
      <c r="AB175" s="583" t="str">
        <f>IF(O175="","",INDEX(Odds!H:H,MATCH(O175,Odds!G:G,0)))</f>
        <v/>
      </c>
      <c r="AC175" s="605">
        <f>IF(J175="","",INDEX(Odds!K:K,MATCH(J175,Odds!G:G,0)))</f>
        <v>1</v>
      </c>
    </row>
    <row r="176" spans="1:33" ht="13.9" thickTop="1" thickBot="1">
      <c r="A176" s="440" t="str">
        <f>Results!B176</f>
        <v>Steve Carter</v>
      </c>
      <c r="B176" s="456" t="str">
        <f t="shared" ref="B176:B178" si="18">IF(J176="","",J176)</f>
        <v>Charlton</v>
      </c>
      <c r="C176" s="516">
        <f>IF(J176="","",INDEX(Odds!C:C,MATCH(J176,Odds!G:G,0)))</f>
        <v>7</v>
      </c>
      <c r="D176" s="441">
        <f t="shared" ref="D176:D178" si="19">IF(J176="","",L176)</f>
        <v>2</v>
      </c>
      <c r="E176" s="459" t="str">
        <f t="shared" ref="E176:E178" si="20">IF(J176="","",IF(M176=1,"√","x"))</f>
        <v>x</v>
      </c>
      <c r="F176" s="382">
        <f>IF(J176="",-10,INDEX(Results!T:T,MATCH(A176,Results!V:V,0)))</f>
        <v>-4.75</v>
      </c>
      <c r="G176" s="189">
        <f>IF(J176="","",INDEX(Results!AI:AI,MATCH(A176,Results!V:V,0)))</f>
        <v>25.150000000000006</v>
      </c>
      <c r="H176" s="207">
        <f>IF(G176="",0,1)</f>
        <v>1</v>
      </c>
      <c r="I176" s="379">
        <f>INDEX(Picks!AG:AG,MATCH(A176,Picks!AD:AD,0))</f>
        <v>41</v>
      </c>
      <c r="J176" s="442" t="s">
        <v>605</v>
      </c>
      <c r="K176" s="190" t="str">
        <f>INDEX(Odds!H:H,MATCH(J176,Odds!G:G,0))</f>
        <v>1/1</v>
      </c>
      <c r="L176" s="443">
        <f>INDEX(Odds!I:I,MATCH(J176,Odds!G:G,0))</f>
        <v>2</v>
      </c>
      <c r="M176" s="457">
        <f>INDEX(Odds!J:J,MATCH(J176,Odds!G:G,0))</f>
        <v>0</v>
      </c>
      <c r="N176" s="445">
        <f t="shared" ref="N176:N178" si="21">L176*M176</f>
        <v>0</v>
      </c>
      <c r="O176" s="577"/>
      <c r="P176" s="59"/>
      <c r="AB176" s="582" t="str">
        <f>IF(O176="","",INDEX(Odds!H:H,MATCH(O176,Odds!G:G,0)))</f>
        <v/>
      </c>
      <c r="AC176" s="605">
        <f>IF(J176="","",INDEX(Odds!K:K,MATCH(J176,Odds!G:G,0)))</f>
        <v>1</v>
      </c>
    </row>
    <row r="177" spans="1:29">
      <c r="A177" s="644" t="str">
        <f>A176</f>
        <v>Steve Carter</v>
      </c>
      <c r="B177" s="446" t="str">
        <f t="shared" si="18"/>
        <v>Morecambe</v>
      </c>
      <c r="C177" s="516">
        <f>IF(J177="","",INDEX(Odds!C:C,MATCH(J177,Odds!G:G,0)))</f>
        <v>7</v>
      </c>
      <c r="D177" s="447">
        <f t="shared" si="19"/>
        <v>2.4</v>
      </c>
      <c r="E177" s="460" t="str">
        <f t="shared" si="20"/>
        <v>x</v>
      </c>
      <c r="F177" s="448"/>
      <c r="G177" s="449"/>
      <c r="J177" s="442" t="s">
        <v>612</v>
      </c>
      <c r="K177" s="191" t="str">
        <f>INDEX(Odds!H:H,MATCH(J177,Odds!G:G,0))</f>
        <v>7/5</v>
      </c>
      <c r="L177" s="450">
        <f>INDEX(Odds!I:I,MATCH(J177,Odds!G:G,0))</f>
        <v>2.4</v>
      </c>
      <c r="M177" s="444">
        <f>INDEX(Odds!J:J,MATCH(J177,Odds!G:G,0))</f>
        <v>0</v>
      </c>
      <c r="N177" s="445">
        <f t="shared" si="21"/>
        <v>0</v>
      </c>
      <c r="O177" s="577"/>
      <c r="P177" s="59"/>
      <c r="AB177" s="582" t="str">
        <f>IF(O177="","",INDEX(Odds!H:H,MATCH(O177,Odds!G:G,0)))</f>
        <v/>
      </c>
      <c r="AC177" s="605">
        <f>IF(J177="","",INDEX(Odds!K:K,MATCH(J177,Odds!G:G,0)))</f>
        <v>1</v>
      </c>
    </row>
    <row r="178" spans="1:29" ht="13.5" thickBot="1">
      <c r="A178" s="645" t="str">
        <f>A176</f>
        <v>Steve Carter</v>
      </c>
      <c r="B178" s="451" t="str">
        <f t="shared" si="18"/>
        <v>Shrewsbury</v>
      </c>
      <c r="C178" s="517">
        <f>IF(J178="","",INDEX(Odds!C:C,MATCH(J178,Odds!G:G,0)))</f>
        <v>7</v>
      </c>
      <c r="D178" s="452">
        <f t="shared" si="19"/>
        <v>2.25</v>
      </c>
      <c r="E178" s="467" t="str">
        <f t="shared" si="20"/>
        <v>√</v>
      </c>
      <c r="F178" s="468"/>
      <c r="G178" s="469"/>
      <c r="J178" s="453" t="s">
        <v>522</v>
      </c>
      <c r="K178" s="192" t="str">
        <f>INDEX(Odds!H:H,MATCH(J178,Odds!G:G,0))</f>
        <v>5/4</v>
      </c>
      <c r="L178" s="454">
        <f>INDEX(Odds!I:I,MATCH(J178,Odds!G:G,0))</f>
        <v>2.25</v>
      </c>
      <c r="M178" s="444">
        <f>INDEX(Odds!J:J,MATCH(J178,Odds!G:G,0))</f>
        <v>1</v>
      </c>
      <c r="N178" s="455">
        <f t="shared" si="21"/>
        <v>2.25</v>
      </c>
      <c r="O178" s="578"/>
      <c r="P178" s="59"/>
      <c r="AB178" s="583" t="str">
        <f>IF(O178="","",INDEX(Odds!H:H,MATCH(O178,Odds!G:G,0)))</f>
        <v/>
      </c>
      <c r="AC178" s="605">
        <f>IF(J178="","",INDEX(Odds!K:K,MATCH(J178,Odds!G:G,0)))</f>
        <v>1</v>
      </c>
    </row>
    <row r="179" spans="1:29" ht="13.9" thickTop="1" thickBot="1">
      <c r="A179" s="440" t="str">
        <f>Results!B179</f>
        <v>Tom Robinson</v>
      </c>
      <c r="B179" s="456" t="str">
        <f t="shared" ref="B179:B184" si="22">IF(J179="","",J179)</f>
        <v>Mansfield</v>
      </c>
      <c r="C179" s="516">
        <f>IF(J179="","",INDEX(Odds!C:C,MATCH(J179,Odds!G:G,0)))</f>
        <v>7</v>
      </c>
      <c r="D179" s="441">
        <f t="shared" ref="D179:D184" si="23">IF(J179="","",L179)</f>
        <v>1.7</v>
      </c>
      <c r="E179" s="459" t="str">
        <f t="shared" ref="E179:E184" si="24">IF(J179="","",IF(M179=1,"√","x"))</f>
        <v>√</v>
      </c>
      <c r="F179" s="382">
        <f>IF(J179="",-10,INDEX(Results!T:T,MATCH(A179,Results!V:V,0)))</f>
        <v>3.6099999999999994</v>
      </c>
      <c r="G179" s="189">
        <f>IF(J179="","",INDEX(Results!AI:AI,MATCH(A179,Results!V:V,0)))</f>
        <v>39.600999999999999</v>
      </c>
      <c r="H179" s="207">
        <f>IF(G179="",0,1)</f>
        <v>1</v>
      </c>
      <c r="I179" s="379">
        <f>INDEX(Picks!AG:AG,MATCH(A179,Picks!AD:AD,0))</f>
        <v>13</v>
      </c>
      <c r="J179" s="442" t="s">
        <v>546</v>
      </c>
      <c r="K179" s="190" t="str">
        <f>INDEX(Odds!H:H,MATCH(J179,Odds!G:G,0))</f>
        <v>7/10</v>
      </c>
      <c r="L179" s="443">
        <f>INDEX(Odds!I:I,MATCH(J179,Odds!G:G,0))</f>
        <v>1.7</v>
      </c>
      <c r="M179" s="457">
        <f>INDEX(Odds!J:J,MATCH(J179,Odds!G:G,0))</f>
        <v>1</v>
      </c>
      <c r="N179" s="445">
        <f t="shared" ref="N179:N184" si="25">L179*M179</f>
        <v>1.7</v>
      </c>
      <c r="O179" s="577"/>
      <c r="P179" s="59"/>
      <c r="AB179" s="582" t="str">
        <f>IF(O179="","",INDEX(Odds!H:H,MATCH(O179,Odds!G:G,0)))</f>
        <v/>
      </c>
      <c r="AC179" s="605">
        <f>IF(J179="","",INDEX(Odds!K:K,MATCH(J179,Odds!G:G,0)))</f>
        <v>1</v>
      </c>
    </row>
    <row r="180" spans="1:29">
      <c r="A180" s="644" t="str">
        <f>A179</f>
        <v>Tom Robinson</v>
      </c>
      <c r="B180" s="446" t="str">
        <f t="shared" si="22"/>
        <v>Northampton</v>
      </c>
      <c r="C180" s="516">
        <f>IF(J180="","",INDEX(Odds!C:C,MATCH(J180,Odds!G:G,0)))</f>
        <v>7</v>
      </c>
      <c r="D180" s="447">
        <f t="shared" si="23"/>
        <v>3.1</v>
      </c>
      <c r="E180" s="460" t="str">
        <f t="shared" si="24"/>
        <v>x</v>
      </c>
      <c r="F180" s="448"/>
      <c r="G180" s="449"/>
      <c r="J180" s="442" t="s">
        <v>625</v>
      </c>
      <c r="K180" s="191" t="str">
        <f>INDEX(Odds!H:H,MATCH(J180,Odds!G:G,0))</f>
        <v>21/10</v>
      </c>
      <c r="L180" s="450">
        <f>INDEX(Odds!I:I,MATCH(J180,Odds!G:G,0))</f>
        <v>3.1</v>
      </c>
      <c r="M180" s="444">
        <f>INDEX(Odds!J:J,MATCH(J180,Odds!G:G,0))</f>
        <v>0</v>
      </c>
      <c r="N180" s="445">
        <f t="shared" si="25"/>
        <v>0</v>
      </c>
      <c r="O180" s="577"/>
      <c r="P180" s="59"/>
      <c r="AB180" s="582" t="str">
        <f>IF(O180="","",INDEX(Odds!H:H,MATCH(O180,Odds!G:G,0)))</f>
        <v/>
      </c>
      <c r="AC180" s="605">
        <f>IF(J180="","",INDEX(Odds!K:K,MATCH(J180,Odds!G:G,0)))</f>
        <v>1</v>
      </c>
    </row>
    <row r="181" spans="1:29" ht="13.5" thickBot="1">
      <c r="A181" s="645" t="str">
        <f>A179</f>
        <v>Tom Robinson</v>
      </c>
      <c r="B181" s="451" t="str">
        <f t="shared" si="22"/>
        <v>Palace draw</v>
      </c>
      <c r="C181" s="517">
        <f>IF(J181="","",INDEX(Odds!C:C,MATCH(J181,Odds!G:G,0)))</f>
        <v>7</v>
      </c>
      <c r="D181" s="452">
        <f t="shared" si="23"/>
        <v>3.3</v>
      </c>
      <c r="E181" s="467" t="str">
        <f t="shared" si="24"/>
        <v>√</v>
      </c>
      <c r="F181" s="468"/>
      <c r="G181" s="469"/>
      <c r="J181" s="453" t="s">
        <v>635</v>
      </c>
      <c r="K181" s="192" t="str">
        <f>INDEX(Odds!H:H,MATCH(J181,Odds!G:G,0))</f>
        <v>23/10</v>
      </c>
      <c r="L181" s="454">
        <f>INDEX(Odds!I:I,MATCH(J181,Odds!G:G,0))</f>
        <v>3.3</v>
      </c>
      <c r="M181" s="444">
        <f>INDEX(Odds!J:J,MATCH(J181,Odds!G:G,0))</f>
        <v>1</v>
      </c>
      <c r="N181" s="455">
        <f t="shared" si="25"/>
        <v>3.3</v>
      </c>
      <c r="O181" s="578"/>
      <c r="P181" s="59"/>
      <c r="AB181" s="583" t="str">
        <f>IF(O181="","",INDEX(Odds!H:H,MATCH(O181,Odds!G:G,0)))</f>
        <v/>
      </c>
      <c r="AC181" s="605">
        <f>IF(J181="","",INDEX(Odds!K:K,MATCH(J181,Odds!G:G,0)))</f>
        <v>1</v>
      </c>
    </row>
    <row r="182" spans="1:29" ht="13.9" thickTop="1" thickBot="1">
      <c r="A182" s="440" t="str">
        <f>Results!B182</f>
        <v>Vinny Topping</v>
      </c>
      <c r="B182" s="456" t="str">
        <f t="shared" si="22"/>
        <v>Sheff U</v>
      </c>
      <c r="C182" s="516">
        <f>IF(J182="","",INDEX(Odds!C:C,MATCH(J182,Odds!G:G,0)))</f>
        <v>7</v>
      </c>
      <c r="D182" s="441">
        <f t="shared" si="23"/>
        <v>1.8333333333333335</v>
      </c>
      <c r="E182" s="459" t="str">
        <f t="shared" si="24"/>
        <v>√</v>
      </c>
      <c r="F182" s="382">
        <f>IF(J182="",-10,INDEX(Results!T:T,MATCH(A182,Results!V:V,0)))</f>
        <v>1.5625</v>
      </c>
      <c r="G182" s="189">
        <f>IF(J182="","",INDEX(Results!AI:AI,MATCH(A182,Results!V:V,0)))</f>
        <v>25.46875</v>
      </c>
      <c r="H182" s="207">
        <f>IF(G182="",0,1)</f>
        <v>1</v>
      </c>
      <c r="I182" s="379">
        <f>INDEX(Picks!AG:AG,MATCH(A182,Picks!AD:AD,0))</f>
        <v>19</v>
      </c>
      <c r="J182" s="442" t="s">
        <v>434</v>
      </c>
      <c r="K182" s="190" t="str">
        <f>INDEX(Odds!H:H,MATCH(J182,Odds!G:G,0))</f>
        <v>5/6</v>
      </c>
      <c r="L182" s="443">
        <f>INDEX(Odds!I:I,MATCH(J182,Odds!G:G,0))</f>
        <v>1.8333333333333335</v>
      </c>
      <c r="M182" s="457">
        <f>INDEX(Odds!J:J,MATCH(J182,Odds!G:G,0))</f>
        <v>1</v>
      </c>
      <c r="N182" s="445">
        <f t="shared" si="25"/>
        <v>1.8333333333333335</v>
      </c>
      <c r="O182" s="577"/>
      <c r="P182" s="59"/>
      <c r="AB182" s="582" t="str">
        <f>IF(O182="","",INDEX(Odds!H:H,MATCH(O182,Odds!G:G,0)))</f>
        <v/>
      </c>
      <c r="AC182" s="605">
        <f>IF(J182="","",INDEX(Odds!K:K,MATCH(J182,Odds!G:G,0)))</f>
        <v>1</v>
      </c>
    </row>
    <row r="183" spans="1:29">
      <c r="A183" s="644" t="str">
        <f>A182</f>
        <v>Vinny Topping</v>
      </c>
      <c r="B183" s="446" t="str">
        <f t="shared" si="22"/>
        <v>Wigan</v>
      </c>
      <c r="C183" s="516">
        <f>IF(J183="","",INDEX(Odds!C:C,MATCH(J183,Odds!G:G,0)))</f>
        <v>7</v>
      </c>
      <c r="D183" s="447">
        <f t="shared" si="23"/>
        <v>2.375</v>
      </c>
      <c r="E183" s="460" t="str">
        <f t="shared" si="24"/>
        <v>√</v>
      </c>
      <c r="F183" s="448"/>
      <c r="G183" s="449"/>
      <c r="J183" s="442" t="s">
        <v>357</v>
      </c>
      <c r="K183" s="191" t="str">
        <f>INDEX(Odds!H:H,MATCH(J183,Odds!G:G,0))</f>
        <v>11/8</v>
      </c>
      <c r="L183" s="450">
        <f>INDEX(Odds!I:I,MATCH(J183,Odds!G:G,0))</f>
        <v>2.375</v>
      </c>
      <c r="M183" s="444">
        <f>INDEX(Odds!J:J,MATCH(J183,Odds!G:G,0))</f>
        <v>1</v>
      </c>
      <c r="N183" s="445">
        <f t="shared" si="25"/>
        <v>2.375</v>
      </c>
      <c r="O183" s="577"/>
      <c r="P183" s="59"/>
      <c r="AB183" s="582" t="str">
        <f>IF(O183="","",INDEX(Odds!H:H,MATCH(O183,Odds!G:G,0)))</f>
        <v/>
      </c>
      <c r="AC183" s="605">
        <f>IF(J183="","",INDEX(Odds!K:K,MATCH(J183,Odds!G:G,0)))</f>
        <v>1</v>
      </c>
    </row>
    <row r="184" spans="1:29" ht="13.5" thickBot="1">
      <c r="A184" s="645" t="str">
        <f>A182</f>
        <v>Vinny Topping</v>
      </c>
      <c r="B184" s="451" t="str">
        <f t="shared" si="22"/>
        <v>Carlisle</v>
      </c>
      <c r="C184" s="517">
        <f>IF(J184="","",INDEX(Odds!C:C,MATCH(J184,Odds!G:G,0)))</f>
        <v>7</v>
      </c>
      <c r="D184" s="452">
        <f t="shared" si="23"/>
        <v>2.5</v>
      </c>
      <c r="E184" s="467" t="str">
        <f t="shared" si="24"/>
        <v>x</v>
      </c>
      <c r="F184" s="468"/>
      <c r="G184" s="469"/>
      <c r="J184" s="453" t="s">
        <v>570</v>
      </c>
      <c r="K184" s="192" t="str">
        <f>INDEX(Odds!H:H,MATCH(J184,Odds!G:G,0))</f>
        <v>6/4</v>
      </c>
      <c r="L184" s="454">
        <f>INDEX(Odds!I:I,MATCH(J184,Odds!G:G,0))</f>
        <v>2.5</v>
      </c>
      <c r="M184" s="444">
        <f>INDEX(Odds!J:J,MATCH(J184,Odds!G:G,0))</f>
        <v>0</v>
      </c>
      <c r="N184" s="455">
        <f t="shared" si="25"/>
        <v>0</v>
      </c>
      <c r="O184" s="578"/>
      <c r="P184" s="59"/>
      <c r="AB184" s="583" t="str">
        <f>IF(O184="","",INDEX(Odds!H:H,MATCH(O184,Odds!G:G,0)))</f>
        <v/>
      </c>
      <c r="AC184" s="605">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8" priority="20">
      <formula>AC2=0</formula>
    </cfRule>
  </conditionalFormatting>
  <conditionalFormatting sqref="B3:B4">
    <cfRule type="expression" dxfId="117"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13">
      <formula>AC6=0</formula>
    </cfRule>
  </conditionalFormatting>
  <conditionalFormatting sqref="B176">
    <cfRule type="expression" dxfId="114" priority="12">
      <formula>AC176=0</formula>
    </cfRule>
  </conditionalFormatting>
  <conditionalFormatting sqref="B177:B178">
    <cfRule type="expression" dxfId="113" priority="11">
      <formula>AC177=0</formula>
    </cfRule>
  </conditionalFormatting>
  <conditionalFormatting sqref="B179">
    <cfRule type="expression" dxfId="112" priority="4">
      <formula>AC179=0</formula>
    </cfRule>
  </conditionalFormatting>
  <conditionalFormatting sqref="B180:B181">
    <cfRule type="expression" dxfId="111" priority="3">
      <formula>AC180=0</formula>
    </cfRule>
  </conditionalFormatting>
  <conditionalFormatting sqref="B182">
    <cfRule type="expression" dxfId="110" priority="2">
      <formula>AC182=0</formula>
    </cfRule>
  </conditionalFormatting>
  <conditionalFormatting sqref="B183:B184">
    <cfRule type="expression" dxfId="109"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6"/>
    </sheetView>
  </sheetViews>
  <sheetFormatPr defaultRowHeight="12.75"/>
  <cols>
    <col min="1" max="1" width="7.3984375" style="601"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600" t="s">
        <v>499</v>
      </c>
      <c r="B1" s="169" t="s">
        <v>30</v>
      </c>
      <c r="C1" s="169" t="s">
        <v>221</v>
      </c>
      <c r="D1" s="23" t="s">
        <v>171</v>
      </c>
      <c r="E1" s="24" t="s">
        <v>32</v>
      </c>
      <c r="F1" s="25" t="s">
        <v>33</v>
      </c>
      <c r="G1" s="168" t="s">
        <v>56</v>
      </c>
      <c r="H1" s="168" t="s">
        <v>57</v>
      </c>
      <c r="I1" s="169" t="s">
        <v>34</v>
      </c>
      <c r="J1" s="169" t="s">
        <v>35</v>
      </c>
      <c r="K1" s="169" t="s">
        <v>36</v>
      </c>
      <c r="L1" s="169" t="s">
        <v>37</v>
      </c>
      <c r="M1" s="169" t="s">
        <v>38</v>
      </c>
      <c r="N1" s="169" t="s">
        <v>39</v>
      </c>
      <c r="O1" s="105" t="s">
        <v>503</v>
      </c>
      <c r="P1" s="602" t="s">
        <v>502</v>
      </c>
      <c r="Q1" s="32" t="s">
        <v>46</v>
      </c>
      <c r="R1" s="32" t="s">
        <v>47</v>
      </c>
      <c r="S1" s="32" t="s">
        <v>49</v>
      </c>
      <c r="T1" s="32" t="s">
        <v>50</v>
      </c>
      <c r="U1" s="27" t="s">
        <v>40</v>
      </c>
      <c r="V1" s="30" t="s">
        <v>19</v>
      </c>
      <c r="W1" t="s">
        <v>31</v>
      </c>
      <c r="X1" t="s">
        <v>41</v>
      </c>
      <c r="Y1" s="10" t="s">
        <v>43</v>
      </c>
      <c r="Z1" s="10" t="s">
        <v>42</v>
      </c>
      <c r="AA1" s="172" t="s">
        <v>191</v>
      </c>
      <c r="AB1" s="172" t="s">
        <v>192</v>
      </c>
      <c r="AC1" s="172" t="s">
        <v>193</v>
      </c>
      <c r="AD1" s="10"/>
      <c r="AE1" s="10"/>
      <c r="AF1" s="10"/>
      <c r="AG1" s="10"/>
      <c r="AH1" s="10"/>
      <c r="AI1" s="10"/>
      <c r="AJ1" s="10"/>
      <c r="AK1" s="12"/>
      <c r="AL1" s="8"/>
      <c r="AM1" s="8"/>
    </row>
    <row r="2" spans="1:39">
      <c r="A2" s="601">
        <v>1</v>
      </c>
      <c r="B2" s="26">
        <v>44967</v>
      </c>
      <c r="C2" s="163">
        <v>10</v>
      </c>
      <c r="D2" s="26" t="s">
        <v>591</v>
      </c>
      <c r="E2" s="26" t="s">
        <v>592</v>
      </c>
      <c r="F2" s="26" t="s">
        <v>551</v>
      </c>
      <c r="G2" s="163">
        <v>2</v>
      </c>
      <c r="H2" s="163">
        <v>0</v>
      </c>
      <c r="I2" s="163">
        <v>13</v>
      </c>
      <c r="J2" s="163">
        <v>5</v>
      </c>
      <c r="K2" s="163">
        <v>9</v>
      </c>
      <c r="L2" s="163">
        <v>4</v>
      </c>
      <c r="M2" s="163">
        <v>21</v>
      </c>
      <c r="N2" s="163">
        <v>20</v>
      </c>
      <c r="O2" s="599" t="b">
        <v>0</v>
      </c>
      <c r="P2" s="603" t="str">
        <f>IF(B2="","",IF(O2=FALSE,"","OFF"))</f>
        <v/>
      </c>
      <c r="Q2" s="33" t="str">
        <f t="shared" ref="Q2:Q32" si="0">TRIM(E2)</f>
        <v>Birmingham</v>
      </c>
      <c r="R2" s="33" t="str">
        <f t="shared" ref="R2:R32" si="1">TRIM(F2)</f>
        <v>West Brom</v>
      </c>
      <c r="S2" s="32" t="str">
        <f t="shared" ref="S2:S32" si="2">TRIM(G2)</f>
        <v>2</v>
      </c>
      <c r="T2" s="33" t="str">
        <f t="shared" ref="T2:T32" si="3">TRIM(H2)</f>
        <v>0</v>
      </c>
      <c r="U2" s="28" t="str">
        <f>IF(B2="","",IF(O2=TRUE,Q2&amp;"  v  "&amp;R2&amp;"  OFF",Q2&amp;"  v  "&amp;R2&amp;"   "&amp;W2))</f>
        <v>Birmingham  v  West Brom   13/5  9/4  21/20</v>
      </c>
      <c r="V2" s="31" t="str">
        <f>Q2&amp;" "&amp;S2&amp;"-"&amp;T2&amp;" "&amp;R2&amp;" "&amp;P2</f>
        <v xml:space="preserve">Birmingham 2-0 West Brom </v>
      </c>
      <c r="W2" t="str">
        <f>X2&amp;"  "&amp;Y2&amp;"  "&amp;Z2</f>
        <v>13/5  9/4  21/20</v>
      </c>
      <c r="X2" s="17" t="str">
        <f t="shared" ref="X2:X32" si="4">CONCATENATE(I2,"/",J2)</f>
        <v>13/5</v>
      </c>
      <c r="Y2" s="17" t="str">
        <f t="shared" ref="Y2:Y32" si="5">CONCATENATE(K2,"/",L2)</f>
        <v>9/4</v>
      </c>
      <c r="Z2" s="17" t="str">
        <f t="shared" ref="Z2:Z32" si="6">CONCATENATE(M2,"/",N2)</f>
        <v>21/20</v>
      </c>
      <c r="AA2" s="173">
        <f>IF(B2="","",1+(I2/J2))</f>
        <v>3.6</v>
      </c>
      <c r="AB2" s="173">
        <f>IF(D2="","",1+(K2/L2))</f>
        <v>3.25</v>
      </c>
      <c r="AC2" s="173">
        <f>IF(E2="","",1+(M2/N2))</f>
        <v>2.0499999999999998</v>
      </c>
      <c r="AD2" s="11"/>
      <c r="AH2" s="11"/>
    </row>
    <row r="3" spans="1:39">
      <c r="A3" s="601">
        <v>2</v>
      </c>
      <c r="B3" s="26">
        <v>44968</v>
      </c>
      <c r="C3" s="163">
        <v>10</v>
      </c>
      <c r="D3" s="22" t="s">
        <v>591</v>
      </c>
      <c r="E3" s="26" t="s">
        <v>572</v>
      </c>
      <c r="F3" s="26" t="s">
        <v>577</v>
      </c>
      <c r="G3" s="163">
        <v>1</v>
      </c>
      <c r="H3" s="163">
        <v>1</v>
      </c>
      <c r="I3" s="163">
        <v>4</v>
      </c>
      <c r="J3" s="163">
        <v>11</v>
      </c>
      <c r="K3" s="163">
        <v>15</v>
      </c>
      <c r="L3" s="163">
        <v>4</v>
      </c>
      <c r="M3" s="163">
        <v>15</v>
      </c>
      <c r="N3" s="163">
        <v>2</v>
      </c>
      <c r="O3" s="106" t="b">
        <v>0</v>
      </c>
      <c r="P3" s="603" t="str">
        <f t="shared" ref="P3:P47" si="7">IF(B3="","",IF(O3=FALSE,"","OFF"))</f>
        <v/>
      </c>
      <c r="Q3" s="33" t="str">
        <f t="shared" si="0"/>
        <v>Arsenal</v>
      </c>
      <c r="R3" s="33" t="str">
        <f t="shared" si="1"/>
        <v>Brentford</v>
      </c>
      <c r="S3" s="32" t="str">
        <f t="shared" si="2"/>
        <v>1</v>
      </c>
      <c r="T3" s="33" t="str">
        <f t="shared" si="3"/>
        <v>1</v>
      </c>
      <c r="U3" s="28" t="str">
        <f t="shared" ref="U3:U66" si="8">IF(B3="","",IF(O3=TRUE,Q3&amp;"  v  "&amp;R3&amp;"  OFF",Q3&amp;"  v  "&amp;R3&amp;"   "&amp;W3))</f>
        <v>Arsenal  v  Brentford   4/11  15/4  15/2</v>
      </c>
      <c r="V3" s="31" t="str">
        <f t="shared" ref="V3:V47" si="9">Q3&amp;" "&amp;S3&amp;"-"&amp;T3&amp;" "&amp;R3&amp;" "&amp;P3</f>
        <v xml:space="preserve">Arsenal 1-1 Brentford </v>
      </c>
      <c r="W3" t="str">
        <f t="shared" ref="W3:W44" si="10">X3&amp;"  "&amp;Y3&amp;"  "&amp;Z3</f>
        <v>4/11  15/4  15/2</v>
      </c>
      <c r="X3" s="17" t="str">
        <f t="shared" si="4"/>
        <v>4/11</v>
      </c>
      <c r="Y3" s="17" t="str">
        <f t="shared" si="5"/>
        <v>15/4</v>
      </c>
      <c r="Z3" s="17" t="str">
        <f t="shared" si="6"/>
        <v>15/2</v>
      </c>
      <c r="AA3" s="173">
        <f t="shared" ref="AA3:AA47" si="11">IF(B3="","",1+(I3/J3))</f>
        <v>1.3636363636363638</v>
      </c>
      <c r="AB3" s="173">
        <f t="shared" ref="AB3:AB47" si="12">IF(D3="","",1+(K3/L3))</f>
        <v>4.75</v>
      </c>
      <c r="AC3" s="173">
        <f t="shared" ref="AC3:AC47" si="13">IF(E3="","",1+(M3/N3))</f>
        <v>8.5</v>
      </c>
      <c r="AD3" s="11"/>
      <c r="AH3" s="11"/>
    </row>
    <row r="4" spans="1:39">
      <c r="A4" s="601">
        <v>3</v>
      </c>
      <c r="B4" s="26">
        <v>44968</v>
      </c>
      <c r="C4" s="163">
        <v>10</v>
      </c>
      <c r="D4" s="26" t="s">
        <v>591</v>
      </c>
      <c r="E4" s="26" t="s">
        <v>593</v>
      </c>
      <c r="F4" s="26" t="s">
        <v>579</v>
      </c>
      <c r="G4" s="163">
        <v>1</v>
      </c>
      <c r="H4" s="163">
        <v>1</v>
      </c>
      <c r="I4" s="163">
        <v>6</v>
      </c>
      <c r="J4" s="163">
        <v>1</v>
      </c>
      <c r="K4" s="163">
        <v>3</v>
      </c>
      <c r="L4" s="163">
        <v>1</v>
      </c>
      <c r="M4" s="163">
        <v>1</v>
      </c>
      <c r="N4" s="163">
        <v>2</v>
      </c>
      <c r="O4" s="106" t="b">
        <v>0</v>
      </c>
      <c r="P4" s="603" t="str">
        <f t="shared" si="7"/>
        <v/>
      </c>
      <c r="Q4" s="33" t="str">
        <f t="shared" si="0"/>
        <v>Bournemouth</v>
      </c>
      <c r="R4" s="33" t="str">
        <f t="shared" si="1"/>
        <v>Newcastle</v>
      </c>
      <c r="S4" s="32" t="str">
        <f t="shared" si="2"/>
        <v>1</v>
      </c>
      <c r="T4" s="33" t="str">
        <f t="shared" si="3"/>
        <v>1</v>
      </c>
      <c r="U4" s="28" t="str">
        <f t="shared" si="8"/>
        <v>Bournemouth  v  Newcastle   6/1  3/1  1/2</v>
      </c>
      <c r="V4" s="31" t="str">
        <f t="shared" si="9"/>
        <v xml:space="preserve">Bournemouth 1-1 Newcastle </v>
      </c>
      <c r="W4" t="str">
        <f t="shared" si="10"/>
        <v>6/1  3/1  1/2</v>
      </c>
      <c r="X4" s="17" t="str">
        <f t="shared" si="4"/>
        <v>6/1</v>
      </c>
      <c r="Y4" s="17" t="str">
        <f t="shared" si="5"/>
        <v>3/1</v>
      </c>
      <c r="Z4" s="17" t="str">
        <f t="shared" si="6"/>
        <v>1/2</v>
      </c>
      <c r="AA4" s="173">
        <f t="shared" si="11"/>
        <v>7</v>
      </c>
      <c r="AB4" s="173">
        <f t="shared" si="12"/>
        <v>4</v>
      </c>
      <c r="AC4" s="173">
        <f t="shared" si="13"/>
        <v>1.5</v>
      </c>
      <c r="AD4" s="11"/>
      <c r="AH4" s="11"/>
    </row>
    <row r="5" spans="1:39">
      <c r="A5" s="601">
        <v>4</v>
      </c>
      <c r="B5" s="26">
        <v>44968</v>
      </c>
      <c r="C5" s="163">
        <v>10</v>
      </c>
      <c r="D5" s="26" t="s">
        <v>591</v>
      </c>
      <c r="E5" s="26" t="s">
        <v>575</v>
      </c>
      <c r="F5" s="26" t="s">
        <v>587</v>
      </c>
      <c r="G5" s="163">
        <v>2</v>
      </c>
      <c r="H5" s="163">
        <v>0</v>
      </c>
      <c r="I5" s="163">
        <v>19</v>
      </c>
      <c r="J5" s="163">
        <v>20</v>
      </c>
      <c r="K5" s="163">
        <v>12</v>
      </c>
      <c r="L5" s="163">
        <v>5</v>
      </c>
      <c r="M5" s="163">
        <v>29</v>
      </c>
      <c r="N5" s="163">
        <v>10</v>
      </c>
      <c r="O5" s="106" t="b">
        <v>0</v>
      </c>
      <c r="P5" s="603" t="str">
        <f t="shared" si="7"/>
        <v/>
      </c>
      <c r="Q5" s="33" t="str">
        <f t="shared" si="0"/>
        <v>Fulham</v>
      </c>
      <c r="R5" s="33" t="str">
        <f t="shared" si="1"/>
        <v>Forest</v>
      </c>
      <c r="S5" s="32" t="str">
        <f t="shared" si="2"/>
        <v>2</v>
      </c>
      <c r="T5" s="33" t="str">
        <f t="shared" si="3"/>
        <v>0</v>
      </c>
      <c r="U5" s="28" t="str">
        <f t="shared" si="8"/>
        <v>Fulham  v  Forest   19/20  12/5  29/10</v>
      </c>
      <c r="V5" s="31" t="str">
        <f t="shared" si="9"/>
        <v xml:space="preserve">Fulham 2-0 Forest </v>
      </c>
      <c r="W5" t="str">
        <f t="shared" si="10"/>
        <v>19/20  12/5  29/10</v>
      </c>
      <c r="X5" s="17" t="str">
        <f t="shared" si="4"/>
        <v>19/20</v>
      </c>
      <c r="Y5" s="17" t="str">
        <f t="shared" si="5"/>
        <v>12/5</v>
      </c>
      <c r="Z5" s="17" t="str">
        <f t="shared" si="6"/>
        <v>29/10</v>
      </c>
      <c r="AA5" s="173">
        <f t="shared" si="11"/>
        <v>1.95</v>
      </c>
      <c r="AB5" s="173">
        <f t="shared" si="12"/>
        <v>3.4</v>
      </c>
      <c r="AC5" s="173">
        <f t="shared" si="13"/>
        <v>3.9</v>
      </c>
      <c r="AD5" s="11"/>
      <c r="AH5" s="11"/>
    </row>
    <row r="6" spans="1:39">
      <c r="A6" s="601">
        <v>5</v>
      </c>
      <c r="B6" s="26">
        <v>44968</v>
      </c>
      <c r="C6" s="163">
        <v>10</v>
      </c>
      <c r="D6" s="26" t="s">
        <v>591</v>
      </c>
      <c r="E6" s="26" t="s">
        <v>552</v>
      </c>
      <c r="F6" s="26" t="s">
        <v>438</v>
      </c>
      <c r="G6" s="163">
        <v>4</v>
      </c>
      <c r="H6" s="163">
        <v>1</v>
      </c>
      <c r="I6" s="163">
        <v>12</v>
      </c>
      <c r="J6" s="163">
        <v>5</v>
      </c>
      <c r="K6" s="163">
        <v>13</v>
      </c>
      <c r="L6" s="163">
        <v>5</v>
      </c>
      <c r="M6" s="163">
        <v>21</v>
      </c>
      <c r="N6" s="163">
        <v>20</v>
      </c>
      <c r="O6" s="106" t="b">
        <v>0</v>
      </c>
      <c r="P6" s="603" t="str">
        <f t="shared" si="7"/>
        <v/>
      </c>
      <c r="Q6" s="33" t="str">
        <f t="shared" si="0"/>
        <v>Leicester</v>
      </c>
      <c r="R6" s="33" t="str">
        <f t="shared" si="1"/>
        <v>Spurs</v>
      </c>
      <c r="S6" s="32" t="str">
        <f t="shared" si="2"/>
        <v>4</v>
      </c>
      <c r="T6" s="33" t="str">
        <f t="shared" si="3"/>
        <v>1</v>
      </c>
      <c r="U6" s="28" t="str">
        <f t="shared" si="8"/>
        <v>Leicester  v  Spurs   12/5  13/5  21/20</v>
      </c>
      <c r="V6" s="31" t="str">
        <f t="shared" si="9"/>
        <v xml:space="preserve">Leicester 4-1 Spurs </v>
      </c>
      <c r="W6" t="str">
        <f t="shared" si="10"/>
        <v>12/5  13/5  21/20</v>
      </c>
      <c r="X6" s="17" t="str">
        <f t="shared" si="4"/>
        <v>12/5</v>
      </c>
      <c r="Y6" s="17" t="str">
        <f t="shared" si="5"/>
        <v>13/5</v>
      </c>
      <c r="Z6" s="17" t="str">
        <f t="shared" si="6"/>
        <v>21/20</v>
      </c>
      <c r="AA6" s="173">
        <f t="shared" si="11"/>
        <v>3.4</v>
      </c>
      <c r="AB6" s="173">
        <f t="shared" si="12"/>
        <v>3.6</v>
      </c>
      <c r="AC6" s="173">
        <f t="shared" si="13"/>
        <v>2.0499999999999998</v>
      </c>
      <c r="AD6" s="11"/>
      <c r="AH6" s="11"/>
    </row>
    <row r="7" spans="1:39">
      <c r="A7" s="601">
        <v>6</v>
      </c>
      <c r="B7" s="26">
        <v>44968</v>
      </c>
      <c r="C7" s="163">
        <v>10</v>
      </c>
      <c r="D7" s="26" t="s">
        <v>591</v>
      </c>
      <c r="E7" s="26" t="s">
        <v>578</v>
      </c>
      <c r="F7" s="26" t="s">
        <v>553</v>
      </c>
      <c r="G7" s="163">
        <v>1</v>
      </c>
      <c r="H7" s="163">
        <v>1</v>
      </c>
      <c r="I7" s="163">
        <v>13</v>
      </c>
      <c r="J7" s="163">
        <v>5</v>
      </c>
      <c r="K7" s="163">
        <v>23</v>
      </c>
      <c r="L7" s="163">
        <v>10</v>
      </c>
      <c r="M7" s="163">
        <v>11</v>
      </c>
      <c r="N7" s="163">
        <v>10</v>
      </c>
      <c r="O7" s="106" t="b">
        <v>0</v>
      </c>
      <c r="P7" s="603" t="str">
        <f t="shared" si="7"/>
        <v/>
      </c>
      <c r="Q7" s="33" t="str">
        <f>TRIM(E7)</f>
        <v>Palace</v>
      </c>
      <c r="R7" s="33" t="str">
        <f t="shared" si="1"/>
        <v>Brighton</v>
      </c>
      <c r="S7" s="32" t="str">
        <f t="shared" si="2"/>
        <v>1</v>
      </c>
      <c r="T7" s="33" t="str">
        <f t="shared" si="3"/>
        <v>1</v>
      </c>
      <c r="U7" s="28" t="str">
        <f t="shared" si="8"/>
        <v>Palace  v  Brighton   13/5  23/10  11/10</v>
      </c>
      <c r="V7" s="31" t="str">
        <f t="shared" si="9"/>
        <v xml:space="preserve">Palace 1-1 Brighton </v>
      </c>
      <c r="W7" t="str">
        <f t="shared" si="10"/>
        <v>13/5  23/10  11/10</v>
      </c>
      <c r="X7" s="17" t="str">
        <f t="shared" si="4"/>
        <v>13/5</v>
      </c>
      <c r="Y7" s="17" t="str">
        <f t="shared" si="5"/>
        <v>23/10</v>
      </c>
      <c r="Z7" s="17" t="str">
        <f t="shared" si="6"/>
        <v>11/10</v>
      </c>
      <c r="AA7" s="173">
        <f t="shared" si="11"/>
        <v>3.6</v>
      </c>
      <c r="AB7" s="173">
        <f t="shared" si="12"/>
        <v>3.3</v>
      </c>
      <c r="AC7" s="173">
        <f t="shared" si="13"/>
        <v>2.1</v>
      </c>
      <c r="AD7" s="11"/>
      <c r="AH7" s="11"/>
    </row>
    <row r="8" spans="1:39">
      <c r="A8" s="601">
        <v>7</v>
      </c>
      <c r="B8" s="26">
        <v>44968</v>
      </c>
      <c r="C8" s="163">
        <v>10</v>
      </c>
      <c r="D8" s="26" t="s">
        <v>591</v>
      </c>
      <c r="E8" s="26" t="s">
        <v>594</v>
      </c>
      <c r="F8" s="26" t="s">
        <v>580</v>
      </c>
      <c r="G8" s="163">
        <v>1</v>
      </c>
      <c r="H8" s="163">
        <v>2</v>
      </c>
      <c r="I8" s="163">
        <v>9</v>
      </c>
      <c r="J8" s="163">
        <v>5</v>
      </c>
      <c r="K8" s="163">
        <v>21</v>
      </c>
      <c r="L8" s="163">
        <v>10</v>
      </c>
      <c r="M8" s="163">
        <v>13</v>
      </c>
      <c r="N8" s="163">
        <v>8</v>
      </c>
      <c r="O8" s="106" t="b">
        <v>0</v>
      </c>
      <c r="P8" s="603" t="str">
        <f t="shared" si="7"/>
        <v/>
      </c>
      <c r="Q8" s="33" t="str">
        <f t="shared" si="0"/>
        <v>Southampton</v>
      </c>
      <c r="R8" s="33" t="str">
        <f t="shared" si="1"/>
        <v>Wolves</v>
      </c>
      <c r="S8" s="32" t="str">
        <f t="shared" si="2"/>
        <v>1</v>
      </c>
      <c r="T8" s="33" t="str">
        <f t="shared" si="3"/>
        <v>2</v>
      </c>
      <c r="U8" s="28" t="str">
        <f t="shared" si="8"/>
        <v>Southampton  v  Wolves   9/5  21/10  13/8</v>
      </c>
      <c r="V8" s="31" t="str">
        <f t="shared" si="9"/>
        <v xml:space="preserve">Southampton 1-2 Wolves </v>
      </c>
      <c r="W8" t="str">
        <f t="shared" si="10"/>
        <v>9/5  21/10  13/8</v>
      </c>
      <c r="X8" s="17" t="str">
        <f t="shared" si="4"/>
        <v>9/5</v>
      </c>
      <c r="Y8" s="17" t="str">
        <f t="shared" si="5"/>
        <v>21/10</v>
      </c>
      <c r="Z8" s="17" t="str">
        <f t="shared" si="6"/>
        <v>13/8</v>
      </c>
      <c r="AA8" s="173">
        <f t="shared" si="11"/>
        <v>2.8</v>
      </c>
      <c r="AB8" s="173">
        <f t="shared" si="12"/>
        <v>3.1</v>
      </c>
      <c r="AC8" s="173">
        <f t="shared" si="13"/>
        <v>2.625</v>
      </c>
      <c r="AD8" s="11"/>
      <c r="AH8" s="11"/>
    </row>
    <row r="9" spans="1:39">
      <c r="A9" s="601">
        <v>8</v>
      </c>
      <c r="B9" s="26">
        <v>44968</v>
      </c>
      <c r="C9" s="163">
        <v>10</v>
      </c>
      <c r="D9" s="26" t="s">
        <v>591</v>
      </c>
      <c r="E9" s="26" t="s">
        <v>437</v>
      </c>
      <c r="F9" s="26" t="s">
        <v>576</v>
      </c>
      <c r="G9" s="163">
        <v>1</v>
      </c>
      <c r="H9" s="163">
        <v>1</v>
      </c>
      <c r="I9" s="163">
        <v>23</v>
      </c>
      <c r="J9" s="163">
        <v>10</v>
      </c>
      <c r="K9" s="163">
        <v>11</v>
      </c>
      <c r="L9" s="163">
        <v>5</v>
      </c>
      <c r="M9" s="163">
        <v>5</v>
      </c>
      <c r="N9" s="163">
        <v>4</v>
      </c>
      <c r="O9" s="106" t="b">
        <v>0</v>
      </c>
      <c r="P9" s="603" t="str">
        <f t="shared" si="7"/>
        <v/>
      </c>
      <c r="Q9" s="33" t="str">
        <f t="shared" si="0"/>
        <v>West Ham</v>
      </c>
      <c r="R9" s="33" t="str">
        <f t="shared" si="1"/>
        <v>Chelsea</v>
      </c>
      <c r="S9" s="32" t="str">
        <f t="shared" si="2"/>
        <v>1</v>
      </c>
      <c r="T9" s="33" t="str">
        <f t="shared" si="3"/>
        <v>1</v>
      </c>
      <c r="U9" s="28" t="str">
        <f t="shared" si="8"/>
        <v>West Ham  v  Chelsea   23/10  11/5  5/4</v>
      </c>
      <c r="V9" s="31" t="str">
        <f t="shared" si="9"/>
        <v xml:space="preserve">West Ham 1-1 Chelsea </v>
      </c>
      <c r="W9" t="str">
        <f t="shared" si="10"/>
        <v>23/10  11/5  5/4</v>
      </c>
      <c r="X9" s="17" t="str">
        <f t="shared" si="4"/>
        <v>23/10</v>
      </c>
      <c r="Y9" s="17" t="str">
        <f t="shared" si="5"/>
        <v>11/5</v>
      </c>
      <c r="Z9" s="17" t="str">
        <f t="shared" si="6"/>
        <v>5/4</v>
      </c>
      <c r="AA9" s="173">
        <f t="shared" si="11"/>
        <v>3.3</v>
      </c>
      <c r="AB9" s="173">
        <f t="shared" si="12"/>
        <v>3.2</v>
      </c>
      <c r="AC9" s="173">
        <f t="shared" si="13"/>
        <v>2.25</v>
      </c>
      <c r="AD9" s="11"/>
      <c r="AH9" s="11"/>
    </row>
    <row r="10" spans="1:39">
      <c r="A10" s="601">
        <v>9</v>
      </c>
      <c r="B10" s="26">
        <v>44968</v>
      </c>
      <c r="C10" s="163">
        <v>11</v>
      </c>
      <c r="D10" s="26" t="s">
        <v>595</v>
      </c>
      <c r="E10" s="26" t="s">
        <v>539</v>
      </c>
      <c r="F10" s="26" t="s">
        <v>596</v>
      </c>
      <c r="G10" s="163">
        <v>0</v>
      </c>
      <c r="H10" s="163">
        <v>0</v>
      </c>
      <c r="I10" s="163">
        <v>23</v>
      </c>
      <c r="J10" s="163">
        <v>20</v>
      </c>
      <c r="K10" s="163">
        <v>11</v>
      </c>
      <c r="L10" s="163">
        <v>5</v>
      </c>
      <c r="M10" s="163">
        <v>12</v>
      </c>
      <c r="N10" s="163">
        <v>5</v>
      </c>
      <c r="O10" s="106" t="b">
        <v>0</v>
      </c>
      <c r="P10" s="603" t="str">
        <f t="shared" si="7"/>
        <v/>
      </c>
      <c r="Q10" s="33" t="str">
        <f t="shared" si="0"/>
        <v>Blackpool</v>
      </c>
      <c r="R10" s="33" t="str">
        <f t="shared" si="1"/>
        <v>Rotherham</v>
      </c>
      <c r="S10" s="32" t="str">
        <f t="shared" si="2"/>
        <v>0</v>
      </c>
      <c r="T10" s="33" t="str">
        <f t="shared" si="3"/>
        <v>0</v>
      </c>
      <c r="U10" s="28" t="str">
        <f t="shared" si="8"/>
        <v>Blackpool  v  Rotherham   23/20  11/5  12/5</v>
      </c>
      <c r="V10" s="31" t="str">
        <f t="shared" si="9"/>
        <v xml:space="preserve">Blackpool 0-0 Rotherham </v>
      </c>
      <c r="W10" t="str">
        <f t="shared" si="10"/>
        <v>23/20  11/5  12/5</v>
      </c>
      <c r="X10" s="17" t="str">
        <f t="shared" si="4"/>
        <v>23/20</v>
      </c>
      <c r="Y10" s="17" t="str">
        <f t="shared" si="5"/>
        <v>11/5</v>
      </c>
      <c r="Z10" s="17" t="str">
        <f t="shared" si="6"/>
        <v>12/5</v>
      </c>
      <c r="AA10" s="173">
        <f t="shared" si="11"/>
        <v>2.15</v>
      </c>
      <c r="AB10" s="173">
        <f t="shared" si="12"/>
        <v>3.2</v>
      </c>
      <c r="AC10" s="173">
        <f t="shared" si="13"/>
        <v>3.4</v>
      </c>
      <c r="AD10" s="11"/>
      <c r="AH10" s="11"/>
    </row>
    <row r="11" spans="1:39">
      <c r="A11" s="601">
        <v>10</v>
      </c>
      <c r="B11" s="26">
        <v>44968</v>
      </c>
      <c r="C11" s="163">
        <v>11</v>
      </c>
      <c r="D11" s="26" t="s">
        <v>595</v>
      </c>
      <c r="E11" s="26" t="s">
        <v>597</v>
      </c>
      <c r="F11" s="26" t="s">
        <v>598</v>
      </c>
      <c r="G11" s="163">
        <v>1</v>
      </c>
      <c r="H11" s="163">
        <v>0</v>
      </c>
      <c r="I11" s="163">
        <v>2</v>
      </c>
      <c r="J11" s="163">
        <v>1</v>
      </c>
      <c r="K11" s="163">
        <v>23</v>
      </c>
      <c r="L11" s="163">
        <v>10</v>
      </c>
      <c r="M11" s="163">
        <v>13</v>
      </c>
      <c r="N11" s="163">
        <v>10</v>
      </c>
      <c r="O11" s="106" t="b">
        <v>0</v>
      </c>
      <c r="P11" s="603" t="str">
        <f t="shared" si="7"/>
        <v/>
      </c>
      <c r="Q11" s="33" t="str">
        <f t="shared" si="0"/>
        <v>Bristol C</v>
      </c>
      <c r="R11" s="33" t="str">
        <f t="shared" si="1"/>
        <v>Norwich</v>
      </c>
      <c r="S11" s="32" t="str">
        <f t="shared" si="2"/>
        <v>1</v>
      </c>
      <c r="T11" s="33" t="str">
        <f t="shared" si="3"/>
        <v>0</v>
      </c>
      <c r="U11" s="28" t="str">
        <f t="shared" si="8"/>
        <v>Bristol C  v  Norwich   2/1  23/10  13/10</v>
      </c>
      <c r="V11" s="31" t="str">
        <f t="shared" si="9"/>
        <v xml:space="preserve">Bristol C 1-0 Norwich </v>
      </c>
      <c r="W11" t="str">
        <f t="shared" si="10"/>
        <v>2/1  23/10  13/10</v>
      </c>
      <c r="X11" s="17" t="str">
        <f t="shared" si="4"/>
        <v>2/1</v>
      </c>
      <c r="Y11" s="17" t="str">
        <f t="shared" si="5"/>
        <v>23/10</v>
      </c>
      <c r="Z11" s="17" t="str">
        <f t="shared" si="6"/>
        <v>13/10</v>
      </c>
      <c r="AA11" s="173">
        <f t="shared" si="11"/>
        <v>3</v>
      </c>
      <c r="AB11" s="173">
        <f t="shared" si="12"/>
        <v>3.3</v>
      </c>
      <c r="AC11" s="173">
        <f t="shared" si="13"/>
        <v>2.2999999999999998</v>
      </c>
      <c r="AD11" s="11"/>
      <c r="AH11" s="11"/>
    </row>
    <row r="12" spans="1:39">
      <c r="A12" s="601">
        <v>11</v>
      </c>
      <c r="B12" s="26">
        <v>44968</v>
      </c>
      <c r="C12" s="163">
        <v>11</v>
      </c>
      <c r="D12" s="26" t="s">
        <v>595</v>
      </c>
      <c r="E12" s="26" t="s">
        <v>533</v>
      </c>
      <c r="F12" s="26" t="s">
        <v>536</v>
      </c>
      <c r="G12" s="163">
        <v>3</v>
      </c>
      <c r="H12" s="163">
        <v>0</v>
      </c>
      <c r="I12" s="163">
        <v>1</v>
      </c>
      <c r="J12" s="163">
        <v>2</v>
      </c>
      <c r="K12" s="163">
        <v>29</v>
      </c>
      <c r="L12" s="163">
        <v>10</v>
      </c>
      <c r="M12" s="163">
        <v>11</v>
      </c>
      <c r="N12" s="163">
        <v>2</v>
      </c>
      <c r="O12" s="106" t="b">
        <v>0</v>
      </c>
      <c r="P12" s="603" t="str">
        <f t="shared" si="7"/>
        <v/>
      </c>
      <c r="Q12" s="33" t="str">
        <f t="shared" si="0"/>
        <v>Burnley</v>
      </c>
      <c r="R12" s="33" t="str">
        <f t="shared" si="1"/>
        <v>Preston</v>
      </c>
      <c r="S12" s="32" t="str">
        <f t="shared" si="2"/>
        <v>3</v>
      </c>
      <c r="T12" s="33" t="str">
        <f t="shared" si="3"/>
        <v>0</v>
      </c>
      <c r="U12" s="28" t="str">
        <f t="shared" si="8"/>
        <v>Burnley  v  Preston   1/2  29/10  11/2</v>
      </c>
      <c r="V12" s="31" t="str">
        <f t="shared" si="9"/>
        <v xml:space="preserve">Burnley 3-0 Preston </v>
      </c>
      <c r="W12" t="str">
        <f t="shared" si="10"/>
        <v>1/2  29/10  11/2</v>
      </c>
      <c r="X12" s="17" t="str">
        <f t="shared" si="4"/>
        <v>1/2</v>
      </c>
      <c r="Y12" s="17" t="str">
        <f t="shared" si="5"/>
        <v>29/10</v>
      </c>
      <c r="Z12" s="17" t="str">
        <f t="shared" si="6"/>
        <v>11/2</v>
      </c>
      <c r="AA12" s="173">
        <f t="shared" si="11"/>
        <v>1.5</v>
      </c>
      <c r="AB12" s="173">
        <f t="shared" si="12"/>
        <v>3.9</v>
      </c>
      <c r="AC12" s="173">
        <f t="shared" si="13"/>
        <v>6.5</v>
      </c>
      <c r="AD12" s="11"/>
      <c r="AH12" s="11"/>
    </row>
    <row r="13" spans="1:39">
      <c r="A13" s="601">
        <v>12</v>
      </c>
      <c r="B13" s="26">
        <v>44968</v>
      </c>
      <c r="C13" s="163">
        <v>11</v>
      </c>
      <c r="D13" s="26" t="s">
        <v>595</v>
      </c>
      <c r="E13" s="26" t="s">
        <v>581</v>
      </c>
      <c r="F13" s="26" t="s">
        <v>534</v>
      </c>
      <c r="G13" s="163">
        <v>1</v>
      </c>
      <c r="H13" s="163">
        <v>3</v>
      </c>
      <c r="I13" s="163">
        <v>12</v>
      </c>
      <c r="J13" s="163">
        <v>5</v>
      </c>
      <c r="K13" s="163">
        <v>9</v>
      </c>
      <c r="L13" s="163">
        <v>4</v>
      </c>
      <c r="M13" s="163">
        <v>23</v>
      </c>
      <c r="N13" s="163">
        <v>20</v>
      </c>
      <c r="O13" s="106" t="b">
        <v>0</v>
      </c>
      <c r="P13" s="603" t="str">
        <f t="shared" si="7"/>
        <v/>
      </c>
      <c r="Q13" s="33" t="str">
        <f t="shared" si="0"/>
        <v>Cardiff</v>
      </c>
      <c r="R13" s="33" t="str">
        <f t="shared" si="1"/>
        <v>Middlesbro</v>
      </c>
      <c r="S13" s="32" t="str">
        <f t="shared" si="2"/>
        <v>1</v>
      </c>
      <c r="T13" s="33" t="str">
        <f t="shared" si="3"/>
        <v>3</v>
      </c>
      <c r="U13" s="28" t="str">
        <f t="shared" si="8"/>
        <v>Cardiff  v  Middlesbro   12/5  9/4  23/20</v>
      </c>
      <c r="V13" s="31" t="str">
        <f t="shared" si="9"/>
        <v xml:space="preserve">Cardiff 1-3 Middlesbro </v>
      </c>
      <c r="W13" t="str">
        <f t="shared" si="10"/>
        <v>12/5  9/4  23/20</v>
      </c>
      <c r="X13" s="17" t="str">
        <f t="shared" si="4"/>
        <v>12/5</v>
      </c>
      <c r="Y13" s="17" t="str">
        <f t="shared" si="5"/>
        <v>9/4</v>
      </c>
      <c r="Z13" s="17" t="str">
        <f t="shared" si="6"/>
        <v>23/20</v>
      </c>
      <c r="AA13" s="173">
        <f t="shared" si="11"/>
        <v>3.4</v>
      </c>
      <c r="AB13" s="173">
        <f t="shared" si="12"/>
        <v>3.25</v>
      </c>
      <c r="AC13" s="173">
        <f t="shared" si="13"/>
        <v>2.15</v>
      </c>
      <c r="AD13" s="11"/>
      <c r="AH13" s="11"/>
    </row>
    <row r="14" spans="1:39">
      <c r="A14" s="601">
        <v>13</v>
      </c>
      <c r="B14" s="26">
        <v>44968</v>
      </c>
      <c r="C14" s="163">
        <v>11</v>
      </c>
      <c r="D14" s="26" t="s">
        <v>595</v>
      </c>
      <c r="E14" s="22" t="s">
        <v>599</v>
      </c>
      <c r="F14" s="22" t="s">
        <v>554</v>
      </c>
      <c r="G14" s="163">
        <v>1</v>
      </c>
      <c r="H14" s="163">
        <v>1</v>
      </c>
      <c r="I14" s="163">
        <v>6</v>
      </c>
      <c r="J14" s="163">
        <v>5</v>
      </c>
      <c r="K14" s="163">
        <v>11</v>
      </c>
      <c r="L14" s="163">
        <v>5</v>
      </c>
      <c r="M14" s="163">
        <v>9</v>
      </c>
      <c r="N14" s="163">
        <v>4</v>
      </c>
      <c r="O14" s="105" t="b">
        <v>0</v>
      </c>
      <c r="P14" s="603" t="str">
        <f t="shared" si="7"/>
        <v/>
      </c>
      <c r="Q14" s="33" t="str">
        <f t="shared" si="0"/>
        <v>Coventry</v>
      </c>
      <c r="R14" s="33" t="str">
        <f t="shared" si="1"/>
        <v>Luton</v>
      </c>
      <c r="S14" s="32" t="str">
        <f t="shared" si="2"/>
        <v>1</v>
      </c>
      <c r="T14" s="33" t="str">
        <f t="shared" si="3"/>
        <v>1</v>
      </c>
      <c r="U14" s="28" t="str">
        <f t="shared" si="8"/>
        <v>Coventry  v  Luton   6/5  11/5  9/4</v>
      </c>
      <c r="V14" s="31" t="str">
        <f t="shared" si="9"/>
        <v xml:space="preserve">Coventry 1-1 Luton </v>
      </c>
      <c r="W14" t="str">
        <f t="shared" si="10"/>
        <v>6/5  11/5  9/4</v>
      </c>
      <c r="X14" s="17" t="str">
        <f t="shared" si="4"/>
        <v>6/5</v>
      </c>
      <c r="Y14" s="17" t="str">
        <f t="shared" si="5"/>
        <v>11/5</v>
      </c>
      <c r="Z14" s="17" t="str">
        <f t="shared" si="6"/>
        <v>9/4</v>
      </c>
      <c r="AA14" s="173">
        <f t="shared" si="11"/>
        <v>2.2000000000000002</v>
      </c>
      <c r="AB14" s="173">
        <f t="shared" si="12"/>
        <v>3.2</v>
      </c>
      <c r="AC14" s="173">
        <f t="shared" si="13"/>
        <v>3.25</v>
      </c>
      <c r="AD14" s="11"/>
      <c r="AH14" s="11"/>
    </row>
    <row r="15" spans="1:39">
      <c r="A15" s="601">
        <v>14</v>
      </c>
      <c r="B15" s="26">
        <v>44968</v>
      </c>
      <c r="C15" s="163">
        <v>11</v>
      </c>
      <c r="D15" s="26" t="s">
        <v>595</v>
      </c>
      <c r="E15" s="26" t="s">
        <v>532</v>
      </c>
      <c r="F15" s="22" t="s">
        <v>600</v>
      </c>
      <c r="G15" s="163">
        <v>1</v>
      </c>
      <c r="H15" s="163">
        <v>2</v>
      </c>
      <c r="I15" s="163">
        <v>8</v>
      </c>
      <c r="J15" s="163">
        <v>5</v>
      </c>
      <c r="K15" s="163">
        <v>11</v>
      </c>
      <c r="L15" s="163">
        <v>5</v>
      </c>
      <c r="M15" s="163">
        <v>7</v>
      </c>
      <c r="N15" s="163">
        <v>4</v>
      </c>
      <c r="O15" s="105" t="b">
        <v>0</v>
      </c>
      <c r="P15" s="603" t="str">
        <f t="shared" si="7"/>
        <v/>
      </c>
      <c r="Q15" s="33" t="str">
        <f t="shared" si="0"/>
        <v>QPR</v>
      </c>
      <c r="R15" s="33" t="str">
        <f t="shared" si="1"/>
        <v>Millwall</v>
      </c>
      <c r="S15" s="32" t="str">
        <f t="shared" si="2"/>
        <v>1</v>
      </c>
      <c r="T15" s="33" t="str">
        <f t="shared" si="3"/>
        <v>2</v>
      </c>
      <c r="U15" s="28" t="str">
        <f t="shared" si="8"/>
        <v>QPR  v  Millwall   8/5  11/5  7/4</v>
      </c>
      <c r="V15" s="31" t="str">
        <f t="shared" si="9"/>
        <v xml:space="preserve">QPR 1-2 Millwall </v>
      </c>
      <c r="W15" t="str">
        <f t="shared" si="10"/>
        <v>8/5  11/5  7/4</v>
      </c>
      <c r="X15" s="17" t="str">
        <f t="shared" si="4"/>
        <v>8/5</v>
      </c>
      <c r="Y15" s="17" t="str">
        <f t="shared" si="5"/>
        <v>11/5</v>
      </c>
      <c r="Z15" s="17" t="str">
        <f t="shared" si="6"/>
        <v>7/4</v>
      </c>
      <c r="AA15" s="173">
        <f t="shared" si="11"/>
        <v>2.6</v>
      </c>
      <c r="AB15" s="173">
        <f t="shared" si="12"/>
        <v>3.2</v>
      </c>
      <c r="AC15" s="173">
        <f t="shared" si="13"/>
        <v>2.75</v>
      </c>
      <c r="AD15" s="11"/>
      <c r="AH15" s="11"/>
    </row>
    <row r="16" spans="1:39">
      <c r="A16" s="601">
        <v>15</v>
      </c>
      <c r="B16" s="26">
        <v>44968</v>
      </c>
      <c r="C16" s="163">
        <v>11</v>
      </c>
      <c r="D16" s="26" t="s">
        <v>595</v>
      </c>
      <c r="E16" s="26" t="s">
        <v>434</v>
      </c>
      <c r="F16" s="26" t="s">
        <v>582</v>
      </c>
      <c r="G16" s="163">
        <v>3</v>
      </c>
      <c r="H16" s="163">
        <v>0</v>
      </c>
      <c r="I16" s="163">
        <v>5</v>
      </c>
      <c r="J16" s="163">
        <v>6</v>
      </c>
      <c r="K16" s="163">
        <v>13</v>
      </c>
      <c r="L16" s="163">
        <v>5</v>
      </c>
      <c r="M16" s="163">
        <v>3</v>
      </c>
      <c r="N16" s="163">
        <v>1</v>
      </c>
      <c r="O16" s="105" t="b">
        <v>0</v>
      </c>
      <c r="P16" s="603" t="str">
        <f t="shared" si="7"/>
        <v/>
      </c>
      <c r="Q16" s="33" t="str">
        <f t="shared" si="0"/>
        <v>Sheff U</v>
      </c>
      <c r="R16" s="33" t="str">
        <f t="shared" si="1"/>
        <v>Swansea</v>
      </c>
      <c r="S16" s="32" t="str">
        <f t="shared" si="2"/>
        <v>3</v>
      </c>
      <c r="T16" s="33" t="str">
        <f t="shared" si="3"/>
        <v>0</v>
      </c>
      <c r="U16" s="28" t="str">
        <f t="shared" si="8"/>
        <v>Sheff U  v  Swansea   5/6  13/5  3/1</v>
      </c>
      <c r="V16" s="31" t="str">
        <f t="shared" si="9"/>
        <v xml:space="preserve">Sheff U 3-0 Swansea </v>
      </c>
      <c r="W16" t="str">
        <f t="shared" si="10"/>
        <v>5/6  13/5  3/1</v>
      </c>
      <c r="X16" s="17" t="str">
        <f t="shared" si="4"/>
        <v>5/6</v>
      </c>
      <c r="Y16" s="17" t="str">
        <f t="shared" si="5"/>
        <v>13/5</v>
      </c>
      <c r="Z16" s="17" t="str">
        <f t="shared" si="6"/>
        <v>3/1</v>
      </c>
      <c r="AA16" s="173">
        <f t="shared" si="11"/>
        <v>1.8333333333333335</v>
      </c>
      <c r="AB16" s="173">
        <f t="shared" si="12"/>
        <v>3.6</v>
      </c>
      <c r="AC16" s="173">
        <f t="shared" si="13"/>
        <v>4</v>
      </c>
      <c r="AD16" s="11"/>
      <c r="AH16" s="11"/>
    </row>
    <row r="17" spans="1:34">
      <c r="A17" s="601">
        <v>16</v>
      </c>
      <c r="B17" s="26">
        <v>44968</v>
      </c>
      <c r="C17" s="163">
        <v>11</v>
      </c>
      <c r="D17" s="26" t="s">
        <v>595</v>
      </c>
      <c r="E17" s="26" t="s">
        <v>540</v>
      </c>
      <c r="F17" s="26" t="s">
        <v>531</v>
      </c>
      <c r="G17" s="163">
        <v>0</v>
      </c>
      <c r="H17" s="163">
        <v>0</v>
      </c>
      <c r="I17" s="163">
        <v>1</v>
      </c>
      <c r="J17" s="163">
        <v>1</v>
      </c>
      <c r="K17" s="163">
        <v>9</v>
      </c>
      <c r="L17" s="163">
        <v>4</v>
      </c>
      <c r="M17" s="163">
        <v>14</v>
      </c>
      <c r="N17" s="163">
        <v>5</v>
      </c>
      <c r="O17" s="105" t="b">
        <v>0</v>
      </c>
      <c r="P17" s="603" t="str">
        <f t="shared" si="7"/>
        <v/>
      </c>
      <c r="Q17" s="33" t="str">
        <f t="shared" si="0"/>
        <v>Stoke</v>
      </c>
      <c r="R17" s="33" t="str">
        <f t="shared" si="1"/>
        <v>Hull</v>
      </c>
      <c r="S17" s="32" t="str">
        <f t="shared" si="2"/>
        <v>0</v>
      </c>
      <c r="T17" s="33" t="str">
        <f t="shared" si="3"/>
        <v>0</v>
      </c>
      <c r="U17" s="28" t="str">
        <f t="shared" si="8"/>
        <v>Stoke  v  Hull   1/1  9/4  14/5</v>
      </c>
      <c r="V17" s="31" t="str">
        <f t="shared" si="9"/>
        <v xml:space="preserve">Stoke 0-0 Hull </v>
      </c>
      <c r="W17" t="str">
        <f t="shared" si="10"/>
        <v>1/1  9/4  14/5</v>
      </c>
      <c r="X17" s="17" t="str">
        <f t="shared" si="4"/>
        <v>1/1</v>
      </c>
      <c r="Y17" s="17" t="str">
        <f t="shared" si="5"/>
        <v>9/4</v>
      </c>
      <c r="Z17" s="17" t="str">
        <f t="shared" si="6"/>
        <v>14/5</v>
      </c>
      <c r="AA17" s="173">
        <f t="shared" si="11"/>
        <v>2</v>
      </c>
      <c r="AB17" s="173">
        <f t="shared" si="12"/>
        <v>3.25</v>
      </c>
      <c r="AC17" s="173">
        <f t="shared" si="13"/>
        <v>3.8</v>
      </c>
      <c r="AD17" s="11"/>
      <c r="AH17" s="11"/>
    </row>
    <row r="18" spans="1:34">
      <c r="A18" s="601">
        <v>17</v>
      </c>
      <c r="B18" s="26">
        <v>44968</v>
      </c>
      <c r="C18" s="163">
        <v>11</v>
      </c>
      <c r="D18" s="26" t="s">
        <v>595</v>
      </c>
      <c r="E18" s="22" t="s">
        <v>172</v>
      </c>
      <c r="F18" s="26" t="s">
        <v>535</v>
      </c>
      <c r="G18" s="163">
        <v>1</v>
      </c>
      <c r="H18" s="163">
        <v>0</v>
      </c>
      <c r="I18" s="163">
        <v>10</v>
      </c>
      <c r="J18" s="163">
        <v>11</v>
      </c>
      <c r="K18" s="163">
        <v>12</v>
      </c>
      <c r="L18" s="163">
        <v>5</v>
      </c>
      <c r="M18" s="163">
        <v>3</v>
      </c>
      <c r="N18" s="163">
        <v>1</v>
      </c>
      <c r="O18" s="105" t="b">
        <v>0</v>
      </c>
      <c r="P18" s="603" t="str">
        <f t="shared" si="7"/>
        <v/>
      </c>
      <c r="Q18" s="33" t="str">
        <f t="shared" si="0"/>
        <v>Sunderland</v>
      </c>
      <c r="R18" s="33" t="str">
        <f t="shared" si="1"/>
        <v>Reading</v>
      </c>
      <c r="S18" s="32" t="str">
        <f t="shared" si="2"/>
        <v>1</v>
      </c>
      <c r="T18" s="33" t="str">
        <f t="shared" si="3"/>
        <v>0</v>
      </c>
      <c r="U18" s="28" t="str">
        <f t="shared" si="8"/>
        <v>Sunderland  v  Reading   10/11  12/5  3/1</v>
      </c>
      <c r="V18" s="31" t="str">
        <f t="shared" si="9"/>
        <v xml:space="preserve">Sunderland 1-0 Reading </v>
      </c>
      <c r="W18" t="str">
        <f t="shared" si="10"/>
        <v>10/11  12/5  3/1</v>
      </c>
      <c r="X18" s="17" t="str">
        <f t="shared" si="4"/>
        <v>10/11</v>
      </c>
      <c r="Y18" s="17" t="str">
        <f t="shared" si="5"/>
        <v>12/5</v>
      </c>
      <c r="Z18" s="17" t="str">
        <f t="shared" si="6"/>
        <v>3/1</v>
      </c>
      <c r="AA18" s="173">
        <f t="shared" si="11"/>
        <v>1.9090909090909092</v>
      </c>
      <c r="AB18" s="173">
        <f t="shared" si="12"/>
        <v>3.4</v>
      </c>
      <c r="AC18" s="173">
        <f t="shared" si="13"/>
        <v>4</v>
      </c>
      <c r="AD18" s="11"/>
      <c r="AH18" s="11"/>
    </row>
    <row r="19" spans="1:34">
      <c r="A19" s="601">
        <v>18</v>
      </c>
      <c r="B19" s="26">
        <v>44968</v>
      </c>
      <c r="C19" s="163">
        <v>11</v>
      </c>
      <c r="D19" s="26" t="s">
        <v>595</v>
      </c>
      <c r="E19" s="26" t="s">
        <v>537</v>
      </c>
      <c r="F19" s="26" t="s">
        <v>601</v>
      </c>
      <c r="G19" s="163">
        <v>1</v>
      </c>
      <c r="H19" s="163">
        <v>1</v>
      </c>
      <c r="I19" s="163">
        <v>1</v>
      </c>
      <c r="J19" s="163">
        <v>1</v>
      </c>
      <c r="K19" s="163">
        <v>9</v>
      </c>
      <c r="L19" s="163">
        <v>4</v>
      </c>
      <c r="M19" s="163">
        <v>14</v>
      </c>
      <c r="N19" s="163">
        <v>5</v>
      </c>
      <c r="O19" s="106" t="b">
        <v>0</v>
      </c>
      <c r="P19" s="603" t="str">
        <f t="shared" si="7"/>
        <v/>
      </c>
      <c r="Q19" s="33" t="str">
        <f t="shared" si="0"/>
        <v>Watford</v>
      </c>
      <c r="R19" s="33" t="str">
        <f t="shared" si="1"/>
        <v>Blackburn</v>
      </c>
      <c r="S19" s="32" t="str">
        <f t="shared" si="2"/>
        <v>1</v>
      </c>
      <c r="T19" s="33" t="str">
        <f t="shared" si="3"/>
        <v>1</v>
      </c>
      <c r="U19" s="28" t="str">
        <f t="shared" si="8"/>
        <v>Watford  v  Blackburn   1/1  9/4  14/5</v>
      </c>
      <c r="V19" s="31" t="str">
        <f t="shared" si="9"/>
        <v xml:space="preserve">Watford 1-1 Blackburn </v>
      </c>
      <c r="W19" t="str">
        <f t="shared" si="10"/>
        <v>1/1  9/4  14/5</v>
      </c>
      <c r="X19" s="17" t="str">
        <f t="shared" si="4"/>
        <v>1/1</v>
      </c>
      <c r="Y19" s="17" t="str">
        <f t="shared" si="5"/>
        <v>9/4</v>
      </c>
      <c r="Z19" s="17" t="str">
        <f t="shared" si="6"/>
        <v>14/5</v>
      </c>
      <c r="AA19" s="173">
        <f t="shared" si="11"/>
        <v>2</v>
      </c>
      <c r="AB19" s="173">
        <f t="shared" si="12"/>
        <v>3.25</v>
      </c>
      <c r="AC19" s="173">
        <f t="shared" si="13"/>
        <v>3.8</v>
      </c>
      <c r="AD19" s="11"/>
      <c r="AH19" s="11"/>
    </row>
    <row r="20" spans="1:34">
      <c r="A20" s="601">
        <v>19</v>
      </c>
      <c r="B20" s="26">
        <v>44968</v>
      </c>
      <c r="C20" s="163">
        <v>11</v>
      </c>
      <c r="D20" s="26" t="s">
        <v>595</v>
      </c>
      <c r="E20" s="26" t="s">
        <v>357</v>
      </c>
      <c r="F20" s="26" t="s">
        <v>602</v>
      </c>
      <c r="G20" s="163">
        <v>1</v>
      </c>
      <c r="H20" s="163">
        <v>0</v>
      </c>
      <c r="I20" s="163">
        <v>11</v>
      </c>
      <c r="J20" s="163">
        <v>8</v>
      </c>
      <c r="K20" s="163">
        <v>21</v>
      </c>
      <c r="L20" s="163">
        <v>10</v>
      </c>
      <c r="M20" s="163">
        <v>21</v>
      </c>
      <c r="N20" s="163">
        <v>10</v>
      </c>
      <c r="O20" s="106" t="b">
        <v>0</v>
      </c>
      <c r="P20" s="603" t="str">
        <f t="shared" si="7"/>
        <v/>
      </c>
      <c r="Q20" s="33" t="str">
        <f t="shared" si="0"/>
        <v>Wigan</v>
      </c>
      <c r="R20" s="33" t="str">
        <f t="shared" si="1"/>
        <v>Huddersfield</v>
      </c>
      <c r="S20" s="32" t="str">
        <f t="shared" si="2"/>
        <v>1</v>
      </c>
      <c r="T20" s="33" t="str">
        <f t="shared" si="3"/>
        <v>0</v>
      </c>
      <c r="U20" s="28" t="str">
        <f t="shared" si="8"/>
        <v>Wigan  v  Huddersfield   11/8  21/10  21/10</v>
      </c>
      <c r="V20" s="31" t="str">
        <f t="shared" si="9"/>
        <v xml:space="preserve">Wigan 1-0 Huddersfield </v>
      </c>
      <c r="W20" t="str">
        <f t="shared" si="10"/>
        <v>11/8  21/10  21/10</v>
      </c>
      <c r="X20" s="17" t="str">
        <f t="shared" si="4"/>
        <v>11/8</v>
      </c>
      <c r="Y20" s="17" t="str">
        <f t="shared" si="5"/>
        <v>21/10</v>
      </c>
      <c r="Z20" s="17" t="str">
        <f t="shared" si="6"/>
        <v>21/10</v>
      </c>
      <c r="AA20" s="173">
        <f t="shared" si="11"/>
        <v>2.375</v>
      </c>
      <c r="AB20" s="173">
        <f t="shared" si="12"/>
        <v>3.1</v>
      </c>
      <c r="AC20" s="173">
        <f t="shared" si="13"/>
        <v>3.1</v>
      </c>
      <c r="AD20" s="11"/>
      <c r="AH20" s="11"/>
    </row>
    <row r="21" spans="1:34">
      <c r="A21" s="601">
        <v>20</v>
      </c>
      <c r="B21" s="26">
        <v>44968</v>
      </c>
      <c r="C21" s="163">
        <v>12</v>
      </c>
      <c r="D21" s="26" t="s">
        <v>603</v>
      </c>
      <c r="E21" s="26" t="s">
        <v>584</v>
      </c>
      <c r="F21" s="26" t="s">
        <v>548</v>
      </c>
      <c r="G21" s="163">
        <v>2</v>
      </c>
      <c r="H21" s="163">
        <v>0</v>
      </c>
      <c r="I21" s="163">
        <v>1</v>
      </c>
      <c r="J21" s="163">
        <v>2</v>
      </c>
      <c r="K21" s="163">
        <v>3</v>
      </c>
      <c r="L21" s="163">
        <v>1</v>
      </c>
      <c r="M21" s="163">
        <v>11</v>
      </c>
      <c r="N21" s="163">
        <v>2</v>
      </c>
      <c r="O21" s="105" t="b">
        <v>0</v>
      </c>
      <c r="P21" s="603" t="str">
        <f t="shared" si="7"/>
        <v/>
      </c>
      <c r="Q21" s="33" t="str">
        <f t="shared" si="0"/>
        <v>Barnsley</v>
      </c>
      <c r="R21" s="33" t="str">
        <f t="shared" si="1"/>
        <v>Cambridge</v>
      </c>
      <c r="S21" s="32" t="str">
        <f t="shared" si="2"/>
        <v>2</v>
      </c>
      <c r="T21" s="33" t="str">
        <f t="shared" si="3"/>
        <v>0</v>
      </c>
      <c r="U21" s="28" t="str">
        <f t="shared" si="8"/>
        <v>Barnsley  v  Cambridge   1/2  3/1  11/2</v>
      </c>
      <c r="V21" s="31" t="str">
        <f t="shared" si="9"/>
        <v xml:space="preserve">Barnsley 2-0 Cambridge </v>
      </c>
      <c r="W21" t="str">
        <f t="shared" si="10"/>
        <v>1/2  3/1  11/2</v>
      </c>
      <c r="X21" s="17" t="str">
        <f t="shared" si="4"/>
        <v>1/2</v>
      </c>
      <c r="Y21" s="17" t="str">
        <f t="shared" si="5"/>
        <v>3/1</v>
      </c>
      <c r="Z21" s="17" t="str">
        <f t="shared" si="6"/>
        <v>11/2</v>
      </c>
      <c r="AA21" s="173">
        <f t="shared" si="11"/>
        <v>1.5</v>
      </c>
      <c r="AB21" s="173">
        <f t="shared" si="12"/>
        <v>4</v>
      </c>
      <c r="AC21" s="173">
        <f t="shared" si="13"/>
        <v>6.5</v>
      </c>
      <c r="AD21" s="11"/>
      <c r="AH21" s="11"/>
    </row>
    <row r="22" spans="1:34">
      <c r="A22" s="601">
        <v>21</v>
      </c>
      <c r="B22" s="26">
        <v>44968</v>
      </c>
      <c r="C22" s="163">
        <v>12</v>
      </c>
      <c r="D22" s="26" t="s">
        <v>603</v>
      </c>
      <c r="E22" s="26" t="s">
        <v>604</v>
      </c>
      <c r="F22" s="26" t="s">
        <v>569</v>
      </c>
      <c r="G22" s="163">
        <v>1</v>
      </c>
      <c r="H22" s="163">
        <v>0</v>
      </c>
      <c r="I22" s="163">
        <v>6</v>
      </c>
      <c r="J22" s="163">
        <v>4</v>
      </c>
      <c r="K22" s="163">
        <v>23</v>
      </c>
      <c r="L22" s="163">
        <v>10</v>
      </c>
      <c r="M22" s="163">
        <v>17</v>
      </c>
      <c r="N22" s="163">
        <v>10</v>
      </c>
      <c r="O22" s="106" t="b">
        <v>0</v>
      </c>
      <c r="P22" s="603" t="str">
        <f t="shared" si="7"/>
        <v/>
      </c>
      <c r="Q22" s="33" t="str">
        <f t="shared" si="0"/>
        <v>Burton</v>
      </c>
      <c r="R22" s="33" t="str">
        <f t="shared" si="1"/>
        <v>Exeter</v>
      </c>
      <c r="S22" s="32" t="str">
        <f t="shared" si="2"/>
        <v>1</v>
      </c>
      <c r="T22" s="33" t="str">
        <f t="shared" si="3"/>
        <v>0</v>
      </c>
      <c r="U22" s="28" t="str">
        <f t="shared" si="8"/>
        <v>Burton  v  Exeter   6/4  23/10  17/10</v>
      </c>
      <c r="V22" s="31" t="str">
        <f t="shared" si="9"/>
        <v xml:space="preserve">Burton 1-0 Exeter </v>
      </c>
      <c r="W22" t="str">
        <f t="shared" si="10"/>
        <v>6/4  23/10  17/10</v>
      </c>
      <c r="X22" s="17" t="str">
        <f t="shared" si="4"/>
        <v>6/4</v>
      </c>
      <c r="Y22" s="17" t="str">
        <f t="shared" si="5"/>
        <v>23/10</v>
      </c>
      <c r="Z22" s="17" t="str">
        <f t="shared" si="6"/>
        <v>17/10</v>
      </c>
      <c r="AA22" s="173">
        <f t="shared" si="11"/>
        <v>2.5</v>
      </c>
      <c r="AB22" s="173">
        <f t="shared" si="12"/>
        <v>3.3</v>
      </c>
      <c r="AC22" s="173">
        <f t="shared" si="13"/>
        <v>2.7</v>
      </c>
      <c r="AD22" s="11"/>
      <c r="AH22" s="11"/>
    </row>
    <row r="23" spans="1:34">
      <c r="A23" s="601">
        <v>22</v>
      </c>
      <c r="B23" s="26">
        <v>44968</v>
      </c>
      <c r="C23" s="163">
        <v>12</v>
      </c>
      <c r="D23" s="26" t="s">
        <v>603</v>
      </c>
      <c r="E23" s="26" t="s">
        <v>605</v>
      </c>
      <c r="F23" s="26" t="s">
        <v>547</v>
      </c>
      <c r="G23" s="163">
        <v>1</v>
      </c>
      <c r="H23" s="163">
        <v>2</v>
      </c>
      <c r="I23" s="163">
        <v>1</v>
      </c>
      <c r="J23" s="163">
        <v>1</v>
      </c>
      <c r="K23" s="163">
        <v>12</v>
      </c>
      <c r="L23" s="163">
        <v>5</v>
      </c>
      <c r="M23" s="163">
        <v>13</v>
      </c>
      <c r="N23" s="163">
        <v>5</v>
      </c>
      <c r="O23" s="105" t="b">
        <v>0</v>
      </c>
      <c r="P23" s="603" t="str">
        <f t="shared" si="7"/>
        <v/>
      </c>
      <c r="Q23" s="33" t="str">
        <f t="shared" si="0"/>
        <v>Charlton</v>
      </c>
      <c r="R23" s="33" t="str">
        <f t="shared" si="1"/>
        <v>Fleetwood</v>
      </c>
      <c r="S23" s="32" t="str">
        <f t="shared" si="2"/>
        <v>1</v>
      </c>
      <c r="T23" s="33" t="str">
        <f t="shared" si="3"/>
        <v>2</v>
      </c>
      <c r="U23" s="28" t="str">
        <f t="shared" si="8"/>
        <v>Charlton  v  Fleetwood   1/1  12/5  13/5</v>
      </c>
      <c r="V23" s="31" t="str">
        <f t="shared" si="9"/>
        <v xml:space="preserve">Charlton 1-2 Fleetwood </v>
      </c>
      <c r="W23" t="str">
        <f t="shared" si="10"/>
        <v>1/1  12/5  13/5</v>
      </c>
      <c r="X23" s="17" t="str">
        <f t="shared" si="4"/>
        <v>1/1</v>
      </c>
      <c r="Y23" s="17" t="str">
        <f t="shared" si="5"/>
        <v>12/5</v>
      </c>
      <c r="Z23" s="17" t="str">
        <f t="shared" si="6"/>
        <v>13/5</v>
      </c>
      <c r="AA23" s="173">
        <f t="shared" si="11"/>
        <v>2</v>
      </c>
      <c r="AB23" s="173">
        <f t="shared" si="12"/>
        <v>3.4</v>
      </c>
      <c r="AC23" s="173">
        <f t="shared" si="13"/>
        <v>3.6</v>
      </c>
      <c r="AD23" s="11"/>
      <c r="AH23" s="11"/>
    </row>
    <row r="24" spans="1:34">
      <c r="A24" s="601">
        <v>23</v>
      </c>
      <c r="B24" s="26">
        <v>44968</v>
      </c>
      <c r="C24" s="163">
        <v>12</v>
      </c>
      <c r="D24" s="26" t="s">
        <v>603</v>
      </c>
      <c r="E24" s="26" t="s">
        <v>606</v>
      </c>
      <c r="F24" s="26" t="s">
        <v>607</v>
      </c>
      <c r="G24" s="163">
        <v>0</v>
      </c>
      <c r="H24" s="163">
        <v>0</v>
      </c>
      <c r="I24" s="163">
        <v>7</v>
      </c>
      <c r="J24" s="163">
        <v>5</v>
      </c>
      <c r="K24" s="163">
        <v>9</v>
      </c>
      <c r="L24" s="163">
        <v>4</v>
      </c>
      <c r="M24" s="163">
        <v>15</v>
      </c>
      <c r="N24" s="163">
        <v>8</v>
      </c>
      <c r="O24" s="105" t="b">
        <v>0</v>
      </c>
      <c r="P24" s="603" t="str">
        <f t="shared" si="7"/>
        <v/>
      </c>
      <c r="Q24" s="33" t="str">
        <f t="shared" si="0"/>
        <v>Cheltenham</v>
      </c>
      <c r="R24" s="33" t="str">
        <f t="shared" si="1"/>
        <v>Accrington</v>
      </c>
      <c r="S24" s="32" t="str">
        <f t="shared" si="2"/>
        <v>0</v>
      </c>
      <c r="T24" s="33" t="str">
        <f t="shared" si="3"/>
        <v>0</v>
      </c>
      <c r="U24" s="28" t="str">
        <f t="shared" si="8"/>
        <v>Cheltenham  v  Accrington   7/5  9/4  15/8</v>
      </c>
      <c r="V24" s="31" t="str">
        <f t="shared" si="9"/>
        <v xml:space="preserve">Cheltenham 0-0 Accrington </v>
      </c>
      <c r="W24" t="str">
        <f t="shared" si="10"/>
        <v>7/5  9/4  15/8</v>
      </c>
      <c r="X24" s="17" t="str">
        <f t="shared" si="4"/>
        <v>7/5</v>
      </c>
      <c r="Y24" s="17" t="str">
        <f t="shared" si="5"/>
        <v>9/4</v>
      </c>
      <c r="Z24" s="17" t="str">
        <f t="shared" si="6"/>
        <v>15/8</v>
      </c>
      <c r="AA24" s="173">
        <f t="shared" si="11"/>
        <v>2.4</v>
      </c>
      <c r="AB24" s="173">
        <f t="shared" si="12"/>
        <v>3.25</v>
      </c>
      <c r="AC24" s="173">
        <f t="shared" si="13"/>
        <v>2.875</v>
      </c>
      <c r="AD24" s="11"/>
      <c r="AH24" s="11"/>
    </row>
    <row r="25" spans="1:34">
      <c r="A25" s="601">
        <v>24</v>
      </c>
      <c r="B25" s="26">
        <v>44968</v>
      </c>
      <c r="C25" s="163">
        <v>12</v>
      </c>
      <c r="D25" s="26" t="s">
        <v>603</v>
      </c>
      <c r="E25" s="26" t="s">
        <v>608</v>
      </c>
      <c r="F25" s="26" t="s">
        <v>545</v>
      </c>
      <c r="G25" s="163">
        <v>2</v>
      </c>
      <c r="H25" s="163">
        <v>2</v>
      </c>
      <c r="I25" s="163">
        <v>11</v>
      </c>
      <c r="J25" s="163">
        <v>10</v>
      </c>
      <c r="K25" s="163">
        <v>23</v>
      </c>
      <c r="L25" s="163">
        <v>10</v>
      </c>
      <c r="M25" s="163">
        <v>12</v>
      </c>
      <c r="N25" s="163">
        <v>5</v>
      </c>
      <c r="O25" s="105" t="b">
        <v>0</v>
      </c>
      <c r="P25" s="603" t="str">
        <f t="shared" si="7"/>
        <v/>
      </c>
      <c r="Q25" s="33" t="str">
        <f t="shared" si="0"/>
        <v>Ipswich</v>
      </c>
      <c r="R25" s="33" t="str">
        <f t="shared" si="1"/>
        <v>Sheff W</v>
      </c>
      <c r="S25" s="32" t="str">
        <f t="shared" si="2"/>
        <v>2</v>
      </c>
      <c r="T25" s="33" t="str">
        <f t="shared" si="3"/>
        <v>2</v>
      </c>
      <c r="U25" s="28" t="str">
        <f t="shared" si="8"/>
        <v>Ipswich  v  Sheff W   11/10  23/10  12/5</v>
      </c>
      <c r="V25" s="31" t="str">
        <f t="shared" si="9"/>
        <v xml:space="preserve">Ipswich 2-2 Sheff W </v>
      </c>
      <c r="W25" t="str">
        <f t="shared" si="10"/>
        <v>11/10  23/10  12/5</v>
      </c>
      <c r="X25" s="17" t="str">
        <f t="shared" si="4"/>
        <v>11/10</v>
      </c>
      <c r="Y25" s="17" t="str">
        <f t="shared" si="5"/>
        <v>23/10</v>
      </c>
      <c r="Z25" s="17" t="str">
        <f t="shared" si="6"/>
        <v>12/5</v>
      </c>
      <c r="AA25" s="173">
        <f t="shared" si="11"/>
        <v>2.1</v>
      </c>
      <c r="AB25" s="173">
        <f t="shared" si="12"/>
        <v>3.3</v>
      </c>
      <c r="AC25" s="173">
        <f t="shared" si="13"/>
        <v>3.4</v>
      </c>
      <c r="AD25" s="11"/>
      <c r="AH25" s="11"/>
    </row>
    <row r="26" spans="1:34">
      <c r="A26" s="601">
        <v>25</v>
      </c>
      <c r="B26" s="26">
        <v>44968</v>
      </c>
      <c r="C26" s="163">
        <v>12</v>
      </c>
      <c r="D26" s="26" t="s">
        <v>603</v>
      </c>
      <c r="E26" s="26" t="s">
        <v>609</v>
      </c>
      <c r="F26" s="26" t="s">
        <v>541</v>
      </c>
      <c r="G26" s="163">
        <v>1</v>
      </c>
      <c r="H26" s="163">
        <v>0</v>
      </c>
      <c r="I26" s="163">
        <v>13</v>
      </c>
      <c r="J26" s="163">
        <v>10</v>
      </c>
      <c r="K26" s="163">
        <v>23</v>
      </c>
      <c r="L26" s="163">
        <v>10</v>
      </c>
      <c r="M26" s="163">
        <v>12</v>
      </c>
      <c r="N26" s="163">
        <v>5</v>
      </c>
      <c r="O26" s="106" t="b">
        <v>0</v>
      </c>
      <c r="P26" s="603" t="str">
        <f t="shared" si="7"/>
        <v/>
      </c>
      <c r="Q26" s="33" t="str">
        <f t="shared" si="0"/>
        <v>Lincoln</v>
      </c>
      <c r="R26" s="33" t="str">
        <f t="shared" si="1"/>
        <v>Bristol R</v>
      </c>
      <c r="S26" s="32" t="str">
        <f t="shared" si="2"/>
        <v>1</v>
      </c>
      <c r="T26" s="33" t="str">
        <f t="shared" si="3"/>
        <v>0</v>
      </c>
      <c r="U26" s="28" t="str">
        <f t="shared" si="8"/>
        <v>Lincoln  v  Bristol R   13/10  23/10  12/5</v>
      </c>
      <c r="V26" s="31" t="str">
        <f t="shared" si="9"/>
        <v xml:space="preserve">Lincoln 1-0 Bristol R </v>
      </c>
      <c r="W26" t="str">
        <f t="shared" si="10"/>
        <v>13/10  23/10  12/5</v>
      </c>
      <c r="X26" s="17" t="str">
        <f t="shared" si="4"/>
        <v>13/10</v>
      </c>
      <c r="Y26" s="17" t="str">
        <f t="shared" si="5"/>
        <v>23/10</v>
      </c>
      <c r="Z26" s="17" t="str">
        <f t="shared" si="6"/>
        <v>12/5</v>
      </c>
      <c r="AA26" s="173">
        <f t="shared" si="11"/>
        <v>2.2999999999999998</v>
      </c>
      <c r="AB26" s="173">
        <f t="shared" si="12"/>
        <v>3.3</v>
      </c>
      <c r="AC26" s="173">
        <f t="shared" si="13"/>
        <v>3.4</v>
      </c>
      <c r="AD26" s="11"/>
      <c r="AH26" s="11"/>
    </row>
    <row r="27" spans="1:34">
      <c r="A27" s="601">
        <v>26</v>
      </c>
      <c r="B27" s="26">
        <v>44968</v>
      </c>
      <c r="C27" s="163">
        <v>12</v>
      </c>
      <c r="D27" s="26" t="s">
        <v>603</v>
      </c>
      <c r="E27" s="26" t="s">
        <v>610</v>
      </c>
      <c r="F27" s="26" t="s">
        <v>611</v>
      </c>
      <c r="G27" s="163">
        <v>1</v>
      </c>
      <c r="H27" s="163">
        <v>1</v>
      </c>
      <c r="I27" s="163">
        <v>6</v>
      </c>
      <c r="J27" s="163">
        <v>4</v>
      </c>
      <c r="K27" s="163">
        <v>11</v>
      </c>
      <c r="L27" s="163">
        <v>5</v>
      </c>
      <c r="M27" s="163">
        <v>9</v>
      </c>
      <c r="N27" s="163">
        <v>5</v>
      </c>
      <c r="O27" s="105" t="b">
        <v>0</v>
      </c>
      <c r="P27" s="603" t="str">
        <f t="shared" si="7"/>
        <v/>
      </c>
      <c r="Q27" s="33" t="str">
        <f t="shared" si="0"/>
        <v>MK Dons</v>
      </c>
      <c r="R27" s="33" t="str">
        <f t="shared" si="1"/>
        <v>Oxford</v>
      </c>
      <c r="S27" s="32" t="str">
        <f t="shared" si="2"/>
        <v>1</v>
      </c>
      <c r="T27" s="33" t="str">
        <f t="shared" si="3"/>
        <v>1</v>
      </c>
      <c r="U27" s="28" t="str">
        <f t="shared" si="8"/>
        <v>MK Dons  v  Oxford   6/4  11/5  9/5</v>
      </c>
      <c r="V27" s="31" t="str">
        <f t="shared" si="9"/>
        <v xml:space="preserve">MK Dons 1-1 Oxford </v>
      </c>
      <c r="W27" t="str">
        <f t="shared" si="10"/>
        <v>6/4  11/5  9/5</v>
      </c>
      <c r="X27" s="17" t="str">
        <f t="shared" si="4"/>
        <v>6/4</v>
      </c>
      <c r="Y27" s="17" t="str">
        <f t="shared" si="5"/>
        <v>11/5</v>
      </c>
      <c r="Z27" s="17" t="str">
        <f t="shared" si="6"/>
        <v>9/5</v>
      </c>
      <c r="AA27" s="173">
        <f t="shared" si="11"/>
        <v>2.5</v>
      </c>
      <c r="AB27" s="173">
        <f t="shared" si="12"/>
        <v>3.2</v>
      </c>
      <c r="AC27" s="173">
        <f t="shared" si="13"/>
        <v>2.8</v>
      </c>
      <c r="AD27" s="11"/>
      <c r="AH27" s="11"/>
    </row>
    <row r="28" spans="1:34">
      <c r="A28" s="601">
        <v>27</v>
      </c>
      <c r="B28" s="26">
        <v>44968</v>
      </c>
      <c r="C28" s="163">
        <v>12</v>
      </c>
      <c r="D28" s="26" t="s">
        <v>603</v>
      </c>
      <c r="E28" s="22" t="s">
        <v>612</v>
      </c>
      <c r="F28" s="26" t="s">
        <v>549</v>
      </c>
      <c r="G28" s="163">
        <v>1</v>
      </c>
      <c r="H28" s="163">
        <v>1</v>
      </c>
      <c r="I28" s="163">
        <v>7</v>
      </c>
      <c r="J28" s="163">
        <v>5</v>
      </c>
      <c r="K28" s="163">
        <v>9</v>
      </c>
      <c r="L28" s="163">
        <v>4</v>
      </c>
      <c r="M28" s="163">
        <v>15</v>
      </c>
      <c r="N28" s="163">
        <v>8</v>
      </c>
      <c r="O28" s="106" t="b">
        <v>0</v>
      </c>
      <c r="P28" s="603" t="str">
        <f t="shared" si="7"/>
        <v/>
      </c>
      <c r="Q28" s="33" t="str">
        <f t="shared" si="0"/>
        <v>Morecambe</v>
      </c>
      <c r="R28" s="33" t="str">
        <f t="shared" si="1"/>
        <v>Forest Green</v>
      </c>
      <c r="S28" s="32" t="str">
        <f t="shared" si="2"/>
        <v>1</v>
      </c>
      <c r="T28" s="33" t="str">
        <f t="shared" si="3"/>
        <v>1</v>
      </c>
      <c r="U28" s="28" t="str">
        <f t="shared" si="8"/>
        <v>Morecambe  v  Forest Green   7/5  9/4  15/8</v>
      </c>
      <c r="V28" s="31" t="str">
        <f t="shared" si="9"/>
        <v xml:space="preserve">Morecambe 1-1 Forest Green </v>
      </c>
      <c r="W28" t="str">
        <f t="shared" si="10"/>
        <v>7/5  9/4  15/8</v>
      </c>
      <c r="X28" s="17" t="str">
        <f t="shared" si="4"/>
        <v>7/5</v>
      </c>
      <c r="Y28" s="17" t="str">
        <f t="shared" si="5"/>
        <v>9/4</v>
      </c>
      <c r="Z28" s="17" t="str">
        <f t="shared" si="6"/>
        <v>15/8</v>
      </c>
      <c r="AA28" s="173">
        <f t="shared" si="11"/>
        <v>2.4</v>
      </c>
      <c r="AB28" s="173">
        <f t="shared" si="12"/>
        <v>3.25</v>
      </c>
      <c r="AC28" s="173">
        <f t="shared" si="13"/>
        <v>2.875</v>
      </c>
      <c r="AD28" s="11"/>
      <c r="AH28" s="11"/>
    </row>
    <row r="29" spans="1:34">
      <c r="A29" s="601">
        <v>28</v>
      </c>
      <c r="B29" s="26">
        <v>44968</v>
      </c>
      <c r="C29" s="163">
        <v>12</v>
      </c>
      <c r="D29" s="26" t="s">
        <v>603</v>
      </c>
      <c r="E29" s="26" t="s">
        <v>574</v>
      </c>
      <c r="F29" s="26" t="s">
        <v>544</v>
      </c>
      <c r="G29" s="163">
        <v>0</v>
      </c>
      <c r="H29" s="163">
        <v>5</v>
      </c>
      <c r="I29" s="163">
        <v>11</v>
      </c>
      <c r="J29" s="163">
        <v>8</v>
      </c>
      <c r="K29" s="163">
        <v>9</v>
      </c>
      <c r="L29" s="163">
        <v>4</v>
      </c>
      <c r="M29" s="163">
        <v>2</v>
      </c>
      <c r="N29" s="163">
        <v>1</v>
      </c>
      <c r="O29" s="106" t="b">
        <v>0</v>
      </c>
      <c r="P29" s="603" t="str">
        <f t="shared" si="7"/>
        <v/>
      </c>
      <c r="Q29" s="33" t="str">
        <f t="shared" si="0"/>
        <v>Peterborough</v>
      </c>
      <c r="R29" s="33" t="str">
        <f t="shared" si="1"/>
        <v>Bolton</v>
      </c>
      <c r="S29" s="32" t="str">
        <f t="shared" si="2"/>
        <v>0</v>
      </c>
      <c r="T29" s="33" t="str">
        <f t="shared" si="3"/>
        <v>5</v>
      </c>
      <c r="U29" s="28" t="str">
        <f t="shared" si="8"/>
        <v>Peterborough  v  Bolton   11/8  9/4  2/1</v>
      </c>
      <c r="V29" s="31" t="str">
        <f t="shared" si="9"/>
        <v xml:space="preserve">Peterborough 0-5 Bolton </v>
      </c>
      <c r="W29" t="str">
        <f t="shared" si="10"/>
        <v>11/8  9/4  2/1</v>
      </c>
      <c r="X29" s="17" t="str">
        <f t="shared" si="4"/>
        <v>11/8</v>
      </c>
      <c r="Y29" s="17" t="str">
        <f t="shared" si="5"/>
        <v>9/4</v>
      </c>
      <c r="Z29" s="17" t="str">
        <f t="shared" si="6"/>
        <v>2/1</v>
      </c>
      <c r="AA29" s="173">
        <f t="shared" si="11"/>
        <v>2.375</v>
      </c>
      <c r="AB29" s="173">
        <f t="shared" si="12"/>
        <v>3.25</v>
      </c>
      <c r="AC29" s="173">
        <f t="shared" si="13"/>
        <v>3</v>
      </c>
      <c r="AD29" s="11"/>
      <c r="AH29" s="11"/>
    </row>
    <row r="30" spans="1:34">
      <c r="A30" s="601">
        <v>29</v>
      </c>
      <c r="B30" s="26">
        <v>44968</v>
      </c>
      <c r="C30" s="163">
        <v>12</v>
      </c>
      <c r="D30" s="26" t="s">
        <v>603</v>
      </c>
      <c r="E30" s="26" t="s">
        <v>585</v>
      </c>
      <c r="F30" s="26" t="s">
        <v>424</v>
      </c>
      <c r="G30" s="163">
        <v>3</v>
      </c>
      <c r="H30" s="163">
        <v>1</v>
      </c>
      <c r="I30" s="163">
        <v>21</v>
      </c>
      <c r="J30" s="163">
        <v>20</v>
      </c>
      <c r="K30" s="163">
        <v>12</v>
      </c>
      <c r="L30" s="163">
        <v>5</v>
      </c>
      <c r="M30" s="163">
        <v>5</v>
      </c>
      <c r="N30" s="163">
        <v>2</v>
      </c>
      <c r="O30" s="105" t="b">
        <v>0</v>
      </c>
      <c r="P30" s="603" t="str">
        <f t="shared" si="7"/>
        <v/>
      </c>
      <c r="Q30" s="33" t="str">
        <f t="shared" si="0"/>
        <v>Plymouth</v>
      </c>
      <c r="R30" s="33" t="str">
        <f t="shared" si="1"/>
        <v>Portsmouth</v>
      </c>
      <c r="S30" s="32" t="str">
        <f t="shared" si="2"/>
        <v>3</v>
      </c>
      <c r="T30" s="33" t="str">
        <f t="shared" si="3"/>
        <v>1</v>
      </c>
      <c r="U30" s="28" t="str">
        <f t="shared" si="8"/>
        <v>Plymouth  v  Portsmouth   21/20  12/5  5/2</v>
      </c>
      <c r="V30" s="31" t="str">
        <f t="shared" si="9"/>
        <v xml:space="preserve">Plymouth 3-1 Portsmouth </v>
      </c>
      <c r="W30" t="str">
        <f t="shared" si="10"/>
        <v>21/20  12/5  5/2</v>
      </c>
      <c r="X30" s="17" t="str">
        <f t="shared" si="4"/>
        <v>21/20</v>
      </c>
      <c r="Y30" s="17" t="str">
        <f t="shared" si="5"/>
        <v>12/5</v>
      </c>
      <c r="Z30" s="17" t="str">
        <f t="shared" si="6"/>
        <v>5/2</v>
      </c>
      <c r="AA30" s="173">
        <f t="shared" si="11"/>
        <v>2.0499999999999998</v>
      </c>
      <c r="AB30" s="173">
        <f t="shared" si="12"/>
        <v>3.4</v>
      </c>
      <c r="AC30" s="173">
        <f t="shared" si="13"/>
        <v>3.5</v>
      </c>
      <c r="AD30" s="11"/>
      <c r="AH30" s="11"/>
    </row>
    <row r="31" spans="1:34">
      <c r="A31" s="601">
        <v>30</v>
      </c>
      <c r="B31" s="26">
        <v>44968</v>
      </c>
      <c r="C31" s="163">
        <v>12</v>
      </c>
      <c r="D31" s="26" t="s">
        <v>603</v>
      </c>
      <c r="E31" s="26" t="s">
        <v>522</v>
      </c>
      <c r="F31" s="26" t="s">
        <v>573</v>
      </c>
      <c r="G31" s="163">
        <v>3</v>
      </c>
      <c r="H31" s="163">
        <v>2</v>
      </c>
      <c r="I31" s="163">
        <v>5</v>
      </c>
      <c r="J31" s="163">
        <v>4</v>
      </c>
      <c r="K31" s="163">
        <v>11</v>
      </c>
      <c r="L31" s="163">
        <v>5</v>
      </c>
      <c r="M31" s="163">
        <v>11</v>
      </c>
      <c r="N31" s="163">
        <v>5</v>
      </c>
      <c r="O31" s="105" t="b">
        <v>0</v>
      </c>
      <c r="P31" s="603" t="str">
        <f t="shared" si="7"/>
        <v/>
      </c>
      <c r="Q31" s="33" t="str">
        <f t="shared" si="0"/>
        <v>Shrewsbury</v>
      </c>
      <c r="R31" s="33" t="str">
        <f t="shared" si="1"/>
        <v>Port Vale</v>
      </c>
      <c r="S31" s="32" t="str">
        <f t="shared" si="2"/>
        <v>3</v>
      </c>
      <c r="T31" s="33" t="str">
        <f t="shared" si="3"/>
        <v>2</v>
      </c>
      <c r="U31" s="28" t="str">
        <f t="shared" si="8"/>
        <v>Shrewsbury  v  Port Vale   5/4  11/5  11/5</v>
      </c>
      <c r="V31" s="31" t="str">
        <f t="shared" si="9"/>
        <v xml:space="preserve">Shrewsbury 3-2 Port Vale </v>
      </c>
      <c r="W31" t="str">
        <f t="shared" si="10"/>
        <v>5/4  11/5  11/5</v>
      </c>
      <c r="X31" s="17" t="str">
        <f t="shared" si="4"/>
        <v>5/4</v>
      </c>
      <c r="Y31" s="17" t="str">
        <f t="shared" si="5"/>
        <v>11/5</v>
      </c>
      <c r="Z31" s="17" t="str">
        <f t="shared" si="6"/>
        <v>11/5</v>
      </c>
      <c r="AA31" s="173">
        <f t="shared" si="11"/>
        <v>2.25</v>
      </c>
      <c r="AB31" s="173">
        <f t="shared" si="12"/>
        <v>3.2</v>
      </c>
      <c r="AC31" s="173">
        <f t="shared" si="13"/>
        <v>3.2</v>
      </c>
      <c r="AD31" s="11"/>
      <c r="AH31" s="11"/>
    </row>
    <row r="32" spans="1:34">
      <c r="A32" s="601">
        <v>31</v>
      </c>
      <c r="B32" s="26">
        <v>44968</v>
      </c>
      <c r="C32" s="163">
        <v>12</v>
      </c>
      <c r="D32" s="26" t="s">
        <v>603</v>
      </c>
      <c r="E32" s="26" t="s">
        <v>436</v>
      </c>
      <c r="F32" s="26" t="s">
        <v>583</v>
      </c>
      <c r="G32" s="163">
        <v>3</v>
      </c>
      <c r="H32" s="163">
        <v>2</v>
      </c>
      <c r="I32" s="163">
        <v>19</v>
      </c>
      <c r="J32" s="163">
        <v>10</v>
      </c>
      <c r="K32" s="163">
        <v>12</v>
      </c>
      <c r="L32" s="163">
        <v>5</v>
      </c>
      <c r="M32" s="163">
        <v>13</v>
      </c>
      <c r="N32" s="163">
        <v>10</v>
      </c>
      <c r="O32" s="105" t="b">
        <v>0</v>
      </c>
      <c r="P32" s="603" t="str">
        <f t="shared" si="7"/>
        <v/>
      </c>
      <c r="Q32" s="33" t="str">
        <f t="shared" si="0"/>
        <v>Wycombe</v>
      </c>
      <c r="R32" s="33" t="str">
        <f t="shared" si="1"/>
        <v>Derby</v>
      </c>
      <c r="S32" s="32" t="str">
        <f t="shared" si="2"/>
        <v>3</v>
      </c>
      <c r="T32" s="33" t="str">
        <f t="shared" si="3"/>
        <v>2</v>
      </c>
      <c r="U32" s="28" t="str">
        <f t="shared" si="8"/>
        <v>Wycombe  v  Derby   19/10  12/5  13/10</v>
      </c>
      <c r="V32" s="31" t="str">
        <f t="shared" si="9"/>
        <v xml:space="preserve">Wycombe 3-2 Derby </v>
      </c>
      <c r="W32" t="str">
        <f t="shared" si="10"/>
        <v>19/10  12/5  13/10</v>
      </c>
      <c r="X32" s="17" t="str">
        <f t="shared" si="4"/>
        <v>19/10</v>
      </c>
      <c r="Y32" s="17" t="str">
        <f t="shared" si="5"/>
        <v>12/5</v>
      </c>
      <c r="Z32" s="17" t="str">
        <f t="shared" si="6"/>
        <v>13/10</v>
      </c>
      <c r="AA32" s="173">
        <f t="shared" si="11"/>
        <v>2.9</v>
      </c>
      <c r="AB32" s="173">
        <f t="shared" si="12"/>
        <v>3.4</v>
      </c>
      <c r="AC32" s="173">
        <f t="shared" si="13"/>
        <v>2.2999999999999998</v>
      </c>
      <c r="AD32" s="11"/>
      <c r="AH32" s="11"/>
    </row>
    <row r="33" spans="1:34">
      <c r="A33" s="601">
        <v>32</v>
      </c>
      <c r="B33" s="26">
        <v>44968</v>
      </c>
      <c r="C33" s="163">
        <v>13</v>
      </c>
      <c r="D33" s="26" t="s">
        <v>613</v>
      </c>
      <c r="E33" s="26" t="s">
        <v>614</v>
      </c>
      <c r="F33" s="22" t="s">
        <v>615</v>
      </c>
      <c r="G33" s="163">
        <v>0</v>
      </c>
      <c r="H33" s="163">
        <v>1</v>
      </c>
      <c r="I33" s="163">
        <v>13</v>
      </c>
      <c r="J33" s="163">
        <v>10</v>
      </c>
      <c r="K33" s="163">
        <v>21</v>
      </c>
      <c r="L33" s="163">
        <v>10</v>
      </c>
      <c r="M33" s="163">
        <v>9</v>
      </c>
      <c r="N33" s="163">
        <v>4</v>
      </c>
      <c r="O33" s="106" t="b">
        <v>0</v>
      </c>
      <c r="P33" s="603" t="str">
        <f t="shared" si="7"/>
        <v/>
      </c>
      <c r="Q33" s="33" t="str">
        <f t="shared" ref="Q33:Q47" si="14">TRIM(E33)</f>
        <v>Barrow</v>
      </c>
      <c r="R33" s="33" t="str">
        <f t="shared" ref="R33:R47" si="15">TRIM(F33)</f>
        <v>Newport</v>
      </c>
      <c r="S33" s="32" t="str">
        <f t="shared" ref="S33:S47" si="16">TRIM(G33)</f>
        <v>0</v>
      </c>
      <c r="T33" s="33" t="str">
        <f t="shared" ref="T33:T47" si="17">TRIM(H33)</f>
        <v>1</v>
      </c>
      <c r="U33" s="28" t="str">
        <f t="shared" si="8"/>
        <v>Barrow  v  Newport   13/10  21/10  9/4</v>
      </c>
      <c r="V33" s="31" t="str">
        <f t="shared" si="9"/>
        <v xml:space="preserve">Barrow 0-1 Newport </v>
      </c>
      <c r="W33" t="str">
        <f t="shared" si="10"/>
        <v>13/10  21/10  9/4</v>
      </c>
      <c r="X33" s="17" t="str">
        <f t="shared" ref="X33:X47" si="18">CONCATENATE(I33,"/",J33)</f>
        <v>13/10</v>
      </c>
      <c r="Y33" s="17" t="str">
        <f t="shared" ref="Y33:Y47" si="19">CONCATENATE(K33,"/",L33)</f>
        <v>21/10</v>
      </c>
      <c r="Z33" s="17" t="str">
        <f t="shared" ref="Z33:Z47" si="20">CONCATENATE(M33,"/",N33)</f>
        <v>9/4</v>
      </c>
      <c r="AA33" s="173">
        <f t="shared" si="11"/>
        <v>2.2999999999999998</v>
      </c>
      <c r="AB33" s="173">
        <f t="shared" si="12"/>
        <v>3.1</v>
      </c>
      <c r="AC33" s="173">
        <f t="shared" si="13"/>
        <v>3.25</v>
      </c>
      <c r="AD33" s="11"/>
      <c r="AH33" s="11"/>
    </row>
    <row r="34" spans="1:34">
      <c r="A34" s="601">
        <v>33</v>
      </c>
      <c r="B34" s="26">
        <v>44968</v>
      </c>
      <c r="C34" s="163">
        <v>13</v>
      </c>
      <c r="D34" s="26" t="s">
        <v>613</v>
      </c>
      <c r="E34" s="26" t="s">
        <v>616</v>
      </c>
      <c r="F34" s="26" t="s">
        <v>586</v>
      </c>
      <c r="G34" s="163">
        <v>2</v>
      </c>
      <c r="H34" s="163">
        <v>2</v>
      </c>
      <c r="I34" s="163">
        <v>7</v>
      </c>
      <c r="J34" s="163">
        <v>5</v>
      </c>
      <c r="K34" s="163">
        <v>21</v>
      </c>
      <c r="L34" s="163">
        <v>10</v>
      </c>
      <c r="M34" s="163">
        <v>2</v>
      </c>
      <c r="N34" s="163">
        <v>1</v>
      </c>
      <c r="O34" s="106" t="b">
        <v>0</v>
      </c>
      <c r="P34" s="603" t="str">
        <f t="shared" si="7"/>
        <v/>
      </c>
      <c r="Q34" s="33" t="str">
        <f t="shared" si="14"/>
        <v>Crawley</v>
      </c>
      <c r="R34" s="33" t="str">
        <f t="shared" si="15"/>
        <v>Crewe</v>
      </c>
      <c r="S34" s="32" t="str">
        <f t="shared" si="16"/>
        <v>2</v>
      </c>
      <c r="T34" s="33" t="str">
        <f t="shared" si="17"/>
        <v>2</v>
      </c>
      <c r="U34" s="28" t="str">
        <f t="shared" si="8"/>
        <v>Crawley  v  Crewe   7/5  21/10  2/1</v>
      </c>
      <c r="V34" s="31" t="str">
        <f t="shared" si="9"/>
        <v xml:space="preserve">Crawley 2-2 Crewe </v>
      </c>
      <c r="W34" t="str">
        <f t="shared" si="10"/>
        <v>7/5  21/10  2/1</v>
      </c>
      <c r="X34" s="17" t="str">
        <f t="shared" si="18"/>
        <v>7/5</v>
      </c>
      <c r="Y34" s="17" t="str">
        <f t="shared" si="19"/>
        <v>21/10</v>
      </c>
      <c r="Z34" s="17" t="str">
        <f t="shared" si="20"/>
        <v>2/1</v>
      </c>
      <c r="AA34" s="173">
        <f t="shared" si="11"/>
        <v>2.4</v>
      </c>
      <c r="AB34" s="173">
        <f t="shared" si="12"/>
        <v>3.1</v>
      </c>
      <c r="AC34" s="173">
        <f t="shared" si="13"/>
        <v>3</v>
      </c>
      <c r="AD34" s="11"/>
      <c r="AH34" s="11"/>
    </row>
    <row r="35" spans="1:34">
      <c r="A35" s="601">
        <v>34</v>
      </c>
      <c r="B35" s="26">
        <v>44968</v>
      </c>
      <c r="C35" s="163">
        <v>13</v>
      </c>
      <c r="D35" s="26" t="s">
        <v>613</v>
      </c>
      <c r="E35" s="26" t="s">
        <v>617</v>
      </c>
      <c r="F35" s="26" t="s">
        <v>618</v>
      </c>
      <c r="G35" s="163">
        <v>0</v>
      </c>
      <c r="H35" s="163">
        <v>1</v>
      </c>
      <c r="I35" s="163">
        <v>21</v>
      </c>
      <c r="J35" s="163">
        <v>20</v>
      </c>
      <c r="K35" s="163">
        <v>9</v>
      </c>
      <c r="L35" s="163">
        <v>4</v>
      </c>
      <c r="M35" s="163">
        <v>13</v>
      </c>
      <c r="N35" s="163">
        <v>5</v>
      </c>
      <c r="O35" s="106" t="b">
        <v>0</v>
      </c>
      <c r="P35" s="603" t="str">
        <f t="shared" si="7"/>
        <v/>
      </c>
      <c r="Q35" s="33" t="str">
        <f t="shared" si="14"/>
        <v>Grimsby</v>
      </c>
      <c r="R35" s="33" t="str">
        <f t="shared" si="15"/>
        <v>Colchester</v>
      </c>
      <c r="S35" s="32" t="str">
        <f t="shared" si="16"/>
        <v>0</v>
      </c>
      <c r="T35" s="33" t="str">
        <f t="shared" si="17"/>
        <v>1</v>
      </c>
      <c r="U35" s="28" t="str">
        <f t="shared" si="8"/>
        <v>Grimsby  v  Colchester   21/20  9/4  13/5</v>
      </c>
      <c r="V35" s="31" t="str">
        <f t="shared" si="9"/>
        <v xml:space="preserve">Grimsby 0-1 Colchester </v>
      </c>
      <c r="W35" t="str">
        <f t="shared" si="10"/>
        <v>21/20  9/4  13/5</v>
      </c>
      <c r="X35" s="17" t="str">
        <f t="shared" si="18"/>
        <v>21/20</v>
      </c>
      <c r="Y35" s="17" t="str">
        <f t="shared" si="19"/>
        <v>9/4</v>
      </c>
      <c r="Z35" s="17" t="str">
        <f t="shared" si="20"/>
        <v>13/5</v>
      </c>
      <c r="AA35" s="173">
        <f t="shared" si="11"/>
        <v>2.0499999999999998</v>
      </c>
      <c r="AB35" s="173">
        <f t="shared" si="12"/>
        <v>3.25</v>
      </c>
      <c r="AC35" s="173">
        <f t="shared" si="13"/>
        <v>3.6</v>
      </c>
      <c r="AD35" s="11"/>
      <c r="AH35" s="11"/>
    </row>
    <row r="36" spans="1:34">
      <c r="A36" s="601">
        <v>35</v>
      </c>
      <c r="B36" s="26">
        <v>44968</v>
      </c>
      <c r="C36" s="163">
        <v>13</v>
      </c>
      <c r="D36" s="26" t="s">
        <v>613</v>
      </c>
      <c r="E36" s="26" t="s">
        <v>619</v>
      </c>
      <c r="F36" s="26" t="s">
        <v>620</v>
      </c>
      <c r="G36" s="163">
        <v>1</v>
      </c>
      <c r="H36" s="163">
        <v>3</v>
      </c>
      <c r="I36" s="163">
        <v>17</v>
      </c>
      <c r="J36" s="163">
        <v>5</v>
      </c>
      <c r="K36" s="163">
        <v>5</v>
      </c>
      <c r="L36" s="163">
        <v>2</v>
      </c>
      <c r="M36" s="163">
        <v>4</v>
      </c>
      <c r="N36" s="163">
        <v>5</v>
      </c>
      <c r="O36" s="106" t="b">
        <v>0</v>
      </c>
      <c r="P36" s="603" t="str">
        <f t="shared" si="7"/>
        <v/>
      </c>
      <c r="Q36" s="33" t="str">
        <f t="shared" si="14"/>
        <v>Harrogate</v>
      </c>
      <c r="R36" s="33" t="str">
        <f t="shared" si="15"/>
        <v>Stockport</v>
      </c>
      <c r="S36" s="32" t="str">
        <f t="shared" si="16"/>
        <v>1</v>
      </c>
      <c r="T36" s="33" t="str">
        <f t="shared" si="17"/>
        <v>3</v>
      </c>
      <c r="U36" s="28" t="str">
        <f t="shared" si="8"/>
        <v>Harrogate  v  Stockport   17/5  5/2  4/5</v>
      </c>
      <c r="V36" s="31" t="str">
        <f t="shared" si="9"/>
        <v xml:space="preserve">Harrogate 1-3 Stockport </v>
      </c>
      <c r="W36" t="str">
        <f t="shared" si="10"/>
        <v>17/5  5/2  4/5</v>
      </c>
      <c r="X36" s="17" t="str">
        <f t="shared" si="18"/>
        <v>17/5</v>
      </c>
      <c r="Y36" s="17" t="str">
        <f t="shared" si="19"/>
        <v>5/2</v>
      </c>
      <c r="Z36" s="17" t="str">
        <f t="shared" si="20"/>
        <v>4/5</v>
      </c>
      <c r="AA36" s="173">
        <f t="shared" si="11"/>
        <v>4.4000000000000004</v>
      </c>
      <c r="AB36" s="173">
        <f t="shared" si="12"/>
        <v>3.5</v>
      </c>
      <c r="AC36" s="173">
        <f t="shared" si="13"/>
        <v>1.8</v>
      </c>
      <c r="AD36" s="11"/>
      <c r="AH36" s="11"/>
    </row>
    <row r="37" spans="1:34">
      <c r="A37" s="601">
        <v>36</v>
      </c>
      <c r="B37" s="26">
        <v>44968</v>
      </c>
      <c r="C37" s="163">
        <v>13</v>
      </c>
      <c r="D37" s="22" t="s">
        <v>613</v>
      </c>
      <c r="E37" s="26" t="s">
        <v>621</v>
      </c>
      <c r="F37" s="26" t="s">
        <v>622</v>
      </c>
      <c r="G37" s="163">
        <v>2</v>
      </c>
      <c r="H37" s="163">
        <v>2</v>
      </c>
      <c r="I37" s="163">
        <v>11</v>
      </c>
      <c r="J37" s="163">
        <v>5</v>
      </c>
      <c r="K37" s="163">
        <v>11</v>
      </c>
      <c r="L37" s="163">
        <v>5</v>
      </c>
      <c r="M37" s="163">
        <v>5</v>
      </c>
      <c r="N37" s="163">
        <v>4</v>
      </c>
      <c r="O37" s="106" t="b">
        <v>0</v>
      </c>
      <c r="P37" s="603" t="str">
        <f t="shared" si="7"/>
        <v/>
      </c>
      <c r="Q37" s="33" t="str">
        <f t="shared" si="14"/>
        <v>Hartlepool</v>
      </c>
      <c r="R37" s="33" t="str">
        <f t="shared" si="15"/>
        <v>Sutton</v>
      </c>
      <c r="S37" s="32" t="str">
        <f t="shared" si="16"/>
        <v>2</v>
      </c>
      <c r="T37" s="33" t="str">
        <f t="shared" si="17"/>
        <v>2</v>
      </c>
      <c r="U37" s="28" t="str">
        <f t="shared" si="8"/>
        <v>Hartlepool  v  Sutton   11/5  11/5  5/4</v>
      </c>
      <c r="V37" s="31" t="str">
        <f t="shared" si="9"/>
        <v xml:space="preserve">Hartlepool 2-2 Sutton </v>
      </c>
      <c r="W37" t="str">
        <f t="shared" si="10"/>
        <v>11/5  11/5  5/4</v>
      </c>
      <c r="X37" s="17" t="str">
        <f t="shared" si="18"/>
        <v>11/5</v>
      </c>
      <c r="Y37" s="17" t="str">
        <f t="shared" si="19"/>
        <v>11/5</v>
      </c>
      <c r="Z37" s="17" t="str">
        <f t="shared" si="20"/>
        <v>5/4</v>
      </c>
      <c r="AA37" s="173">
        <f t="shared" si="11"/>
        <v>3.2</v>
      </c>
      <c r="AB37" s="173">
        <f t="shared" si="12"/>
        <v>3.2</v>
      </c>
      <c r="AC37" s="173">
        <f t="shared" si="13"/>
        <v>2.25</v>
      </c>
      <c r="AD37" s="11"/>
      <c r="AH37" s="11"/>
    </row>
    <row r="38" spans="1:34">
      <c r="A38" s="601">
        <v>37</v>
      </c>
      <c r="B38" s="26">
        <v>44968</v>
      </c>
      <c r="C38" s="163">
        <v>13</v>
      </c>
      <c r="D38" s="26" t="s">
        <v>613</v>
      </c>
      <c r="E38" s="26" t="s">
        <v>546</v>
      </c>
      <c r="F38" s="26" t="s">
        <v>623</v>
      </c>
      <c r="G38" s="163">
        <v>2</v>
      </c>
      <c r="H38" s="163">
        <v>0</v>
      </c>
      <c r="I38" s="163">
        <v>7</v>
      </c>
      <c r="J38" s="163">
        <v>10</v>
      </c>
      <c r="K38" s="163">
        <v>5</v>
      </c>
      <c r="L38" s="163">
        <v>2</v>
      </c>
      <c r="M38" s="163">
        <v>4</v>
      </c>
      <c r="N38" s="163">
        <v>1</v>
      </c>
      <c r="O38" s="105" t="b">
        <v>0</v>
      </c>
      <c r="P38" s="603" t="str">
        <f t="shared" si="7"/>
        <v/>
      </c>
      <c r="Q38" s="33" t="str">
        <f t="shared" si="14"/>
        <v>Mansfield</v>
      </c>
      <c r="R38" s="33" t="str">
        <f t="shared" si="15"/>
        <v>Gillingham</v>
      </c>
      <c r="S38" s="32" t="str">
        <f t="shared" si="16"/>
        <v>2</v>
      </c>
      <c r="T38" s="33" t="str">
        <f t="shared" si="17"/>
        <v>0</v>
      </c>
      <c r="U38" s="28" t="str">
        <f t="shared" si="8"/>
        <v>Mansfield  v  Gillingham   7/10  5/2  4/1</v>
      </c>
      <c r="V38" s="31" t="str">
        <f t="shared" si="9"/>
        <v xml:space="preserve">Mansfield 2-0 Gillingham </v>
      </c>
      <c r="W38" t="str">
        <f t="shared" si="10"/>
        <v>7/10  5/2  4/1</v>
      </c>
      <c r="X38" s="17" t="str">
        <f t="shared" si="18"/>
        <v>7/10</v>
      </c>
      <c r="Y38" s="17" t="str">
        <f t="shared" si="19"/>
        <v>5/2</v>
      </c>
      <c r="Z38" s="17" t="str">
        <f t="shared" si="20"/>
        <v>4/1</v>
      </c>
      <c r="AA38" s="173">
        <f t="shared" si="11"/>
        <v>1.7</v>
      </c>
      <c r="AB38" s="173">
        <f t="shared" si="12"/>
        <v>3.5</v>
      </c>
      <c r="AC38" s="173">
        <f t="shared" si="13"/>
        <v>5</v>
      </c>
      <c r="AD38" s="11"/>
      <c r="AH38" s="11"/>
    </row>
    <row r="39" spans="1:34">
      <c r="A39" s="601">
        <v>38</v>
      </c>
      <c r="B39" s="26">
        <v>44968</v>
      </c>
      <c r="C39" s="163">
        <v>13</v>
      </c>
      <c r="D39" s="26" t="s">
        <v>613</v>
      </c>
      <c r="E39" s="26" t="s">
        <v>624</v>
      </c>
      <c r="F39" s="26" t="s">
        <v>625</v>
      </c>
      <c r="G39" s="163">
        <v>1</v>
      </c>
      <c r="H39" s="163">
        <v>1</v>
      </c>
      <c r="I39" s="163">
        <v>27</v>
      </c>
      <c r="J39" s="163">
        <v>10</v>
      </c>
      <c r="K39" s="163">
        <v>11</v>
      </c>
      <c r="L39" s="163">
        <v>5</v>
      </c>
      <c r="M39" s="163">
        <v>21</v>
      </c>
      <c r="N39" s="163">
        <v>10</v>
      </c>
      <c r="O39" s="105" t="b">
        <v>0</v>
      </c>
      <c r="P39" s="603" t="str">
        <f t="shared" si="7"/>
        <v/>
      </c>
      <c r="Q39" s="33" t="str">
        <f t="shared" si="14"/>
        <v>Rochdale</v>
      </c>
      <c r="R39" s="33" t="str">
        <f t="shared" si="15"/>
        <v>Northampton</v>
      </c>
      <c r="S39" s="32" t="str">
        <f t="shared" si="16"/>
        <v>1</v>
      </c>
      <c r="T39" s="33" t="str">
        <f t="shared" si="17"/>
        <v>1</v>
      </c>
      <c r="U39" s="28" t="str">
        <f t="shared" si="8"/>
        <v>Rochdale  v  Northampton   27/10  11/5  21/10</v>
      </c>
      <c r="V39" s="31" t="str">
        <f t="shared" si="9"/>
        <v xml:space="preserve">Rochdale 1-1 Northampton </v>
      </c>
      <c r="W39" t="str">
        <f t="shared" si="10"/>
        <v>27/10  11/5  21/10</v>
      </c>
      <c r="X39" s="17" t="str">
        <f t="shared" si="18"/>
        <v>27/10</v>
      </c>
      <c r="Y39" s="17" t="str">
        <f t="shared" si="19"/>
        <v>11/5</v>
      </c>
      <c r="Z39" s="17" t="str">
        <f t="shared" si="20"/>
        <v>21/10</v>
      </c>
      <c r="AA39" s="173">
        <f t="shared" si="11"/>
        <v>3.7</v>
      </c>
      <c r="AB39" s="173">
        <f t="shared" si="12"/>
        <v>3.2</v>
      </c>
      <c r="AC39" s="173">
        <f t="shared" si="13"/>
        <v>3.1</v>
      </c>
      <c r="AD39" s="11"/>
      <c r="AH39" s="11"/>
    </row>
    <row r="40" spans="1:34">
      <c r="A40" s="601">
        <v>39</v>
      </c>
      <c r="B40" s="26">
        <v>44968</v>
      </c>
      <c r="C40" s="163">
        <v>13</v>
      </c>
      <c r="D40" s="26" t="s">
        <v>613</v>
      </c>
      <c r="E40" s="26" t="s">
        <v>550</v>
      </c>
      <c r="F40" s="26" t="s">
        <v>626</v>
      </c>
      <c r="G40" s="163">
        <v>2</v>
      </c>
      <c r="H40" s="163">
        <v>3</v>
      </c>
      <c r="I40" s="163">
        <v>17</v>
      </c>
      <c r="J40" s="163">
        <v>20</v>
      </c>
      <c r="K40" s="163">
        <v>12</v>
      </c>
      <c r="L40" s="163">
        <v>5</v>
      </c>
      <c r="M40" s="163">
        <v>16</v>
      </c>
      <c r="N40" s="163">
        <v>5</v>
      </c>
      <c r="O40" s="106" t="b">
        <v>0</v>
      </c>
      <c r="P40" s="603" t="str">
        <f t="shared" si="7"/>
        <v/>
      </c>
      <c r="Q40" s="33" t="str">
        <f t="shared" si="14"/>
        <v>Stevenage</v>
      </c>
      <c r="R40" s="33" t="str">
        <f t="shared" si="15"/>
        <v>Bradford</v>
      </c>
      <c r="S40" s="32" t="str">
        <f t="shared" si="16"/>
        <v>2</v>
      </c>
      <c r="T40" s="33" t="str">
        <f t="shared" si="17"/>
        <v>3</v>
      </c>
      <c r="U40" s="28" t="str">
        <f t="shared" si="8"/>
        <v>Stevenage  v  Bradford   17/20  12/5  16/5</v>
      </c>
      <c r="V40" s="31" t="str">
        <f t="shared" si="9"/>
        <v xml:space="preserve">Stevenage 2-3 Bradford </v>
      </c>
      <c r="W40" t="str">
        <f t="shared" si="10"/>
        <v>17/20  12/5  16/5</v>
      </c>
      <c r="X40" s="17" t="str">
        <f t="shared" si="18"/>
        <v>17/20</v>
      </c>
      <c r="Y40" s="17" t="str">
        <f t="shared" si="19"/>
        <v>12/5</v>
      </c>
      <c r="Z40" s="17" t="str">
        <f t="shared" si="20"/>
        <v>16/5</v>
      </c>
      <c r="AA40" s="173">
        <f t="shared" si="11"/>
        <v>1.85</v>
      </c>
      <c r="AB40" s="173">
        <f t="shared" si="12"/>
        <v>3.4</v>
      </c>
      <c r="AC40" s="173">
        <f t="shared" si="13"/>
        <v>4.2</v>
      </c>
      <c r="AD40" s="11"/>
      <c r="AH40" s="11"/>
    </row>
    <row r="41" spans="1:34">
      <c r="A41" s="601">
        <v>40</v>
      </c>
      <c r="B41" s="26">
        <v>44968</v>
      </c>
      <c r="C41" s="163">
        <v>13</v>
      </c>
      <c r="D41" s="26" t="s">
        <v>613</v>
      </c>
      <c r="E41" s="26" t="s">
        <v>571</v>
      </c>
      <c r="F41" s="26" t="s">
        <v>423</v>
      </c>
      <c r="G41" s="163">
        <v>0</v>
      </c>
      <c r="H41" s="163">
        <v>2</v>
      </c>
      <c r="I41" s="163">
        <v>11</v>
      </c>
      <c r="J41" s="163">
        <v>10</v>
      </c>
      <c r="K41" s="163">
        <v>11</v>
      </c>
      <c r="L41" s="163">
        <v>5</v>
      </c>
      <c r="M41" s="163">
        <v>13</v>
      </c>
      <c r="N41" s="163">
        <v>5</v>
      </c>
      <c r="O41" s="106" t="b">
        <v>0</v>
      </c>
      <c r="P41" s="603" t="str">
        <f t="shared" si="7"/>
        <v/>
      </c>
      <c r="Q41" s="33" t="str">
        <f t="shared" si="14"/>
        <v>Swindon</v>
      </c>
      <c r="R41" s="33" t="str">
        <f t="shared" si="15"/>
        <v>Doncaster</v>
      </c>
      <c r="S41" s="32" t="str">
        <f t="shared" si="16"/>
        <v>0</v>
      </c>
      <c r="T41" s="33" t="str">
        <f t="shared" si="17"/>
        <v>2</v>
      </c>
      <c r="U41" s="28" t="str">
        <f t="shared" si="8"/>
        <v>Swindon  v  Doncaster   11/10  11/5  13/5</v>
      </c>
      <c r="V41" s="31" t="str">
        <f t="shared" si="9"/>
        <v xml:space="preserve">Swindon 0-2 Doncaster </v>
      </c>
      <c r="W41" t="str">
        <f t="shared" si="10"/>
        <v>11/10  11/5  13/5</v>
      </c>
      <c r="X41" s="17" t="str">
        <f t="shared" si="18"/>
        <v>11/10</v>
      </c>
      <c r="Y41" s="17" t="str">
        <f t="shared" si="19"/>
        <v>11/5</v>
      </c>
      <c r="Z41" s="17" t="str">
        <f t="shared" si="20"/>
        <v>13/5</v>
      </c>
      <c r="AA41" s="173">
        <f t="shared" si="11"/>
        <v>2.1</v>
      </c>
      <c r="AB41" s="173">
        <f t="shared" si="12"/>
        <v>3.2</v>
      </c>
      <c r="AC41" s="173">
        <f t="shared" si="13"/>
        <v>3.6</v>
      </c>
      <c r="AD41" s="11"/>
      <c r="AH41" s="11"/>
    </row>
    <row r="42" spans="1:34">
      <c r="A42" s="601">
        <v>41</v>
      </c>
      <c r="B42" s="26">
        <v>44968</v>
      </c>
      <c r="C42" s="163">
        <v>13</v>
      </c>
      <c r="D42" s="26" t="s">
        <v>613</v>
      </c>
      <c r="E42" s="26" t="s">
        <v>542</v>
      </c>
      <c r="F42" s="26" t="s">
        <v>530</v>
      </c>
      <c r="G42" s="163">
        <v>1</v>
      </c>
      <c r="H42" s="163">
        <v>0</v>
      </c>
      <c r="I42" s="163">
        <v>7</v>
      </c>
      <c r="J42" s="163">
        <v>5</v>
      </c>
      <c r="K42" s="163">
        <v>2</v>
      </c>
      <c r="L42" s="163">
        <v>1</v>
      </c>
      <c r="M42" s="163">
        <v>21</v>
      </c>
      <c r="N42" s="163">
        <v>10</v>
      </c>
      <c r="O42" s="106" t="b">
        <v>0</v>
      </c>
      <c r="P42" s="603" t="str">
        <f t="shared" si="7"/>
        <v/>
      </c>
      <c r="Q42" s="33" t="str">
        <f t="shared" si="14"/>
        <v>Tranmere</v>
      </c>
      <c r="R42" s="33" t="str">
        <f t="shared" si="15"/>
        <v>Salford</v>
      </c>
      <c r="S42" s="32" t="str">
        <f t="shared" si="16"/>
        <v>1</v>
      </c>
      <c r="T42" s="33" t="str">
        <f t="shared" si="17"/>
        <v>0</v>
      </c>
      <c r="U42" s="28" t="str">
        <f t="shared" si="8"/>
        <v>Tranmere  v  Salford   7/5  2/1  21/10</v>
      </c>
      <c r="V42" s="31" t="str">
        <f t="shared" si="9"/>
        <v xml:space="preserve">Tranmere 1-0 Salford </v>
      </c>
      <c r="W42" t="str">
        <f t="shared" si="10"/>
        <v>7/5  2/1  21/10</v>
      </c>
      <c r="X42" s="17" t="str">
        <f t="shared" si="18"/>
        <v>7/5</v>
      </c>
      <c r="Y42" s="17" t="str">
        <f t="shared" si="19"/>
        <v>2/1</v>
      </c>
      <c r="Z42" s="17" t="str">
        <f t="shared" si="20"/>
        <v>21/10</v>
      </c>
      <c r="AA42" s="173">
        <f t="shared" si="11"/>
        <v>2.4</v>
      </c>
      <c r="AB42" s="173">
        <f t="shared" si="12"/>
        <v>3</v>
      </c>
      <c r="AC42" s="173">
        <f t="shared" si="13"/>
        <v>3.1</v>
      </c>
      <c r="AD42" s="11"/>
      <c r="AH42" s="11"/>
    </row>
    <row r="43" spans="1:34">
      <c r="A43" s="601">
        <v>42</v>
      </c>
      <c r="B43" s="26">
        <v>44968</v>
      </c>
      <c r="C43" s="163">
        <v>13</v>
      </c>
      <c r="D43" s="26" t="s">
        <v>613</v>
      </c>
      <c r="E43" s="26" t="s">
        <v>627</v>
      </c>
      <c r="F43" s="22" t="s">
        <v>628</v>
      </c>
      <c r="G43" s="163">
        <v>1</v>
      </c>
      <c r="H43" s="163">
        <v>1</v>
      </c>
      <c r="I43" s="163">
        <v>29</v>
      </c>
      <c r="J43" s="163">
        <v>20</v>
      </c>
      <c r="K43" s="163">
        <v>15</v>
      </c>
      <c r="L43" s="163">
        <v>8</v>
      </c>
      <c r="M43" s="163">
        <v>11</v>
      </c>
      <c r="N43" s="163">
        <v>5</v>
      </c>
      <c r="O43" s="106" t="b">
        <v>0</v>
      </c>
      <c r="P43" s="603" t="str">
        <f t="shared" si="7"/>
        <v/>
      </c>
      <c r="Q43" s="33" t="str">
        <f t="shared" si="14"/>
        <v>Walsall</v>
      </c>
      <c r="R43" s="33" t="str">
        <f t="shared" si="15"/>
        <v>Orient</v>
      </c>
      <c r="S43" s="32" t="str">
        <f t="shared" si="16"/>
        <v>1</v>
      </c>
      <c r="T43" s="33" t="str">
        <f t="shared" si="17"/>
        <v>1</v>
      </c>
      <c r="U43" s="28" t="str">
        <f t="shared" si="8"/>
        <v>Walsall  v  Orient   29/20  15/8  11/5</v>
      </c>
      <c r="V43" s="31" t="str">
        <f t="shared" si="9"/>
        <v xml:space="preserve">Walsall 1-1 Orient </v>
      </c>
      <c r="W43" t="str">
        <f t="shared" si="10"/>
        <v>29/20  15/8  11/5</v>
      </c>
      <c r="X43" s="17" t="str">
        <f t="shared" si="18"/>
        <v>29/20</v>
      </c>
      <c r="Y43" s="17" t="str">
        <f t="shared" si="19"/>
        <v>15/8</v>
      </c>
      <c r="Z43" s="17" t="str">
        <f t="shared" si="20"/>
        <v>11/5</v>
      </c>
      <c r="AA43" s="173">
        <f t="shared" si="11"/>
        <v>2.4500000000000002</v>
      </c>
      <c r="AB43" s="173">
        <f t="shared" si="12"/>
        <v>2.875</v>
      </c>
      <c r="AC43" s="173">
        <f t="shared" si="13"/>
        <v>3.2</v>
      </c>
      <c r="AD43" s="11"/>
      <c r="AH43" s="11"/>
    </row>
    <row r="44" spans="1:34">
      <c r="A44" s="601">
        <v>43</v>
      </c>
      <c r="B44" s="26">
        <v>44968</v>
      </c>
      <c r="C44" s="163">
        <v>13</v>
      </c>
      <c r="D44" s="26" t="s">
        <v>613</v>
      </c>
      <c r="E44" s="22" t="s">
        <v>629</v>
      </c>
      <c r="F44" s="22" t="s">
        <v>570</v>
      </c>
      <c r="G44" s="163">
        <v>0</v>
      </c>
      <c r="H44" s="163">
        <v>0</v>
      </c>
      <c r="I44" s="163">
        <v>15</v>
      </c>
      <c r="J44" s="163">
        <v>8</v>
      </c>
      <c r="K44" s="163">
        <v>21</v>
      </c>
      <c r="L44" s="163">
        <v>10</v>
      </c>
      <c r="M44" s="163">
        <v>6</v>
      </c>
      <c r="N44" s="163">
        <v>4</v>
      </c>
      <c r="O44" s="106" t="b">
        <v>0</v>
      </c>
      <c r="P44" s="603" t="str">
        <f t="shared" si="7"/>
        <v/>
      </c>
      <c r="Q44" s="33" t="str">
        <f t="shared" si="14"/>
        <v>Wimbledon</v>
      </c>
      <c r="R44" s="33" t="str">
        <f t="shared" si="15"/>
        <v>Carlisle</v>
      </c>
      <c r="S44" s="32" t="str">
        <f t="shared" si="16"/>
        <v>0</v>
      </c>
      <c r="T44" s="33" t="str">
        <f t="shared" si="17"/>
        <v>0</v>
      </c>
      <c r="U44" s="28" t="str">
        <f t="shared" si="8"/>
        <v>Wimbledon  v  Carlisle   15/8  21/10  6/4</v>
      </c>
      <c r="V44" s="31" t="str">
        <f t="shared" si="9"/>
        <v xml:space="preserve">Wimbledon 0-0 Carlisle </v>
      </c>
      <c r="W44" t="str">
        <f t="shared" si="10"/>
        <v>15/8  21/10  6/4</v>
      </c>
      <c r="X44" s="17" t="str">
        <f t="shared" si="18"/>
        <v>15/8</v>
      </c>
      <c r="Y44" s="17" t="str">
        <f t="shared" si="19"/>
        <v>21/10</v>
      </c>
      <c r="Z44" s="17" t="str">
        <f t="shared" si="20"/>
        <v>6/4</v>
      </c>
      <c r="AA44" s="173">
        <f t="shared" si="11"/>
        <v>2.875</v>
      </c>
      <c r="AB44" s="173">
        <f t="shared" si="12"/>
        <v>3.1</v>
      </c>
      <c r="AC44" s="173">
        <f t="shared" si="13"/>
        <v>2.5</v>
      </c>
      <c r="AD44" s="11"/>
      <c r="AH44" s="11"/>
    </row>
    <row r="45" spans="1:34">
      <c r="A45" s="601">
        <v>44</v>
      </c>
      <c r="B45" s="26">
        <v>44969</v>
      </c>
      <c r="C45" s="163">
        <v>10</v>
      </c>
      <c r="D45" s="26" t="s">
        <v>591</v>
      </c>
      <c r="E45" s="22" t="s">
        <v>588</v>
      </c>
      <c r="F45" s="22" t="s">
        <v>555</v>
      </c>
      <c r="G45" s="163">
        <v>0</v>
      </c>
      <c r="H45" s="163">
        <v>2</v>
      </c>
      <c r="I45" s="163">
        <v>10</v>
      </c>
      <c r="J45" s="163">
        <v>3</v>
      </c>
      <c r="K45" s="163">
        <v>29</v>
      </c>
      <c r="L45" s="163">
        <v>10</v>
      </c>
      <c r="M45" s="163">
        <v>3</v>
      </c>
      <c r="N45" s="163">
        <v>4</v>
      </c>
      <c r="O45" s="106" t="b">
        <v>0</v>
      </c>
      <c r="P45" s="603" t="str">
        <f t="shared" si="7"/>
        <v/>
      </c>
      <c r="Q45" s="33" t="str">
        <f t="shared" si="14"/>
        <v>Leeds</v>
      </c>
      <c r="R45" s="33" t="str">
        <f t="shared" si="15"/>
        <v>Man U</v>
      </c>
      <c r="S45" s="32" t="str">
        <f t="shared" si="16"/>
        <v>0</v>
      </c>
      <c r="T45" s="33" t="str">
        <f t="shared" si="17"/>
        <v>2</v>
      </c>
      <c r="U45" s="28" t="str">
        <f t="shared" si="8"/>
        <v>Leeds  v  Man U   10/3  29/10  3/4</v>
      </c>
      <c r="V45" s="31" t="str">
        <f t="shared" si="9"/>
        <v xml:space="preserve">Leeds 0-2 Man U </v>
      </c>
      <c r="W45" t="str">
        <f>X45&amp;"  "&amp;Y45&amp;"  "&amp;Z45</f>
        <v>10/3  29/10  3/4</v>
      </c>
      <c r="X45" s="17" t="str">
        <f t="shared" si="18"/>
        <v>10/3</v>
      </c>
      <c r="Y45" s="17" t="str">
        <f t="shared" si="19"/>
        <v>29/10</v>
      </c>
      <c r="Z45" s="17" t="str">
        <f t="shared" si="20"/>
        <v>3/4</v>
      </c>
      <c r="AA45" s="173">
        <f t="shared" si="11"/>
        <v>4.3333333333333339</v>
      </c>
      <c r="AB45" s="173">
        <f t="shared" si="12"/>
        <v>3.9</v>
      </c>
      <c r="AC45" s="173">
        <f t="shared" si="13"/>
        <v>1.75</v>
      </c>
      <c r="AD45" s="11"/>
      <c r="AH45" s="11"/>
    </row>
    <row r="46" spans="1:34">
      <c r="A46" s="601">
        <v>45</v>
      </c>
      <c r="B46" s="26">
        <v>44969</v>
      </c>
      <c r="C46" s="163">
        <v>10</v>
      </c>
      <c r="D46" s="26" t="s">
        <v>591</v>
      </c>
      <c r="E46" s="26" t="s">
        <v>630</v>
      </c>
      <c r="F46" s="26" t="s">
        <v>435</v>
      </c>
      <c r="G46" s="163">
        <v>3</v>
      </c>
      <c r="H46" s="163">
        <v>1</v>
      </c>
      <c r="I46" s="163">
        <v>2</v>
      </c>
      <c r="J46" s="163">
        <v>9</v>
      </c>
      <c r="K46" s="163">
        <v>5</v>
      </c>
      <c r="L46" s="163">
        <v>1</v>
      </c>
      <c r="M46" s="163">
        <v>12</v>
      </c>
      <c r="N46" s="163">
        <v>1</v>
      </c>
      <c r="O46" s="106" t="b">
        <v>0</v>
      </c>
      <c r="P46" s="603" t="str">
        <f t="shared" si="7"/>
        <v/>
      </c>
      <c r="Q46" s="33" t="str">
        <f t="shared" si="14"/>
        <v>Man C</v>
      </c>
      <c r="R46" s="33" t="str">
        <f t="shared" si="15"/>
        <v>Villa</v>
      </c>
      <c r="S46" s="32" t="str">
        <f t="shared" si="16"/>
        <v>3</v>
      </c>
      <c r="T46" s="33" t="str">
        <f t="shared" si="17"/>
        <v>1</v>
      </c>
      <c r="U46" s="28" t="str">
        <f t="shared" si="8"/>
        <v>Man C  v  Villa   2/9  5/1  12/1</v>
      </c>
      <c r="V46" s="31" t="str">
        <f t="shared" si="9"/>
        <v xml:space="preserve">Man C 3-1 Villa </v>
      </c>
      <c r="W46" t="str">
        <f>X46&amp;"  "&amp;Y46&amp;"  "&amp;Z46</f>
        <v>2/9  5/1  12/1</v>
      </c>
      <c r="X46" s="17" t="str">
        <f t="shared" si="18"/>
        <v>2/9</v>
      </c>
      <c r="Y46" s="17" t="str">
        <f t="shared" si="19"/>
        <v>5/1</v>
      </c>
      <c r="Z46" s="17" t="str">
        <f t="shared" si="20"/>
        <v>12/1</v>
      </c>
      <c r="AA46" s="173">
        <f t="shared" si="11"/>
        <v>1.2222222222222223</v>
      </c>
      <c r="AB46" s="173">
        <f t="shared" si="12"/>
        <v>6</v>
      </c>
      <c r="AC46" s="173">
        <f t="shared" si="13"/>
        <v>13</v>
      </c>
    </row>
    <row r="47" spans="1:34">
      <c r="A47" s="601">
        <v>46</v>
      </c>
      <c r="B47" s="26"/>
      <c r="C47" s="163"/>
      <c r="D47" s="26"/>
      <c r="E47" s="26"/>
      <c r="F47" s="26"/>
      <c r="G47" s="163"/>
      <c r="H47" s="163"/>
      <c r="I47" s="163"/>
      <c r="J47" s="163"/>
      <c r="K47" s="163"/>
      <c r="L47" s="163"/>
      <c r="M47" s="163"/>
      <c r="N47" s="163"/>
      <c r="O47" s="106"/>
      <c r="P47" s="603"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1">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1">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1">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1">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1">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1">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1">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1">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1">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1">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1">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1">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1">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1">
        <v>14</v>
      </c>
      <c r="U61" s="28" t="str">
        <f t="shared" si="8"/>
        <v/>
      </c>
    </row>
    <row r="62" spans="1:29">
      <c r="A62" s="601">
        <v>15</v>
      </c>
      <c r="U62" s="28" t="str">
        <f t="shared" si="8"/>
        <v/>
      </c>
    </row>
    <row r="63" spans="1:29">
      <c r="A63" s="601">
        <v>16</v>
      </c>
      <c r="U63" s="28" t="str">
        <f t="shared" si="8"/>
        <v/>
      </c>
    </row>
    <row r="64" spans="1:29">
      <c r="A64" s="601">
        <v>17</v>
      </c>
      <c r="U64" s="28" t="str">
        <f t="shared" si="8"/>
        <v/>
      </c>
    </row>
    <row r="65" spans="1:21">
      <c r="A65" s="601">
        <v>18</v>
      </c>
      <c r="U65" s="28" t="str">
        <f t="shared" si="8"/>
        <v/>
      </c>
    </row>
    <row r="66" spans="1:21">
      <c r="A66" s="601">
        <v>19</v>
      </c>
      <c r="U66" s="28" t="str">
        <f t="shared" si="8"/>
        <v/>
      </c>
    </row>
    <row r="67" spans="1:21">
      <c r="A67" s="601">
        <v>20</v>
      </c>
      <c r="U67" s="28" t="str">
        <f t="shared" ref="U67:U80" si="34">IF(B67="","",IF(O67=TRUE,Q67&amp;"  v  "&amp;R67&amp;"  OFF",Q67&amp;"  v  "&amp;R67&amp;"   "&amp;W67))</f>
        <v/>
      </c>
    </row>
    <row r="68" spans="1:21">
      <c r="A68" s="601">
        <v>21</v>
      </c>
      <c r="U68" s="28" t="str">
        <f t="shared" si="34"/>
        <v/>
      </c>
    </row>
    <row r="69" spans="1:21">
      <c r="A69" s="601">
        <v>22</v>
      </c>
      <c r="U69" s="28" t="str">
        <f t="shared" si="34"/>
        <v/>
      </c>
    </row>
    <row r="70" spans="1:21">
      <c r="A70" s="601">
        <v>23</v>
      </c>
      <c r="U70" s="28" t="str">
        <f t="shared" si="34"/>
        <v/>
      </c>
    </row>
    <row r="71" spans="1:21">
      <c r="A71" s="601">
        <v>24</v>
      </c>
      <c r="U71" s="28" t="str">
        <f t="shared" si="34"/>
        <v/>
      </c>
    </row>
    <row r="72" spans="1:21">
      <c r="A72" s="601">
        <v>25</v>
      </c>
      <c r="U72" s="28" t="str">
        <f t="shared" si="34"/>
        <v/>
      </c>
    </row>
    <row r="73" spans="1:21">
      <c r="A73" s="601">
        <v>26</v>
      </c>
      <c r="U73" s="28" t="str">
        <f t="shared" si="34"/>
        <v/>
      </c>
    </row>
    <row r="74" spans="1:21">
      <c r="A74" s="601">
        <v>27</v>
      </c>
      <c r="U74" s="28" t="str">
        <f t="shared" si="34"/>
        <v/>
      </c>
    </row>
    <row r="75" spans="1:21">
      <c r="A75" s="601">
        <v>28</v>
      </c>
      <c r="U75" s="28" t="str">
        <f t="shared" si="34"/>
        <v/>
      </c>
    </row>
    <row r="76" spans="1:21">
      <c r="A76" s="601">
        <v>29</v>
      </c>
      <c r="U76" s="28" t="str">
        <f t="shared" si="34"/>
        <v/>
      </c>
    </row>
    <row r="77" spans="1:21">
      <c r="A77" s="601">
        <v>30</v>
      </c>
      <c r="U77" s="28" t="str">
        <f t="shared" si="34"/>
        <v/>
      </c>
    </row>
    <row r="78" spans="1:21">
      <c r="A78" s="601">
        <v>31</v>
      </c>
      <c r="U78" s="28" t="str">
        <f t="shared" si="34"/>
        <v/>
      </c>
    </row>
    <row r="79" spans="1:21">
      <c r="A79" s="601">
        <v>32</v>
      </c>
      <c r="U79" s="28" t="str">
        <f t="shared" si="34"/>
        <v/>
      </c>
    </row>
    <row r="80" spans="1:21">
      <c r="A80" s="601">
        <v>33</v>
      </c>
      <c r="U80" s="28" t="str">
        <f t="shared" si="34"/>
        <v/>
      </c>
    </row>
    <row r="81" spans="1:1">
      <c r="A81" s="601">
        <v>34</v>
      </c>
    </row>
    <row r="82" spans="1:1">
      <c r="A82" s="601">
        <v>35</v>
      </c>
    </row>
    <row r="83" spans="1:1">
      <c r="A83" s="601">
        <v>36</v>
      </c>
    </row>
    <row r="84" spans="1:1">
      <c r="A84" s="601">
        <v>37</v>
      </c>
    </row>
    <row r="85" spans="1:1">
      <c r="A85" s="601">
        <v>38</v>
      </c>
    </row>
    <row r="86" spans="1:1">
      <c r="A86" s="601">
        <v>39</v>
      </c>
    </row>
    <row r="87" spans="1:1">
      <c r="A87" s="601">
        <v>40</v>
      </c>
    </row>
    <row r="88" spans="1:1">
      <c r="A88" s="601">
        <v>41</v>
      </c>
    </row>
    <row r="89" spans="1:1">
      <c r="A89" s="601">
        <v>42</v>
      </c>
    </row>
    <row r="90" spans="1:1">
      <c r="A90" s="601">
        <v>43</v>
      </c>
    </row>
    <row r="91" spans="1:1">
      <c r="A91" s="601">
        <v>44</v>
      </c>
    </row>
    <row r="92" spans="1:1">
      <c r="A92" s="601">
        <v>45</v>
      </c>
    </row>
    <row r="93" spans="1:1">
      <c r="A93" s="601">
        <v>46</v>
      </c>
    </row>
    <row r="94" spans="1:1">
      <c r="A94" s="601">
        <v>1</v>
      </c>
    </row>
    <row r="95" spans="1:1">
      <c r="A95" s="601">
        <v>2</v>
      </c>
    </row>
    <row r="96" spans="1:1">
      <c r="A96" s="601">
        <v>3</v>
      </c>
    </row>
    <row r="97" spans="1:1">
      <c r="A97" s="601">
        <v>4</v>
      </c>
    </row>
    <row r="98" spans="1:1">
      <c r="A98" s="601">
        <v>5</v>
      </c>
    </row>
    <row r="99" spans="1:1">
      <c r="A99" s="601">
        <v>6</v>
      </c>
    </row>
    <row r="100" spans="1:1">
      <c r="A100" s="601">
        <v>7</v>
      </c>
    </row>
    <row r="101" spans="1:1">
      <c r="A101" s="601">
        <v>8</v>
      </c>
    </row>
    <row r="102" spans="1:1">
      <c r="A102" s="601">
        <v>9</v>
      </c>
    </row>
    <row r="103" spans="1:1">
      <c r="A103" s="601">
        <v>10</v>
      </c>
    </row>
    <row r="104" spans="1:1">
      <c r="A104" s="601">
        <v>11</v>
      </c>
    </row>
    <row r="105" spans="1:1">
      <c r="A105" s="601">
        <v>12</v>
      </c>
    </row>
    <row r="106" spans="1:1">
      <c r="A106" s="601">
        <v>13</v>
      </c>
    </row>
    <row r="107" spans="1:1">
      <c r="A107" s="601">
        <v>14</v>
      </c>
    </row>
    <row r="108" spans="1:1">
      <c r="A108" s="601">
        <v>15</v>
      </c>
    </row>
    <row r="109" spans="1:1">
      <c r="A109" s="601">
        <v>16</v>
      </c>
    </row>
    <row r="110" spans="1:1">
      <c r="A110" s="601">
        <v>17</v>
      </c>
    </row>
    <row r="111" spans="1:1">
      <c r="A111" s="601">
        <v>18</v>
      </c>
    </row>
    <row r="112" spans="1:1">
      <c r="A112" s="601">
        <v>19</v>
      </c>
    </row>
    <row r="113" spans="1:1">
      <c r="A113" s="601">
        <v>20</v>
      </c>
    </row>
    <row r="114" spans="1:1">
      <c r="A114" s="601">
        <v>21</v>
      </c>
    </row>
    <row r="115" spans="1:1">
      <c r="A115" s="601">
        <v>22</v>
      </c>
    </row>
    <row r="116" spans="1:1">
      <c r="A116" s="601">
        <v>23</v>
      </c>
    </row>
    <row r="117" spans="1:1">
      <c r="A117" s="601">
        <v>24</v>
      </c>
    </row>
    <row r="118" spans="1:1">
      <c r="A118" s="601">
        <v>25</v>
      </c>
    </row>
    <row r="119" spans="1:1">
      <c r="A119" s="601">
        <v>26</v>
      </c>
    </row>
    <row r="120" spans="1:1">
      <c r="A120" s="601">
        <v>27</v>
      </c>
    </row>
    <row r="121" spans="1:1">
      <c r="A121" s="601">
        <v>28</v>
      </c>
    </row>
    <row r="122" spans="1:1">
      <c r="A122" s="601">
        <v>29</v>
      </c>
    </row>
    <row r="123" spans="1:1">
      <c r="A123" s="601">
        <v>30</v>
      </c>
    </row>
    <row r="124" spans="1:1">
      <c r="A124" s="601">
        <v>31</v>
      </c>
    </row>
    <row r="125" spans="1:1">
      <c r="A125" s="601">
        <v>32</v>
      </c>
    </row>
    <row r="126" spans="1:1">
      <c r="A126" s="601">
        <v>33</v>
      </c>
    </row>
    <row r="127" spans="1:1">
      <c r="A127" s="601">
        <v>34</v>
      </c>
    </row>
    <row r="128" spans="1:1">
      <c r="A128" s="601">
        <v>35</v>
      </c>
    </row>
    <row r="129" spans="1:1">
      <c r="A129" s="601">
        <v>36</v>
      </c>
    </row>
    <row r="130" spans="1:1">
      <c r="A130" s="601">
        <v>37</v>
      </c>
    </row>
    <row r="131" spans="1:1">
      <c r="A131" s="601">
        <v>38</v>
      </c>
    </row>
    <row r="132" spans="1:1">
      <c r="A132" s="601">
        <v>39</v>
      </c>
    </row>
    <row r="133" spans="1:1">
      <c r="A133" s="601">
        <v>40</v>
      </c>
    </row>
    <row r="134" spans="1:1">
      <c r="A134" s="601">
        <v>41</v>
      </c>
    </row>
    <row r="135" spans="1:1">
      <c r="A135" s="601">
        <v>42</v>
      </c>
    </row>
    <row r="136" spans="1:1">
      <c r="A136" s="601">
        <v>43</v>
      </c>
    </row>
    <row r="137" spans="1:1">
      <c r="A137" s="601">
        <v>44</v>
      </c>
    </row>
    <row r="138" spans="1:1">
      <c r="A138" s="601">
        <v>45</v>
      </c>
    </row>
    <row r="139" spans="1:1">
      <c r="A139" s="601">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6.06640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35" t="s">
        <v>430</v>
      </c>
      <c r="B3" s="335" t="s">
        <v>17</v>
      </c>
      <c r="C3" s="598"/>
      <c r="D3" s="598"/>
      <c r="E3" s="510"/>
    </row>
    <row r="4" spans="1:11">
      <c r="A4" s="335" t="s">
        <v>459</v>
      </c>
      <c r="B4" s="461">
        <v>0</v>
      </c>
      <c r="C4" s="522">
        <v>1</v>
      </c>
      <c r="D4" s="522" t="s">
        <v>568</v>
      </c>
      <c r="E4" s="336" t="s">
        <v>146</v>
      </c>
      <c r="I4" s="90" t="s">
        <v>488</v>
      </c>
      <c r="J4" s="90" t="s">
        <v>487</v>
      </c>
      <c r="K4" s="90" t="s">
        <v>52</v>
      </c>
    </row>
    <row r="5" spans="1:11">
      <c r="A5" s="461" t="s">
        <v>555</v>
      </c>
      <c r="B5" s="743"/>
      <c r="C5" s="744">
        <v>4</v>
      </c>
      <c r="D5" s="744"/>
      <c r="E5" s="740">
        <v>4</v>
      </c>
      <c r="I5" s="461" t="s">
        <v>530</v>
      </c>
      <c r="J5" s="461">
        <v>4</v>
      </c>
      <c r="K5" s="522"/>
    </row>
    <row r="6" spans="1:11">
      <c r="A6" s="462" t="s">
        <v>357</v>
      </c>
      <c r="B6" s="745"/>
      <c r="C6" s="746">
        <v>8</v>
      </c>
      <c r="D6" s="746"/>
      <c r="E6" s="741">
        <v>8</v>
      </c>
      <c r="I6" s="461" t="s">
        <v>628</v>
      </c>
      <c r="J6" s="461">
        <v>4</v>
      </c>
      <c r="K6" s="522"/>
    </row>
    <row r="7" spans="1:11">
      <c r="A7" s="462" t="s">
        <v>530</v>
      </c>
      <c r="B7" s="745">
        <v>4</v>
      </c>
      <c r="C7" s="746"/>
      <c r="D7" s="746"/>
      <c r="E7" s="741">
        <v>4</v>
      </c>
      <c r="I7" s="461" t="s">
        <v>605</v>
      </c>
      <c r="J7" s="461">
        <v>4</v>
      </c>
      <c r="K7" s="522"/>
    </row>
    <row r="8" spans="1:11">
      <c r="A8" s="462" t="s">
        <v>533</v>
      </c>
      <c r="B8" s="745"/>
      <c r="C8" s="746">
        <v>4</v>
      </c>
      <c r="D8" s="746"/>
      <c r="E8" s="741">
        <v>4</v>
      </c>
      <c r="I8" s="461" t="s">
        <v>537</v>
      </c>
      <c r="J8" s="461">
        <v>4</v>
      </c>
      <c r="K8" s="522"/>
    </row>
    <row r="9" spans="1:11">
      <c r="A9" s="462" t="s">
        <v>554</v>
      </c>
      <c r="B9" s="745">
        <v>3</v>
      </c>
      <c r="C9" s="746"/>
      <c r="D9" s="746"/>
      <c r="E9" s="741">
        <v>3</v>
      </c>
      <c r="I9" s="461" t="s">
        <v>554</v>
      </c>
      <c r="J9" s="461">
        <v>3</v>
      </c>
      <c r="K9" s="522"/>
    </row>
    <row r="10" spans="1:11">
      <c r="A10" s="462" t="s">
        <v>580</v>
      </c>
      <c r="B10" s="745"/>
      <c r="C10" s="746">
        <v>5</v>
      </c>
      <c r="D10" s="746"/>
      <c r="E10" s="741">
        <v>5</v>
      </c>
      <c r="I10" s="461" t="s">
        <v>625</v>
      </c>
      <c r="J10" s="461">
        <v>3</v>
      </c>
      <c r="K10" s="522"/>
    </row>
    <row r="11" spans="1:11">
      <c r="A11" s="462" t="s">
        <v>579</v>
      </c>
      <c r="B11" s="745">
        <v>1</v>
      </c>
      <c r="C11" s="746"/>
      <c r="D11" s="746"/>
      <c r="E11" s="741">
        <v>1</v>
      </c>
      <c r="I11" s="461" t="s">
        <v>598</v>
      </c>
      <c r="J11" s="461">
        <v>3</v>
      </c>
      <c r="K11" s="522"/>
    </row>
    <row r="12" spans="1:11">
      <c r="A12" s="462" t="s">
        <v>532</v>
      </c>
      <c r="B12" s="745">
        <v>1</v>
      </c>
      <c r="C12" s="746"/>
      <c r="D12" s="746"/>
      <c r="E12" s="741">
        <v>1</v>
      </c>
      <c r="I12" s="461" t="s">
        <v>576</v>
      </c>
      <c r="J12" s="461">
        <v>3</v>
      </c>
      <c r="K12" s="522"/>
    </row>
    <row r="13" spans="1:11">
      <c r="A13" s="462" t="s">
        <v>551</v>
      </c>
      <c r="B13" s="745">
        <v>1</v>
      </c>
      <c r="C13" s="746"/>
      <c r="D13" s="746"/>
      <c r="E13" s="741">
        <v>1</v>
      </c>
      <c r="I13" s="461" t="s">
        <v>583</v>
      </c>
      <c r="J13" s="461">
        <v>3</v>
      </c>
      <c r="K13" s="522"/>
    </row>
    <row r="14" spans="1:11">
      <c r="A14" s="462" t="s">
        <v>539</v>
      </c>
      <c r="B14" s="745">
        <v>2</v>
      </c>
      <c r="C14" s="746"/>
      <c r="D14" s="746"/>
      <c r="E14" s="741">
        <v>2</v>
      </c>
      <c r="I14" s="461" t="s">
        <v>612</v>
      </c>
      <c r="J14" s="461">
        <v>3</v>
      </c>
      <c r="K14" s="522"/>
    </row>
    <row r="15" spans="1:11">
      <c r="A15" s="462" t="s">
        <v>547</v>
      </c>
      <c r="B15" s="745"/>
      <c r="C15" s="746">
        <v>1</v>
      </c>
      <c r="D15" s="746"/>
      <c r="E15" s="741">
        <v>1</v>
      </c>
      <c r="I15" s="461" t="s">
        <v>539</v>
      </c>
      <c r="J15" s="461">
        <v>2</v>
      </c>
      <c r="K15" s="522"/>
    </row>
    <row r="16" spans="1:11">
      <c r="A16" s="462" t="s">
        <v>625</v>
      </c>
      <c r="B16" s="745">
        <v>3</v>
      </c>
      <c r="C16" s="746"/>
      <c r="D16" s="746"/>
      <c r="E16" s="741">
        <v>3</v>
      </c>
      <c r="I16" s="461" t="s">
        <v>540</v>
      </c>
      <c r="J16" s="461">
        <v>2</v>
      </c>
      <c r="K16" s="522"/>
    </row>
    <row r="17" spans="1:11">
      <c r="A17" s="462" t="s">
        <v>544</v>
      </c>
      <c r="B17" s="745"/>
      <c r="C17" s="746">
        <v>1</v>
      </c>
      <c r="D17" s="746"/>
      <c r="E17" s="741">
        <v>1</v>
      </c>
      <c r="I17" s="461" t="s">
        <v>545</v>
      </c>
      <c r="J17" s="461">
        <v>2</v>
      </c>
      <c r="K17" s="522"/>
    </row>
    <row r="18" spans="1:11">
      <c r="A18" s="462" t="s">
        <v>598</v>
      </c>
      <c r="B18" s="745">
        <v>3</v>
      </c>
      <c r="C18" s="746"/>
      <c r="D18" s="746"/>
      <c r="E18" s="741">
        <v>3</v>
      </c>
      <c r="I18" s="461" t="s">
        <v>647</v>
      </c>
      <c r="J18" s="461">
        <v>2</v>
      </c>
      <c r="K18" s="522"/>
    </row>
    <row r="19" spans="1:11">
      <c r="A19" s="462" t="s">
        <v>534</v>
      </c>
      <c r="B19" s="745"/>
      <c r="C19" s="746">
        <v>7</v>
      </c>
      <c r="D19" s="746"/>
      <c r="E19" s="741">
        <v>7</v>
      </c>
      <c r="I19" s="461" t="s">
        <v>553</v>
      </c>
      <c r="J19" s="461">
        <v>2</v>
      </c>
      <c r="K19" s="522"/>
    </row>
    <row r="20" spans="1:11">
      <c r="A20" s="462" t="s">
        <v>576</v>
      </c>
      <c r="B20" s="745">
        <v>3</v>
      </c>
      <c r="C20" s="746"/>
      <c r="D20" s="746"/>
      <c r="E20" s="741">
        <v>3</v>
      </c>
      <c r="I20" s="461" t="s">
        <v>570</v>
      </c>
      <c r="J20" s="461">
        <v>2</v>
      </c>
      <c r="K20" s="522"/>
    </row>
    <row r="21" spans="1:11">
      <c r="A21" s="462" t="s">
        <v>541</v>
      </c>
      <c r="B21" s="745">
        <v>1</v>
      </c>
      <c r="C21" s="746"/>
      <c r="D21" s="746"/>
      <c r="E21" s="741">
        <v>1</v>
      </c>
      <c r="I21" s="461" t="s">
        <v>572</v>
      </c>
      <c r="J21" s="461">
        <v>2</v>
      </c>
      <c r="K21" s="522"/>
    </row>
    <row r="22" spans="1:11">
      <c r="A22" s="462" t="s">
        <v>583</v>
      </c>
      <c r="B22" s="745">
        <v>3</v>
      </c>
      <c r="C22" s="746"/>
      <c r="D22" s="746"/>
      <c r="E22" s="741">
        <v>3</v>
      </c>
      <c r="I22" s="461" t="s">
        <v>594</v>
      </c>
      <c r="J22" s="461">
        <v>2</v>
      </c>
      <c r="K22" s="522"/>
    </row>
    <row r="23" spans="1:11">
      <c r="A23" s="462" t="s">
        <v>599</v>
      </c>
      <c r="B23" s="745">
        <v>1</v>
      </c>
      <c r="C23" s="746"/>
      <c r="D23" s="746"/>
      <c r="E23" s="741">
        <v>1</v>
      </c>
      <c r="I23" s="461" t="s">
        <v>569</v>
      </c>
      <c r="J23" s="461">
        <v>2</v>
      </c>
      <c r="K23" s="522"/>
    </row>
    <row r="24" spans="1:11">
      <c r="A24" s="462" t="s">
        <v>578</v>
      </c>
      <c r="B24" s="745">
        <v>1</v>
      </c>
      <c r="C24" s="746"/>
      <c r="D24" s="746"/>
      <c r="E24" s="741">
        <v>1</v>
      </c>
      <c r="I24" s="461" t="s">
        <v>610</v>
      </c>
      <c r="J24" s="461">
        <v>2</v>
      </c>
      <c r="K24" s="522"/>
    </row>
    <row r="25" spans="1:11">
      <c r="A25" s="462" t="s">
        <v>612</v>
      </c>
      <c r="B25" s="745">
        <v>3</v>
      </c>
      <c r="C25" s="746"/>
      <c r="D25" s="746"/>
      <c r="E25" s="741">
        <v>3</v>
      </c>
      <c r="I25" s="461" t="s">
        <v>571</v>
      </c>
      <c r="J25" s="461">
        <v>2</v>
      </c>
      <c r="K25" s="522"/>
    </row>
    <row r="26" spans="1:11">
      <c r="A26" s="462" t="s">
        <v>546</v>
      </c>
      <c r="B26" s="745"/>
      <c r="C26" s="746">
        <v>3</v>
      </c>
      <c r="D26" s="746"/>
      <c r="E26" s="741">
        <v>3</v>
      </c>
      <c r="I26" s="461" t="s">
        <v>550</v>
      </c>
      <c r="J26" s="461">
        <v>2</v>
      </c>
      <c r="K26" s="522"/>
    </row>
    <row r="27" spans="1:11">
      <c r="A27" s="462" t="s">
        <v>522</v>
      </c>
      <c r="B27" s="745"/>
      <c r="C27" s="746">
        <v>6</v>
      </c>
      <c r="D27" s="746"/>
      <c r="E27" s="741">
        <v>6</v>
      </c>
      <c r="I27" s="461" t="s">
        <v>636</v>
      </c>
      <c r="J27" s="461">
        <v>2</v>
      </c>
      <c r="K27" s="522"/>
    </row>
    <row r="28" spans="1:11">
      <c r="A28" s="462" t="s">
        <v>172</v>
      </c>
      <c r="B28" s="745"/>
      <c r="C28" s="746">
        <v>6</v>
      </c>
      <c r="D28" s="746"/>
      <c r="E28" s="741">
        <v>6</v>
      </c>
      <c r="I28" s="461" t="s">
        <v>641</v>
      </c>
      <c r="J28" s="461">
        <v>2</v>
      </c>
      <c r="K28" s="522"/>
    </row>
    <row r="29" spans="1:11">
      <c r="A29" s="462" t="s">
        <v>600</v>
      </c>
      <c r="B29" s="745"/>
      <c r="C29" s="746">
        <v>2</v>
      </c>
      <c r="D29" s="746"/>
      <c r="E29" s="741">
        <v>2</v>
      </c>
      <c r="I29" s="461" t="s">
        <v>579</v>
      </c>
      <c r="J29" s="461">
        <v>1</v>
      </c>
      <c r="K29" s="522"/>
    </row>
    <row r="30" spans="1:11">
      <c r="A30" s="462" t="s">
        <v>630</v>
      </c>
      <c r="B30" s="745"/>
      <c r="C30" s="746">
        <v>4</v>
      </c>
      <c r="D30" s="746"/>
      <c r="E30" s="741">
        <v>4</v>
      </c>
      <c r="I30" s="461" t="s">
        <v>532</v>
      </c>
      <c r="J30" s="461">
        <v>1</v>
      </c>
      <c r="K30" s="522"/>
    </row>
    <row r="31" spans="1:11">
      <c r="A31" s="462" t="s">
        <v>540</v>
      </c>
      <c r="B31" s="745">
        <v>2</v>
      </c>
      <c r="C31" s="746"/>
      <c r="D31" s="746"/>
      <c r="E31" s="741">
        <v>2</v>
      </c>
      <c r="I31" s="461" t="s">
        <v>551</v>
      </c>
      <c r="J31" s="461">
        <v>1</v>
      </c>
      <c r="K31" s="522"/>
    </row>
    <row r="32" spans="1:11">
      <c r="A32" s="462" t="s">
        <v>545</v>
      </c>
      <c r="B32" s="745">
        <v>2</v>
      </c>
      <c r="C32" s="746"/>
      <c r="D32" s="746"/>
      <c r="E32" s="741">
        <v>2</v>
      </c>
      <c r="I32" s="461" t="s">
        <v>541</v>
      </c>
      <c r="J32" s="461">
        <v>1</v>
      </c>
      <c r="K32" s="522"/>
    </row>
    <row r="33" spans="1:11">
      <c r="A33" s="462" t="s">
        <v>628</v>
      </c>
      <c r="B33" s="745">
        <v>4</v>
      </c>
      <c r="C33" s="746"/>
      <c r="D33" s="746"/>
      <c r="E33" s="741">
        <v>4</v>
      </c>
      <c r="I33" s="461" t="s">
        <v>599</v>
      </c>
      <c r="J33" s="461">
        <v>1</v>
      </c>
      <c r="K33" s="522"/>
    </row>
    <row r="34" spans="1:11">
      <c r="A34" s="462" t="s">
        <v>432</v>
      </c>
      <c r="B34" s="745"/>
      <c r="C34" s="746"/>
      <c r="D34" s="746">
        <v>15</v>
      </c>
      <c r="E34" s="741">
        <v>15</v>
      </c>
      <c r="I34" s="461" t="s">
        <v>578</v>
      </c>
      <c r="J34" s="461">
        <v>1</v>
      </c>
      <c r="K34" s="522"/>
    </row>
    <row r="35" spans="1:11">
      <c r="A35" s="462" t="s">
        <v>585</v>
      </c>
      <c r="B35" s="745"/>
      <c r="C35" s="746">
        <v>2</v>
      </c>
      <c r="D35" s="746"/>
      <c r="E35" s="741">
        <v>2</v>
      </c>
      <c r="I35" s="461" t="s">
        <v>608</v>
      </c>
      <c r="J35" s="461">
        <v>1</v>
      </c>
      <c r="K35" s="522"/>
    </row>
    <row r="36" spans="1:11">
      <c r="A36" s="462" t="s">
        <v>620</v>
      </c>
      <c r="B36" s="745"/>
      <c r="C36" s="746">
        <v>1</v>
      </c>
      <c r="D36" s="746"/>
      <c r="E36" s="741">
        <v>1</v>
      </c>
      <c r="I36" s="461" t="s">
        <v>437</v>
      </c>
      <c r="J36" s="461">
        <v>1</v>
      </c>
      <c r="K36" s="522"/>
    </row>
    <row r="37" spans="1:11">
      <c r="A37" s="462" t="s">
        <v>608</v>
      </c>
      <c r="B37" s="745">
        <v>1</v>
      </c>
      <c r="C37" s="746"/>
      <c r="D37" s="746"/>
      <c r="E37" s="741">
        <v>1</v>
      </c>
      <c r="I37" s="461" t="s">
        <v>438</v>
      </c>
      <c r="J37" s="461">
        <v>1</v>
      </c>
      <c r="K37" s="522"/>
    </row>
    <row r="38" spans="1:11">
      <c r="A38" s="462" t="s">
        <v>437</v>
      </c>
      <c r="B38" s="745">
        <v>1</v>
      </c>
      <c r="C38" s="746"/>
      <c r="D38" s="746"/>
      <c r="E38" s="741">
        <v>1</v>
      </c>
      <c r="I38" s="461" t="s">
        <v>535</v>
      </c>
      <c r="J38" s="461">
        <v>1</v>
      </c>
      <c r="K38" s="522"/>
    </row>
    <row r="39" spans="1:11">
      <c r="A39" s="462" t="s">
        <v>647</v>
      </c>
      <c r="B39" s="745">
        <v>2</v>
      </c>
      <c r="C39" s="746"/>
      <c r="D39" s="746"/>
      <c r="E39" s="741">
        <v>2</v>
      </c>
      <c r="I39" s="461" t="s">
        <v>531</v>
      </c>
      <c r="J39" s="461">
        <v>1</v>
      </c>
      <c r="K39" s="522"/>
    </row>
    <row r="40" spans="1:11">
      <c r="A40" s="462" t="s">
        <v>438</v>
      </c>
      <c r="B40" s="745">
        <v>1</v>
      </c>
      <c r="C40" s="746"/>
      <c r="D40" s="746"/>
      <c r="E40" s="741">
        <v>1</v>
      </c>
      <c r="I40" s="461" t="s">
        <v>634</v>
      </c>
      <c r="J40" s="461">
        <v>1</v>
      </c>
      <c r="K40" s="522"/>
    </row>
    <row r="41" spans="1:11">
      <c r="A41" s="462" t="s">
        <v>605</v>
      </c>
      <c r="B41" s="745">
        <v>4</v>
      </c>
      <c r="C41" s="746"/>
      <c r="D41" s="746"/>
      <c r="E41" s="741">
        <v>4</v>
      </c>
      <c r="I41" s="461" t="s">
        <v>543</v>
      </c>
      <c r="J41" s="461">
        <v>1</v>
      </c>
      <c r="K41" s="522"/>
    </row>
    <row r="42" spans="1:11">
      <c r="A42" s="462" t="s">
        <v>597</v>
      </c>
      <c r="B42" s="745"/>
      <c r="C42" s="746">
        <v>1</v>
      </c>
      <c r="D42" s="746"/>
      <c r="E42" s="741">
        <v>1</v>
      </c>
      <c r="I42" s="461" t="s">
        <v>614</v>
      </c>
      <c r="J42" s="461">
        <v>1</v>
      </c>
      <c r="K42" s="522"/>
    </row>
    <row r="43" spans="1:11">
      <c r="A43" s="462" t="s">
        <v>553</v>
      </c>
      <c r="B43" s="745">
        <v>2</v>
      </c>
      <c r="C43" s="746"/>
      <c r="D43" s="746"/>
      <c r="E43" s="741">
        <v>2</v>
      </c>
      <c r="I43" s="461" t="s">
        <v>622</v>
      </c>
      <c r="J43" s="461">
        <v>1</v>
      </c>
      <c r="K43" s="522"/>
    </row>
    <row r="44" spans="1:11">
      <c r="A44" s="462" t="s">
        <v>434</v>
      </c>
      <c r="B44" s="745"/>
      <c r="C44" s="746">
        <v>9</v>
      </c>
      <c r="D44" s="746"/>
      <c r="E44" s="741">
        <v>9</v>
      </c>
      <c r="I44" s="461" t="s">
        <v>616</v>
      </c>
      <c r="J44" s="461">
        <v>1</v>
      </c>
      <c r="K44" s="522"/>
    </row>
    <row r="45" spans="1:11">
      <c r="A45" s="462" t="s">
        <v>535</v>
      </c>
      <c r="B45" s="745">
        <v>1</v>
      </c>
      <c r="C45" s="746"/>
      <c r="D45" s="746"/>
      <c r="E45" s="741">
        <v>1</v>
      </c>
      <c r="I45" s="461" t="s">
        <v>643</v>
      </c>
      <c r="J45" s="461">
        <v>1</v>
      </c>
      <c r="K45" s="522"/>
    </row>
    <row r="46" spans="1:11">
      <c r="A46" s="462" t="s">
        <v>570</v>
      </c>
      <c r="B46" s="745">
        <v>2</v>
      </c>
      <c r="C46" s="746"/>
      <c r="D46" s="746"/>
      <c r="E46" s="741">
        <v>2</v>
      </c>
      <c r="I46" s="461" t="s">
        <v>648</v>
      </c>
      <c r="J46" s="461">
        <v>1</v>
      </c>
      <c r="K46" s="522"/>
    </row>
    <row r="47" spans="1:11">
      <c r="A47" s="462" t="s">
        <v>552</v>
      </c>
      <c r="B47" s="745"/>
      <c r="C47" s="746">
        <v>1</v>
      </c>
      <c r="D47" s="746"/>
      <c r="E47" s="741">
        <v>1</v>
      </c>
      <c r="I47" s="461" t="s">
        <v>640</v>
      </c>
      <c r="J47" s="461">
        <v>1</v>
      </c>
      <c r="K47" s="522"/>
    </row>
    <row r="48" spans="1:11">
      <c r="A48" s="462" t="s">
        <v>572</v>
      </c>
      <c r="B48" s="745">
        <v>2</v>
      </c>
      <c r="C48" s="746"/>
      <c r="D48" s="746"/>
      <c r="E48" s="741">
        <v>2</v>
      </c>
      <c r="I48" s="461" t="s">
        <v>434</v>
      </c>
      <c r="J48" s="461"/>
      <c r="K48" s="522">
        <v>9</v>
      </c>
    </row>
    <row r="49" spans="1:11">
      <c r="A49" s="462" t="s">
        <v>594</v>
      </c>
      <c r="B49" s="745">
        <v>2</v>
      </c>
      <c r="C49" s="746"/>
      <c r="D49" s="746"/>
      <c r="E49" s="741">
        <v>2</v>
      </c>
      <c r="I49" s="461" t="s">
        <v>357</v>
      </c>
      <c r="J49" s="461"/>
      <c r="K49" s="522">
        <v>8</v>
      </c>
    </row>
    <row r="50" spans="1:11">
      <c r="A50" s="462" t="s">
        <v>584</v>
      </c>
      <c r="B50" s="745"/>
      <c r="C50" s="746">
        <v>5</v>
      </c>
      <c r="D50" s="746"/>
      <c r="E50" s="741">
        <v>5</v>
      </c>
      <c r="I50" s="461" t="s">
        <v>534</v>
      </c>
      <c r="J50" s="461"/>
      <c r="K50" s="522">
        <v>7</v>
      </c>
    </row>
    <row r="51" spans="1:11">
      <c r="A51" s="462" t="s">
        <v>575</v>
      </c>
      <c r="B51" s="745"/>
      <c r="C51" s="746">
        <v>2</v>
      </c>
      <c r="D51" s="746"/>
      <c r="E51" s="741">
        <v>2</v>
      </c>
      <c r="I51" s="461" t="s">
        <v>522</v>
      </c>
      <c r="J51" s="461"/>
      <c r="K51" s="522">
        <v>6</v>
      </c>
    </row>
    <row r="52" spans="1:11">
      <c r="A52" s="462" t="s">
        <v>537</v>
      </c>
      <c r="B52" s="745">
        <v>4</v>
      </c>
      <c r="C52" s="746"/>
      <c r="D52" s="746"/>
      <c r="E52" s="741">
        <v>4</v>
      </c>
      <c r="I52" s="461" t="s">
        <v>172</v>
      </c>
      <c r="J52" s="461"/>
      <c r="K52" s="522">
        <v>6</v>
      </c>
    </row>
    <row r="53" spans="1:11">
      <c r="A53" s="462" t="s">
        <v>569</v>
      </c>
      <c r="B53" s="745">
        <v>2</v>
      </c>
      <c r="C53" s="746"/>
      <c r="D53" s="746"/>
      <c r="E53" s="741">
        <v>2</v>
      </c>
      <c r="I53" s="461" t="s">
        <v>580</v>
      </c>
      <c r="J53" s="461"/>
      <c r="K53" s="522">
        <v>5</v>
      </c>
    </row>
    <row r="54" spans="1:11">
      <c r="A54" s="462" t="s">
        <v>610</v>
      </c>
      <c r="B54" s="745">
        <v>2</v>
      </c>
      <c r="C54" s="746"/>
      <c r="D54" s="746"/>
      <c r="E54" s="741">
        <v>2</v>
      </c>
      <c r="I54" s="461" t="s">
        <v>584</v>
      </c>
      <c r="J54" s="461"/>
      <c r="K54" s="522">
        <v>5</v>
      </c>
    </row>
    <row r="55" spans="1:11">
      <c r="A55" s="462" t="s">
        <v>571</v>
      </c>
      <c r="B55" s="745">
        <v>2</v>
      </c>
      <c r="C55" s="746"/>
      <c r="D55" s="746"/>
      <c r="E55" s="741">
        <v>2</v>
      </c>
      <c r="I55" s="461" t="s">
        <v>555</v>
      </c>
      <c r="J55" s="461"/>
      <c r="K55" s="522">
        <v>4</v>
      </c>
    </row>
    <row r="56" spans="1:11">
      <c r="A56" s="462" t="s">
        <v>531</v>
      </c>
      <c r="B56" s="745">
        <v>1</v>
      </c>
      <c r="C56" s="746"/>
      <c r="D56" s="746"/>
      <c r="E56" s="741">
        <v>1</v>
      </c>
      <c r="I56" s="461" t="s">
        <v>533</v>
      </c>
      <c r="J56" s="461"/>
      <c r="K56" s="522">
        <v>4</v>
      </c>
    </row>
    <row r="57" spans="1:11">
      <c r="A57" s="462" t="s">
        <v>642</v>
      </c>
      <c r="B57" s="745"/>
      <c r="C57" s="746">
        <v>2</v>
      </c>
      <c r="D57" s="746"/>
      <c r="E57" s="741">
        <v>2</v>
      </c>
      <c r="I57" s="461" t="s">
        <v>630</v>
      </c>
      <c r="J57" s="461"/>
      <c r="K57" s="522">
        <v>4</v>
      </c>
    </row>
    <row r="58" spans="1:11">
      <c r="A58" s="462" t="s">
        <v>635</v>
      </c>
      <c r="B58" s="745"/>
      <c r="C58" s="746">
        <v>3</v>
      </c>
      <c r="D58" s="746"/>
      <c r="E58" s="741">
        <v>3</v>
      </c>
      <c r="I58" s="461" t="s">
        <v>546</v>
      </c>
      <c r="J58" s="461"/>
      <c r="K58" s="522">
        <v>3</v>
      </c>
    </row>
    <row r="59" spans="1:11">
      <c r="A59" s="462" t="s">
        <v>632</v>
      </c>
      <c r="B59" s="745"/>
      <c r="C59" s="746">
        <v>1</v>
      </c>
      <c r="D59" s="746"/>
      <c r="E59" s="741">
        <v>1</v>
      </c>
      <c r="I59" s="461" t="s">
        <v>635</v>
      </c>
      <c r="J59" s="461"/>
      <c r="K59" s="522">
        <v>3</v>
      </c>
    </row>
    <row r="60" spans="1:11">
      <c r="A60" s="462" t="s">
        <v>638</v>
      </c>
      <c r="B60" s="745"/>
      <c r="C60" s="746">
        <v>1</v>
      </c>
      <c r="D60" s="746"/>
      <c r="E60" s="741">
        <v>1</v>
      </c>
      <c r="I60" s="461" t="s">
        <v>600</v>
      </c>
      <c r="J60" s="461"/>
      <c r="K60" s="522">
        <v>2</v>
      </c>
    </row>
    <row r="61" spans="1:11">
      <c r="A61" s="462" t="s">
        <v>633</v>
      </c>
      <c r="B61" s="745"/>
      <c r="C61" s="746">
        <v>1</v>
      </c>
      <c r="D61" s="746"/>
      <c r="E61" s="741">
        <v>1</v>
      </c>
      <c r="I61" s="461" t="s">
        <v>585</v>
      </c>
      <c r="J61" s="461"/>
      <c r="K61" s="522">
        <v>2</v>
      </c>
    </row>
    <row r="62" spans="1:11">
      <c r="A62" s="462" t="s">
        <v>631</v>
      </c>
      <c r="B62" s="745"/>
      <c r="C62" s="746">
        <v>1</v>
      </c>
      <c r="D62" s="746"/>
      <c r="E62" s="741">
        <v>1</v>
      </c>
      <c r="I62" s="461" t="s">
        <v>575</v>
      </c>
      <c r="J62" s="461"/>
      <c r="K62" s="522">
        <v>2</v>
      </c>
    </row>
    <row r="63" spans="1:11">
      <c r="A63" s="462" t="s">
        <v>550</v>
      </c>
      <c r="B63" s="745">
        <v>2</v>
      </c>
      <c r="C63" s="746"/>
      <c r="D63" s="746"/>
      <c r="E63" s="741">
        <v>2</v>
      </c>
      <c r="I63" s="461" t="s">
        <v>642</v>
      </c>
      <c r="J63" s="461"/>
      <c r="K63" s="522">
        <v>2</v>
      </c>
    </row>
    <row r="64" spans="1:11">
      <c r="A64" s="462" t="s">
        <v>634</v>
      </c>
      <c r="B64" s="745">
        <v>1</v>
      </c>
      <c r="C64" s="746"/>
      <c r="D64" s="746"/>
      <c r="E64" s="741">
        <v>1</v>
      </c>
      <c r="I64" s="461" t="s">
        <v>639</v>
      </c>
      <c r="J64" s="461"/>
      <c r="K64" s="522">
        <v>2</v>
      </c>
    </row>
    <row r="65" spans="1:11">
      <c r="A65" s="462" t="s">
        <v>626</v>
      </c>
      <c r="B65" s="745"/>
      <c r="C65" s="746">
        <v>1</v>
      </c>
      <c r="D65" s="746"/>
      <c r="E65" s="741">
        <v>1</v>
      </c>
      <c r="I65" s="461" t="s">
        <v>547</v>
      </c>
      <c r="J65" s="461"/>
      <c r="K65" s="522">
        <v>1</v>
      </c>
    </row>
    <row r="66" spans="1:11">
      <c r="A66" s="462" t="s">
        <v>543</v>
      </c>
      <c r="B66" s="745">
        <v>1</v>
      </c>
      <c r="C66" s="746"/>
      <c r="D66" s="746"/>
      <c r="E66" s="741">
        <v>1</v>
      </c>
      <c r="I66" s="461" t="s">
        <v>544</v>
      </c>
      <c r="J66" s="461"/>
      <c r="K66" s="522">
        <v>1</v>
      </c>
    </row>
    <row r="67" spans="1:11">
      <c r="A67" s="462" t="s">
        <v>614</v>
      </c>
      <c r="B67" s="745">
        <v>1</v>
      </c>
      <c r="C67" s="746"/>
      <c r="D67" s="746"/>
      <c r="E67" s="741">
        <v>1</v>
      </c>
      <c r="I67" s="461" t="s">
        <v>620</v>
      </c>
      <c r="J67" s="461"/>
      <c r="K67" s="522">
        <v>1</v>
      </c>
    </row>
    <row r="68" spans="1:11">
      <c r="A68" s="462" t="s">
        <v>636</v>
      </c>
      <c r="B68" s="745">
        <v>2</v>
      </c>
      <c r="C68" s="746"/>
      <c r="D68" s="746"/>
      <c r="E68" s="741">
        <v>2</v>
      </c>
      <c r="I68" s="461" t="s">
        <v>597</v>
      </c>
      <c r="J68" s="461"/>
      <c r="K68" s="522">
        <v>1</v>
      </c>
    </row>
    <row r="69" spans="1:11">
      <c r="A69" s="462" t="s">
        <v>609</v>
      </c>
      <c r="B69" s="745"/>
      <c r="C69" s="746">
        <v>1</v>
      </c>
      <c r="D69" s="746"/>
      <c r="E69" s="741">
        <v>1</v>
      </c>
      <c r="I69" s="461" t="s">
        <v>552</v>
      </c>
      <c r="J69" s="461"/>
      <c r="K69" s="522">
        <v>1</v>
      </c>
    </row>
    <row r="70" spans="1:11">
      <c r="A70" s="462" t="s">
        <v>639</v>
      </c>
      <c r="B70" s="745"/>
      <c r="C70" s="746">
        <v>2</v>
      </c>
      <c r="D70" s="746"/>
      <c r="E70" s="741">
        <v>2</v>
      </c>
      <c r="I70" s="461" t="s">
        <v>632</v>
      </c>
      <c r="J70" s="461"/>
      <c r="K70" s="522">
        <v>1</v>
      </c>
    </row>
    <row r="71" spans="1:11">
      <c r="A71" s="462" t="s">
        <v>622</v>
      </c>
      <c r="B71" s="745">
        <v>1</v>
      </c>
      <c r="C71" s="746"/>
      <c r="D71" s="746"/>
      <c r="E71" s="741">
        <v>1</v>
      </c>
      <c r="I71" s="461" t="s">
        <v>638</v>
      </c>
      <c r="J71" s="461"/>
      <c r="K71" s="522">
        <v>1</v>
      </c>
    </row>
    <row r="72" spans="1:11">
      <c r="A72" s="462" t="s">
        <v>646</v>
      </c>
      <c r="B72" s="745"/>
      <c r="C72" s="746">
        <v>1</v>
      </c>
      <c r="D72" s="746"/>
      <c r="E72" s="741">
        <v>1</v>
      </c>
      <c r="I72" s="461" t="s">
        <v>633</v>
      </c>
      <c r="J72" s="461"/>
      <c r="K72" s="522">
        <v>1</v>
      </c>
    </row>
    <row r="73" spans="1:11">
      <c r="A73" s="462" t="s">
        <v>616</v>
      </c>
      <c r="B73" s="745">
        <v>1</v>
      </c>
      <c r="C73" s="746"/>
      <c r="D73" s="746"/>
      <c r="E73" s="741">
        <v>1</v>
      </c>
      <c r="I73" s="461" t="s">
        <v>631</v>
      </c>
      <c r="J73" s="461"/>
      <c r="K73" s="522">
        <v>1</v>
      </c>
    </row>
    <row r="74" spans="1:11">
      <c r="A74" s="462" t="s">
        <v>643</v>
      </c>
      <c r="B74" s="745">
        <v>1</v>
      </c>
      <c r="C74" s="746"/>
      <c r="D74" s="746"/>
      <c r="E74" s="741">
        <v>1</v>
      </c>
      <c r="I74" s="461" t="s">
        <v>626</v>
      </c>
      <c r="J74" s="461"/>
      <c r="K74" s="522">
        <v>1</v>
      </c>
    </row>
    <row r="75" spans="1:11">
      <c r="A75" s="462" t="s">
        <v>648</v>
      </c>
      <c r="B75" s="745">
        <v>1</v>
      </c>
      <c r="C75" s="746"/>
      <c r="D75" s="746"/>
      <c r="E75" s="741">
        <v>1</v>
      </c>
      <c r="I75" s="461" t="s">
        <v>609</v>
      </c>
      <c r="J75" s="461"/>
      <c r="K75" s="522">
        <v>1</v>
      </c>
    </row>
    <row r="76" spans="1:11">
      <c r="A76" s="462" t="s">
        <v>640</v>
      </c>
      <c r="B76" s="745">
        <v>1</v>
      </c>
      <c r="C76" s="746"/>
      <c r="D76" s="746"/>
      <c r="E76" s="741">
        <v>1</v>
      </c>
      <c r="I76" s="461" t="s">
        <v>646</v>
      </c>
      <c r="J76" s="461"/>
      <c r="K76" s="522">
        <v>1</v>
      </c>
    </row>
    <row r="77" spans="1:11">
      <c r="A77" s="462" t="s">
        <v>641</v>
      </c>
      <c r="B77" s="745">
        <v>2</v>
      </c>
      <c r="C77" s="746"/>
      <c r="D77" s="746"/>
      <c r="E77" s="741">
        <v>2</v>
      </c>
      <c r="I77" s="461" t="s">
        <v>644</v>
      </c>
      <c r="J77" s="461"/>
      <c r="K77" s="522">
        <v>1</v>
      </c>
    </row>
    <row r="78" spans="1:11">
      <c r="A78" s="462" t="s">
        <v>644</v>
      </c>
      <c r="B78" s="745"/>
      <c r="C78" s="746">
        <v>1</v>
      </c>
      <c r="D78" s="746"/>
      <c r="E78" s="741">
        <v>1</v>
      </c>
      <c r="I78" s="461" t="s">
        <v>432</v>
      </c>
      <c r="J78" s="461"/>
      <c r="K78" s="522"/>
    </row>
    <row r="79" spans="1:11">
      <c r="A79" s="463" t="s">
        <v>146</v>
      </c>
      <c r="B79" s="747">
        <v>81</v>
      </c>
      <c r="C79" s="748">
        <v>87</v>
      </c>
      <c r="D79" s="748">
        <v>15</v>
      </c>
      <c r="E79" s="742">
        <v>183</v>
      </c>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D1" zoomScaleNormal="100" workbookViewId="0">
      <pane ySplit="1" topLeftCell="A30"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498</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Wigan</v>
      </c>
      <c r="D2" s="184">
        <f>Picks!C2</f>
        <v>7</v>
      </c>
      <c r="E2" s="184">
        <f>Picks!D2</f>
        <v>2.375</v>
      </c>
      <c r="F2" s="183">
        <f>IF(C2="","",INDEX(Odds!K:K,MATCH(C2,Odds!G:G,0)))</f>
        <v>1</v>
      </c>
      <c r="G2" s="183">
        <f>IF(C2="","",Picks!M2)</f>
        <v>1</v>
      </c>
      <c r="H2" s="184">
        <f>IF(C2="","",+((E2-1)*G2*F2*A$2))</f>
        <v>1.375</v>
      </c>
      <c r="I2" s="194" t="str">
        <f>V2</f>
        <v>Alan Bond</v>
      </c>
      <c r="J2" s="182">
        <f>H2</f>
        <v>1.375</v>
      </c>
      <c r="K2" s="182">
        <f>H3</f>
        <v>2.2999999999999998</v>
      </c>
      <c r="L2" s="182">
        <f>H4</f>
        <v>1.0499999999999998</v>
      </c>
      <c r="M2" s="182">
        <f t="shared" ref="M2:M31" si="0">IF(J2=0,0,1)+J2</f>
        <v>2.375</v>
      </c>
      <c r="N2" s="182">
        <f t="shared" ref="N2:N31" si="1">IF(K2=0,0,1)+K2</f>
        <v>3.3</v>
      </c>
      <c r="O2" s="182">
        <f t="shared" ref="O2:O59" si="2">IF(L2=0,0,1)+L2</f>
        <v>2.0499999999999998</v>
      </c>
      <c r="P2" s="182">
        <f>IF(K2=0,0,(M2*K2)+M2)</f>
        <v>7.8374999999999995</v>
      </c>
      <c r="Q2" s="182">
        <f>IF(L2=0,0,(N2*L2)+N2)</f>
        <v>6.7649999999999988</v>
      </c>
      <c r="R2" s="182">
        <f>IF(J2=0,0,(O2*J2)+O2)</f>
        <v>4.8687499999999995</v>
      </c>
      <c r="S2" s="182">
        <f>IF(L2=0,0,(P2*L2)+P2)</f>
        <v>16.066874999999996</v>
      </c>
      <c r="T2" s="182">
        <f>SUM(M2:S2)-(IF(W2=1,A$2*1,0))-(IF(W2=2,A$2*3,0))-(IF(W2=3,A$2*7,0))</f>
        <v>36.263124999999995</v>
      </c>
      <c r="U2" s="150">
        <f>SUM(G2:G4)</f>
        <v>3</v>
      </c>
      <c r="V2" s="119" t="s">
        <v>516</v>
      </c>
      <c r="W2" s="150">
        <f>SUM(F2:F4)</f>
        <v>3</v>
      </c>
      <c r="X2" s="184">
        <f t="shared" ref="X2:X33" si="3">+((E2-1)*F2*A$2)</f>
        <v>1.375</v>
      </c>
      <c r="Y2" s="182">
        <f>X2</f>
        <v>1.375</v>
      </c>
      <c r="Z2" s="182">
        <f>X3</f>
        <v>2.2999999999999998</v>
      </c>
      <c r="AA2" s="182">
        <f>X4</f>
        <v>1.0499999999999998</v>
      </c>
      <c r="AB2" s="182">
        <f>IF(Y2=0,0,1)+Y2</f>
        <v>2.375</v>
      </c>
      <c r="AC2" s="188">
        <f>IF(Z2=0,0,1)+Z2</f>
        <v>3.3</v>
      </c>
      <c r="AD2" s="182">
        <f>IF(AA2=0,0,1)+AA2</f>
        <v>2.0499999999999998</v>
      </c>
      <c r="AE2" s="182">
        <f>IF(Z2=0,0,(AB2*Z2)+AB2)</f>
        <v>7.8374999999999995</v>
      </c>
      <c r="AF2" s="182">
        <f>IF(AA2=0,0,(AC2*AA2)+AC2)</f>
        <v>6.7649999999999988</v>
      </c>
      <c r="AG2" s="182">
        <f>IF(Y2=0,0,(AD2*Y2)+AD2)</f>
        <v>4.8687499999999995</v>
      </c>
      <c r="AH2" s="182">
        <f>IF(AA2=0,0,(AE2*AA2)+AE2)</f>
        <v>16.066874999999996</v>
      </c>
      <c r="AI2" s="182">
        <f>SUM(AB2:AH2)-AK2</f>
        <v>36.263124999999995</v>
      </c>
      <c r="AJ2" s="195" t="str">
        <f>$V2</f>
        <v>Alan Bond</v>
      </c>
      <c r="AK2" s="1">
        <f>IF(W2=3,7,IF(W2=2,3,1))</f>
        <v>7</v>
      </c>
    </row>
    <row r="3" spans="1:77">
      <c r="B3" s="183"/>
      <c r="C3" s="183" t="str">
        <f>Picks!B3</f>
        <v>Ipswich draw</v>
      </c>
      <c r="D3" s="184">
        <f>Picks!C3</f>
        <v>7</v>
      </c>
      <c r="E3" s="184">
        <f>Picks!D3</f>
        <v>3.3</v>
      </c>
      <c r="F3" s="183">
        <f>IF(C3="","",INDEX(Odds!K:K,MATCH(C3,Odds!G:G,0)))</f>
        <v>1</v>
      </c>
      <c r="G3" s="183">
        <f>IF(C3="","",Picks!M3)</f>
        <v>1</v>
      </c>
      <c r="H3" s="184">
        <f t="shared" ref="H3:H66" si="4">IF(C3="","",+((E3-1)*G3*F3*A$2))</f>
        <v>2.2999999999999998</v>
      </c>
      <c r="I3" s="194" t="str">
        <f t="shared" ref="I3:I62" si="5">V3</f>
        <v>Alan Rogers</v>
      </c>
      <c r="J3" s="182">
        <f>H5</f>
        <v>0</v>
      </c>
      <c r="K3" s="182">
        <f>H6</f>
        <v>0</v>
      </c>
      <c r="L3" s="182">
        <f>H7</f>
        <v>0</v>
      </c>
      <c r="M3" s="182">
        <f t="shared" si="0"/>
        <v>0</v>
      </c>
      <c r="N3" s="182">
        <f t="shared" si="1"/>
        <v>0</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-7</v>
      </c>
      <c r="U3" s="150">
        <f>SUM(G5:G7)</f>
        <v>0</v>
      </c>
      <c r="V3" s="118" t="s">
        <v>297</v>
      </c>
      <c r="W3" s="150">
        <f>SUM(F5:F7)</f>
        <v>3</v>
      </c>
      <c r="X3" s="184">
        <f t="shared" si="3"/>
        <v>2.2999999999999998</v>
      </c>
      <c r="Y3" s="182">
        <f>X5</f>
        <v>1.4</v>
      </c>
      <c r="Z3" s="182">
        <f>X6</f>
        <v>2.5</v>
      </c>
      <c r="AA3" s="182">
        <f>X7</f>
        <v>2.2000000000000002</v>
      </c>
      <c r="AB3" s="182">
        <f t="shared" ref="AB3:AB59" si="10">IF(Y3=0,0,1)+Y3</f>
        <v>2.4</v>
      </c>
      <c r="AC3" s="188">
        <f t="shared" ref="AC3:AC59" si="11">IF(Z3=0,0,1)+Z3</f>
        <v>3.5</v>
      </c>
      <c r="AD3" s="182">
        <f t="shared" ref="AD3:AD59" si="12">IF(AA3=0,0,1)+AA3</f>
        <v>3.2</v>
      </c>
      <c r="AE3" s="182">
        <f>IF(Z3=0,0,(AB3*Z3)+AB3)</f>
        <v>8.4</v>
      </c>
      <c r="AF3" s="182">
        <f>IF(AA3=0,0,(AC3*AA3)+AC3)</f>
        <v>11.200000000000001</v>
      </c>
      <c r="AG3" s="182">
        <f>IF(Y3=0,0,(AD3*Y3)+AD3)</f>
        <v>7.68</v>
      </c>
      <c r="AH3" s="182">
        <f>IF(AA3=0,0,(AE3*AA3)+AE3)</f>
        <v>26.880000000000003</v>
      </c>
      <c r="AI3" s="182">
        <f t="shared" ref="AI3:AI59" si="13">SUM(AB3:AH3)-AK3</f>
        <v>56.260000000000005</v>
      </c>
      <c r="AJ3" s="195" t="str">
        <f t="shared" ref="AJ3:AJ62" si="14">$V3</f>
        <v>Alan Rogers</v>
      </c>
      <c r="AK3" s="1">
        <f t="shared" ref="AK3:AK62" si="15">IF(W3=3,7,IF(W3=2,3,1))</f>
        <v>7</v>
      </c>
    </row>
    <row r="4" spans="1:77" ht="13.15" thickBot="1">
      <c r="B4" s="185"/>
      <c r="C4" s="185" t="str">
        <f>Picks!B4</f>
        <v>Plymouth</v>
      </c>
      <c r="D4" s="186">
        <f>Picks!C4</f>
        <v>7</v>
      </c>
      <c r="E4" s="186">
        <f>Picks!D4</f>
        <v>2.0499999999999998</v>
      </c>
      <c r="F4" s="185">
        <f>IF(C4="","",INDEX(Odds!K:K,MATCH(C4,Odds!G:G,0)))</f>
        <v>1</v>
      </c>
      <c r="G4" s="185">
        <f>IF(C4="","",Picks!M4)</f>
        <v>1</v>
      </c>
      <c r="H4" s="186">
        <f t="shared" si="4"/>
        <v>1.0499999999999998</v>
      </c>
      <c r="I4" s="194" t="str">
        <f t="shared" si="5"/>
        <v>Alan White</v>
      </c>
      <c r="J4" s="182">
        <f>H8</f>
        <v>1.25</v>
      </c>
      <c r="K4" s="182">
        <f>H9</f>
        <v>0</v>
      </c>
      <c r="L4" s="182">
        <f>H10</f>
        <v>0</v>
      </c>
      <c r="M4" s="182">
        <f t="shared" si="0"/>
        <v>2.25</v>
      </c>
      <c r="N4" s="182">
        <f t="shared" si="1"/>
        <v>0</v>
      </c>
      <c r="O4" s="182">
        <f t="shared" si="2"/>
        <v>0</v>
      </c>
      <c r="P4" s="182">
        <f t="shared" si="6"/>
        <v>0</v>
      </c>
      <c r="Q4" s="182">
        <f t="shared" si="7"/>
        <v>0</v>
      </c>
      <c r="R4" s="182">
        <f t="shared" si="8"/>
        <v>0</v>
      </c>
      <c r="S4" s="182">
        <f t="shared" ref="S4:S59" si="16">IF(L4=0,0,(P4*L4)+P4)</f>
        <v>0</v>
      </c>
      <c r="T4" s="182">
        <f t="shared" si="9"/>
        <v>-4.75</v>
      </c>
      <c r="U4" s="150">
        <f>SUM(G8:G10)</f>
        <v>1</v>
      </c>
      <c r="V4" s="118" t="s">
        <v>444</v>
      </c>
      <c r="W4" s="150">
        <f>SUM(F8:F10)</f>
        <v>3</v>
      </c>
      <c r="X4" s="184">
        <f t="shared" si="3"/>
        <v>1.0499999999999998</v>
      </c>
      <c r="Y4" s="182">
        <f>X8</f>
        <v>1.25</v>
      </c>
      <c r="Z4" s="182">
        <f>X9</f>
        <v>2.1</v>
      </c>
      <c r="AA4" s="182">
        <f>X10</f>
        <v>2.2000000000000002</v>
      </c>
      <c r="AB4" s="182">
        <f t="shared" si="10"/>
        <v>2.25</v>
      </c>
      <c r="AC4" s="188">
        <f t="shared" si="11"/>
        <v>3.1</v>
      </c>
      <c r="AD4" s="182">
        <f t="shared" si="12"/>
        <v>3.2</v>
      </c>
      <c r="AE4" s="182">
        <f t="shared" ref="AE4:AE59" si="17">IF(Z4=0,0,(AB4*Z4)+AB4)</f>
        <v>6.9750000000000005</v>
      </c>
      <c r="AF4" s="182">
        <f t="shared" ref="AF4:AF59" si="18">IF(AA4=0,0,(AC4*AA4)+AC4)</f>
        <v>9.9200000000000017</v>
      </c>
      <c r="AG4" s="182">
        <f t="shared" ref="AG4:AG59" si="19">IF(Y4=0,0,(AD4*Y4)+AD4)</f>
        <v>7.2</v>
      </c>
      <c r="AH4" s="182">
        <f t="shared" ref="AH4:AH59" si="20">IF(AA4=0,0,(AE4*AA4)+AE4)</f>
        <v>22.320000000000004</v>
      </c>
      <c r="AI4" s="182">
        <f t="shared" si="13"/>
        <v>47.965000000000003</v>
      </c>
      <c r="AJ4" s="195" t="str">
        <f t="shared" si="14"/>
        <v>Alan White</v>
      </c>
      <c r="AK4" s="1">
        <f t="shared" si="15"/>
        <v>7</v>
      </c>
    </row>
    <row r="5" spans="1:77">
      <c r="B5" s="183" t="str">
        <f>$V3</f>
        <v>Alan Rogers</v>
      </c>
      <c r="C5" s="183" t="str">
        <f>Picks!B5</f>
        <v>Crawley</v>
      </c>
      <c r="D5" s="184">
        <f>Picks!C5</f>
        <v>7</v>
      </c>
      <c r="E5" s="184">
        <f>Picks!D5</f>
        <v>2.4</v>
      </c>
      <c r="F5" s="183">
        <f>IF(C5="","",INDEX(Odds!K:K,MATCH(C5,Odds!G:G,0)))</f>
        <v>1</v>
      </c>
      <c r="G5" s="183">
        <f>IF(C5="","",Picks!M5)</f>
        <v>0</v>
      </c>
      <c r="H5" s="184">
        <f t="shared" si="4"/>
        <v>0</v>
      </c>
      <c r="I5" s="194" t="str">
        <f t="shared" si="5"/>
        <v>Alex Griffin</v>
      </c>
      <c r="J5" s="182">
        <f>H11</f>
        <v>3</v>
      </c>
      <c r="K5" s="182">
        <f>H12</f>
        <v>0.22222222222222232</v>
      </c>
      <c r="L5" s="182">
        <f>H13</f>
        <v>0</v>
      </c>
      <c r="M5" s="182">
        <f t="shared" si="0"/>
        <v>4</v>
      </c>
      <c r="N5" s="182">
        <f t="shared" si="1"/>
        <v>1.2222222222222223</v>
      </c>
      <c r="O5" s="182">
        <f t="shared" si="2"/>
        <v>0</v>
      </c>
      <c r="P5" s="182">
        <f t="shared" si="6"/>
        <v>4.8888888888888893</v>
      </c>
      <c r="Q5" s="182">
        <f t="shared" si="7"/>
        <v>0</v>
      </c>
      <c r="R5" s="182">
        <f t="shared" si="8"/>
        <v>0</v>
      </c>
      <c r="S5" s="182">
        <f t="shared" si="16"/>
        <v>0</v>
      </c>
      <c r="T5" s="182">
        <f t="shared" si="9"/>
        <v>3.1111111111111107</v>
      </c>
      <c r="U5" s="150">
        <f>SUM(G11:G13)</f>
        <v>2</v>
      </c>
      <c r="V5" s="121" t="s">
        <v>567</v>
      </c>
      <c r="W5" s="150">
        <f>SUM(F11:F13)</f>
        <v>3</v>
      </c>
      <c r="X5" s="184">
        <f t="shared" si="3"/>
        <v>1.4</v>
      </c>
      <c r="Y5" s="182">
        <f>X11</f>
        <v>3</v>
      </c>
      <c r="Z5" s="182">
        <f>X12</f>
        <v>0.22222222222222232</v>
      </c>
      <c r="AA5" s="182">
        <f>X13</f>
        <v>5</v>
      </c>
      <c r="AB5" s="182">
        <f t="shared" si="10"/>
        <v>4</v>
      </c>
      <c r="AC5" s="188">
        <f t="shared" si="11"/>
        <v>1.2222222222222223</v>
      </c>
      <c r="AD5" s="182">
        <f t="shared" si="12"/>
        <v>6</v>
      </c>
      <c r="AE5" s="182">
        <f t="shared" si="17"/>
        <v>4.8888888888888893</v>
      </c>
      <c r="AF5" s="182">
        <f t="shared" si="18"/>
        <v>7.3333333333333339</v>
      </c>
      <c r="AG5" s="182">
        <f t="shared" si="19"/>
        <v>24</v>
      </c>
      <c r="AH5" s="182">
        <f t="shared" si="20"/>
        <v>29.333333333333336</v>
      </c>
      <c r="AI5" s="182">
        <f t="shared" si="13"/>
        <v>69.777777777777771</v>
      </c>
      <c r="AJ5" s="195" t="str">
        <f t="shared" si="14"/>
        <v>Alex Griffin</v>
      </c>
      <c r="AK5" s="1">
        <f t="shared" si="15"/>
        <v>7</v>
      </c>
    </row>
    <row r="6" spans="1:77">
      <c r="B6" s="183"/>
      <c r="C6" s="183" t="str">
        <f>Picks!B6</f>
        <v>Mansfield draw</v>
      </c>
      <c r="D6" s="184">
        <f>Picks!C6</f>
        <v>7</v>
      </c>
      <c r="E6" s="184">
        <f>Picks!D6</f>
        <v>3.5</v>
      </c>
      <c r="F6" s="183">
        <f>IF(C6="","",INDEX(Odds!K:K,MATCH(C6,Odds!G:G,0)))</f>
        <v>1</v>
      </c>
      <c r="G6" s="183">
        <f>IF(C6="","",Picks!M6)</f>
        <v>0</v>
      </c>
      <c r="H6" s="184">
        <f t="shared" si="4"/>
        <v>0</v>
      </c>
      <c r="I6" s="194" t="str">
        <f t="shared" si="5"/>
        <v>Alfie Davies</v>
      </c>
      <c r="J6" s="182">
        <f>H14</f>
        <v>0</v>
      </c>
      <c r="K6" s="182">
        <f>H15</f>
        <v>1.625</v>
      </c>
      <c r="L6" s="182">
        <f>H16</f>
        <v>0.75</v>
      </c>
      <c r="M6" s="182">
        <f t="shared" si="0"/>
        <v>0</v>
      </c>
      <c r="N6" s="182">
        <f t="shared" si="1"/>
        <v>2.625</v>
      </c>
      <c r="O6" s="182">
        <f t="shared" si="2"/>
        <v>1.75</v>
      </c>
      <c r="P6" s="182">
        <f t="shared" si="6"/>
        <v>0</v>
      </c>
      <c r="Q6" s="182">
        <f t="shared" si="7"/>
        <v>4.59375</v>
      </c>
      <c r="R6" s="182">
        <f t="shared" si="8"/>
        <v>0</v>
      </c>
      <c r="S6" s="182">
        <f t="shared" si="16"/>
        <v>0</v>
      </c>
      <c r="T6" s="182">
        <f t="shared" si="9"/>
        <v>1.96875</v>
      </c>
      <c r="U6" s="150">
        <f>SUM(G14:G16)</f>
        <v>2</v>
      </c>
      <c r="V6" s="118" t="s">
        <v>375</v>
      </c>
      <c r="W6" s="150">
        <f>SUM(F14:F16)</f>
        <v>3</v>
      </c>
      <c r="X6" s="184">
        <f t="shared" si="3"/>
        <v>2.5</v>
      </c>
      <c r="Y6" s="182">
        <f>X14</f>
        <v>1.25</v>
      </c>
      <c r="Z6" s="182">
        <f>X15</f>
        <v>1.625</v>
      </c>
      <c r="AA6" s="182">
        <f>X16</f>
        <v>0.75</v>
      </c>
      <c r="AB6" s="182">
        <f t="shared" si="10"/>
        <v>2.25</v>
      </c>
      <c r="AC6" s="188">
        <f t="shared" si="11"/>
        <v>2.625</v>
      </c>
      <c r="AD6" s="182">
        <f t="shared" si="12"/>
        <v>1.75</v>
      </c>
      <c r="AE6" s="182">
        <f t="shared" si="17"/>
        <v>5.90625</v>
      </c>
      <c r="AF6" s="182">
        <f t="shared" si="18"/>
        <v>4.59375</v>
      </c>
      <c r="AG6" s="182">
        <f t="shared" si="19"/>
        <v>3.9375</v>
      </c>
      <c r="AH6" s="182">
        <f t="shared" si="20"/>
        <v>10.3359375</v>
      </c>
      <c r="AI6" s="182">
        <f t="shared" si="13"/>
        <v>24.3984375</v>
      </c>
      <c r="AJ6" s="195" t="str">
        <f t="shared" si="14"/>
        <v>Alfie Davies</v>
      </c>
      <c r="AK6" s="1">
        <f t="shared" si="15"/>
        <v>7</v>
      </c>
    </row>
    <row r="7" spans="1:77" ht="13.15" thickBot="1">
      <c r="B7" s="185"/>
      <c r="C7" s="185" t="str">
        <f>Picks!B7</f>
        <v>Orient</v>
      </c>
      <c r="D7" s="186">
        <f>Picks!C7</f>
        <v>7</v>
      </c>
      <c r="E7" s="186">
        <f>Picks!D7</f>
        <v>3.2</v>
      </c>
      <c r="F7" s="185">
        <f>IF(C7="","",INDEX(Odds!K:K,MATCH(C7,Odds!G:G,0)))</f>
        <v>1</v>
      </c>
      <c r="G7" s="185">
        <f>IF(C7="","",Picks!M7)</f>
        <v>0</v>
      </c>
      <c r="H7" s="186">
        <f t="shared" si="4"/>
        <v>0</v>
      </c>
      <c r="I7" s="194" t="str">
        <f t="shared" si="5"/>
        <v>Alick Rocca</v>
      </c>
      <c r="J7" s="182">
        <f>H17</f>
        <v>0</v>
      </c>
      <c r="K7" s="182">
        <f>H18</f>
        <v>0</v>
      </c>
      <c r="L7" s="182">
        <f>H19</f>
        <v>2.2000000000000002</v>
      </c>
      <c r="M7" s="182">
        <f t="shared" si="0"/>
        <v>0</v>
      </c>
      <c r="N7" s="182">
        <f t="shared" si="1"/>
        <v>0</v>
      </c>
      <c r="O7" s="182">
        <f t="shared" si="2"/>
        <v>3.2</v>
      </c>
      <c r="P7" s="182">
        <f t="shared" si="6"/>
        <v>0</v>
      </c>
      <c r="Q7" s="182">
        <f t="shared" si="7"/>
        <v>0</v>
      </c>
      <c r="R7" s="182">
        <f t="shared" si="8"/>
        <v>0</v>
      </c>
      <c r="S7" s="182">
        <f t="shared" si="16"/>
        <v>0</v>
      </c>
      <c r="T7" s="182">
        <f t="shared" si="9"/>
        <v>-3.8</v>
      </c>
      <c r="U7" s="150">
        <f>SUM(G17:G19)</f>
        <v>1</v>
      </c>
      <c r="V7" s="118" t="s">
        <v>316</v>
      </c>
      <c r="W7" s="150">
        <f>SUM(F17:F19)</f>
        <v>3</v>
      </c>
      <c r="X7" s="184">
        <f t="shared" si="3"/>
        <v>2.2000000000000002</v>
      </c>
      <c r="Y7" s="182">
        <f>X17</f>
        <v>2.2999999999999998</v>
      </c>
      <c r="Z7" s="182">
        <f>X18</f>
        <v>2.4</v>
      </c>
      <c r="AA7" s="182">
        <f>X19</f>
        <v>2.2000000000000002</v>
      </c>
      <c r="AB7" s="182">
        <f t="shared" si="10"/>
        <v>3.3</v>
      </c>
      <c r="AC7" s="188">
        <f t="shared" si="11"/>
        <v>3.4</v>
      </c>
      <c r="AD7" s="182">
        <f t="shared" si="12"/>
        <v>3.2</v>
      </c>
      <c r="AE7" s="182">
        <f t="shared" si="17"/>
        <v>11.219999999999999</v>
      </c>
      <c r="AF7" s="182">
        <f t="shared" si="18"/>
        <v>10.88</v>
      </c>
      <c r="AG7" s="182">
        <f t="shared" si="19"/>
        <v>10.559999999999999</v>
      </c>
      <c r="AH7" s="182">
        <f t="shared" si="20"/>
        <v>35.903999999999996</v>
      </c>
      <c r="AI7" s="182">
        <f t="shared" si="13"/>
        <v>71.463999999999999</v>
      </c>
      <c r="AJ7" s="195" t="str">
        <f t="shared" si="14"/>
        <v>Alick Rocca</v>
      </c>
      <c r="AK7" s="1">
        <f t="shared" si="15"/>
        <v>7</v>
      </c>
    </row>
    <row r="8" spans="1:77">
      <c r="B8" s="183" t="str">
        <f>$V4</f>
        <v>Alan White</v>
      </c>
      <c r="C8" s="183" t="str">
        <f>Picks!B8</f>
        <v>Shrewsbury</v>
      </c>
      <c r="D8" s="184">
        <f>Picks!C8</f>
        <v>7</v>
      </c>
      <c r="E8" s="184">
        <f>Picks!D8</f>
        <v>2.25</v>
      </c>
      <c r="F8" s="183">
        <f>IF(C8="","",INDEX(Odds!K:K,MATCH(C8,Odds!G:G,0)))</f>
        <v>1</v>
      </c>
      <c r="G8" s="183">
        <f>IF(C8="","",Picks!M8)</f>
        <v>1</v>
      </c>
      <c r="H8" s="184">
        <f t="shared" si="4"/>
        <v>1.25</v>
      </c>
      <c r="I8" s="194" t="str">
        <f t="shared" si="5"/>
        <v>Andy Charleston</v>
      </c>
      <c r="J8" s="182">
        <f>H20</f>
        <v>0</v>
      </c>
      <c r="K8" s="182">
        <f>H21</f>
        <v>0</v>
      </c>
      <c r="L8" s="182">
        <f>H22</f>
        <v>1.375</v>
      </c>
      <c r="M8" s="182">
        <f t="shared" si="0"/>
        <v>0</v>
      </c>
      <c r="N8" s="182">
        <f t="shared" si="1"/>
        <v>0</v>
      </c>
      <c r="O8" s="182">
        <f t="shared" si="2"/>
        <v>2.375</v>
      </c>
      <c r="P8" s="182">
        <f t="shared" si="6"/>
        <v>0</v>
      </c>
      <c r="Q8" s="182">
        <f t="shared" si="7"/>
        <v>0</v>
      </c>
      <c r="R8" s="182">
        <f t="shared" si="8"/>
        <v>0</v>
      </c>
      <c r="S8" s="182">
        <f t="shared" si="16"/>
        <v>0</v>
      </c>
      <c r="T8" s="182">
        <f t="shared" si="9"/>
        <v>-4.625</v>
      </c>
      <c r="U8" s="150">
        <f>SUM(G20:G22)</f>
        <v>1</v>
      </c>
      <c r="V8" s="118" t="s">
        <v>292</v>
      </c>
      <c r="W8" s="150">
        <f>SUM(F20:F22)</f>
        <v>3</v>
      </c>
      <c r="X8" s="184">
        <f t="shared" si="3"/>
        <v>1.25</v>
      </c>
      <c r="Y8" s="182">
        <f>X20</f>
        <v>1.7999999999999998</v>
      </c>
      <c r="Z8" s="182">
        <f>X21</f>
        <v>1.25</v>
      </c>
      <c r="AA8" s="182">
        <f>X22</f>
        <v>1.375</v>
      </c>
      <c r="AB8" s="182">
        <f t="shared" si="10"/>
        <v>2.8</v>
      </c>
      <c r="AC8" s="188">
        <f t="shared" si="11"/>
        <v>2.25</v>
      </c>
      <c r="AD8" s="182">
        <f t="shared" si="12"/>
        <v>2.375</v>
      </c>
      <c r="AE8" s="182">
        <f t="shared" si="17"/>
        <v>6.3</v>
      </c>
      <c r="AF8" s="182">
        <f t="shared" si="18"/>
        <v>5.34375</v>
      </c>
      <c r="AG8" s="182">
        <f t="shared" si="19"/>
        <v>6.6499999999999995</v>
      </c>
      <c r="AH8" s="182">
        <f t="shared" si="20"/>
        <v>14.962499999999999</v>
      </c>
      <c r="AI8" s="182">
        <f t="shared" si="13"/>
        <v>33.681249999999999</v>
      </c>
      <c r="AJ8" s="195" t="str">
        <f t="shared" si="14"/>
        <v>Andy Charleston</v>
      </c>
      <c r="AK8" s="1">
        <f t="shared" si="15"/>
        <v>7</v>
      </c>
    </row>
    <row r="9" spans="1:77">
      <c r="B9" s="183"/>
      <c r="C9" s="183" t="str">
        <f>Picks!B9</f>
        <v>Northampton</v>
      </c>
      <c r="D9" s="184">
        <f>Picks!C9</f>
        <v>7</v>
      </c>
      <c r="E9" s="184">
        <f>Picks!D9</f>
        <v>3.1</v>
      </c>
      <c r="F9" s="183">
        <f>IF(C9="","",INDEX(Odds!K:K,MATCH(C9,Odds!G:G,0)))</f>
        <v>1</v>
      </c>
      <c r="G9" s="183">
        <f>IF(C9="","",Picks!M9)</f>
        <v>0</v>
      </c>
      <c r="H9" s="184">
        <f t="shared" si="4"/>
        <v>0</v>
      </c>
      <c r="I9" s="194" t="str">
        <f t="shared" si="5"/>
        <v>Andy White</v>
      </c>
      <c r="J9" s="182">
        <f>H23</f>
        <v>0.95</v>
      </c>
      <c r="K9" s="182">
        <f>H24</f>
        <v>0</v>
      </c>
      <c r="L9" s="182">
        <f>H25</f>
        <v>0</v>
      </c>
      <c r="M9" s="182">
        <f t="shared" si="0"/>
        <v>1.95</v>
      </c>
      <c r="N9" s="182">
        <f t="shared" si="1"/>
        <v>0</v>
      </c>
      <c r="O9" s="182">
        <f t="shared" si="2"/>
        <v>0</v>
      </c>
      <c r="P9" s="182">
        <f t="shared" si="6"/>
        <v>0</v>
      </c>
      <c r="Q9" s="182">
        <f t="shared" si="7"/>
        <v>0</v>
      </c>
      <c r="R9" s="182">
        <f t="shared" si="8"/>
        <v>0</v>
      </c>
      <c r="S9" s="182">
        <f t="shared" si="16"/>
        <v>0</v>
      </c>
      <c r="T9" s="182">
        <f t="shared" si="9"/>
        <v>-5.05</v>
      </c>
      <c r="U9" s="150">
        <f>SUM(G23:G25)</f>
        <v>1</v>
      </c>
      <c r="V9" s="118" t="s">
        <v>287</v>
      </c>
      <c r="W9" s="150">
        <f>SUM(F23:F25)</f>
        <v>3</v>
      </c>
      <c r="X9" s="184">
        <f t="shared" si="3"/>
        <v>2.1</v>
      </c>
      <c r="Y9" s="182">
        <f>X23</f>
        <v>0.95</v>
      </c>
      <c r="Z9" s="182">
        <f>X24</f>
        <v>1.0499999999999998</v>
      </c>
      <c r="AA9" s="182">
        <f>X25</f>
        <v>1.1000000000000001</v>
      </c>
      <c r="AB9" s="182">
        <f t="shared" si="10"/>
        <v>1.95</v>
      </c>
      <c r="AC9" s="188">
        <f t="shared" si="11"/>
        <v>2.0499999999999998</v>
      </c>
      <c r="AD9" s="182">
        <f t="shared" si="12"/>
        <v>2.1</v>
      </c>
      <c r="AE9" s="182">
        <f t="shared" si="17"/>
        <v>3.9974999999999996</v>
      </c>
      <c r="AF9" s="182">
        <f t="shared" si="18"/>
        <v>4.3049999999999997</v>
      </c>
      <c r="AG9" s="182">
        <f t="shared" si="19"/>
        <v>4.0949999999999998</v>
      </c>
      <c r="AH9" s="182">
        <f t="shared" si="20"/>
        <v>8.3947499999999984</v>
      </c>
      <c r="AI9" s="182">
        <f t="shared" si="13"/>
        <v>19.892249999999997</v>
      </c>
      <c r="AJ9" s="195" t="str">
        <f t="shared" si="14"/>
        <v>Andy White</v>
      </c>
      <c r="AK9" s="1">
        <f t="shared" si="15"/>
        <v>7</v>
      </c>
    </row>
    <row r="10" spans="1:77" ht="13.15" thickBot="1">
      <c r="B10" s="185"/>
      <c r="C10" s="185" t="str">
        <f>Picks!B10</f>
        <v>Orient</v>
      </c>
      <c r="D10" s="186">
        <f>Picks!C10</f>
        <v>7</v>
      </c>
      <c r="E10" s="186">
        <f>Picks!D10</f>
        <v>3.2</v>
      </c>
      <c r="F10" s="185">
        <f>IF(C10="","",INDEX(Odds!K:K,MATCH(C10,Odds!G:G,0)))</f>
        <v>1</v>
      </c>
      <c r="G10" s="185">
        <f>IF(C10="","",Picks!M10)</f>
        <v>0</v>
      </c>
      <c r="H10" s="186">
        <f t="shared" si="4"/>
        <v>0</v>
      </c>
      <c r="I10" s="194" t="str">
        <f t="shared" si="5"/>
        <v>Ashley Houghton</v>
      </c>
      <c r="J10" s="182">
        <f>H26</f>
        <v>0</v>
      </c>
      <c r="K10" s="182">
        <f>H27</f>
        <v>0</v>
      </c>
      <c r="L10" s="182">
        <f>H28</f>
        <v>0</v>
      </c>
      <c r="M10" s="182">
        <f t="shared" si="0"/>
        <v>0</v>
      </c>
      <c r="N10" s="182">
        <f t="shared" si="1"/>
        <v>0</v>
      </c>
      <c r="O10" s="182">
        <f t="shared" si="2"/>
        <v>0</v>
      </c>
      <c r="P10" s="182">
        <f t="shared" si="6"/>
        <v>0</v>
      </c>
      <c r="Q10" s="182">
        <f t="shared" si="7"/>
        <v>0</v>
      </c>
      <c r="R10" s="182">
        <f t="shared" si="8"/>
        <v>0</v>
      </c>
      <c r="S10" s="182">
        <f t="shared" si="16"/>
        <v>0</v>
      </c>
      <c r="T10" s="182">
        <f t="shared" si="9"/>
        <v>-7</v>
      </c>
      <c r="U10" s="150">
        <f>SUM(G26:G28)</f>
        <v>0</v>
      </c>
      <c r="V10" s="118" t="s">
        <v>370</v>
      </c>
      <c r="W10" s="150">
        <f>SUM(F26:F28)</f>
        <v>3</v>
      </c>
      <c r="X10" s="184">
        <f t="shared" si="3"/>
        <v>2.2000000000000002</v>
      </c>
      <c r="Y10" s="182">
        <f>X26</f>
        <v>1</v>
      </c>
      <c r="Z10" s="182">
        <f>X27</f>
        <v>2.8</v>
      </c>
      <c r="AA10" s="182">
        <f>X28</f>
        <v>2.25</v>
      </c>
      <c r="AB10" s="182">
        <f t="shared" si="10"/>
        <v>2</v>
      </c>
      <c r="AC10" s="188">
        <f t="shared" si="11"/>
        <v>3.8</v>
      </c>
      <c r="AD10" s="182">
        <f t="shared" si="12"/>
        <v>3.25</v>
      </c>
      <c r="AE10" s="182">
        <f t="shared" si="17"/>
        <v>7.6</v>
      </c>
      <c r="AF10" s="182">
        <f t="shared" si="18"/>
        <v>12.349999999999998</v>
      </c>
      <c r="AG10" s="182">
        <f t="shared" si="19"/>
        <v>6.5</v>
      </c>
      <c r="AH10" s="182">
        <f t="shared" si="20"/>
        <v>24.699999999999996</v>
      </c>
      <c r="AI10" s="182">
        <f t="shared" si="13"/>
        <v>53.199999999999996</v>
      </c>
      <c r="AJ10" s="195" t="str">
        <f t="shared" si="14"/>
        <v>Ashley Houghton</v>
      </c>
      <c r="AK10" s="1">
        <f t="shared" si="15"/>
        <v>7</v>
      </c>
    </row>
    <row r="11" spans="1:77">
      <c r="B11" s="183" t="str">
        <f>$V5</f>
        <v>Alex Griffin</v>
      </c>
      <c r="C11" s="183" t="str">
        <f>Picks!B11</f>
        <v>Bournemouth draw</v>
      </c>
      <c r="D11" s="184">
        <f>Picks!C11</f>
        <v>7</v>
      </c>
      <c r="E11" s="184">
        <f>Picks!D11</f>
        <v>4</v>
      </c>
      <c r="F11" s="183">
        <f>IF(C11="","",INDEX(Odds!K:K,MATCH(C11,Odds!G:G,0)))</f>
        <v>1</v>
      </c>
      <c r="G11" s="183">
        <f>IF(C11="","",Picks!M11)</f>
        <v>1</v>
      </c>
      <c r="H11" s="184">
        <f t="shared" si="4"/>
        <v>3</v>
      </c>
      <c r="I11" s="194" t="str">
        <f t="shared" si="5"/>
        <v>Barry Birchall</v>
      </c>
      <c r="J11" s="182">
        <f>H29</f>
        <v>0</v>
      </c>
      <c r="K11" s="182">
        <f>H30</f>
        <v>0</v>
      </c>
      <c r="L11" s="182">
        <f>H31</f>
        <v>0</v>
      </c>
      <c r="M11" s="182">
        <f t="shared" si="0"/>
        <v>0</v>
      </c>
      <c r="N11" s="182">
        <f t="shared" si="1"/>
        <v>0</v>
      </c>
      <c r="O11" s="182">
        <f t="shared" si="2"/>
        <v>0</v>
      </c>
      <c r="P11" s="182">
        <f t="shared" si="6"/>
        <v>0</v>
      </c>
      <c r="Q11" s="182">
        <f t="shared" si="7"/>
        <v>0</v>
      </c>
      <c r="R11" s="182">
        <f t="shared" si="8"/>
        <v>0</v>
      </c>
      <c r="S11" s="182">
        <f t="shared" si="16"/>
        <v>0</v>
      </c>
      <c r="T11" s="182">
        <f t="shared" si="9"/>
        <v>-7</v>
      </c>
      <c r="U11" s="150">
        <f>SUM(G29:G31)</f>
        <v>0</v>
      </c>
      <c r="V11" s="121" t="s">
        <v>281</v>
      </c>
      <c r="W11" s="150">
        <f>SUM(F29:F31)</f>
        <v>3</v>
      </c>
      <c r="X11" s="184">
        <f t="shared" si="3"/>
        <v>3</v>
      </c>
      <c r="Y11" s="182">
        <f>X29</f>
        <v>1.5</v>
      </c>
      <c r="Z11" s="182">
        <f>X30</f>
        <v>1.7000000000000002</v>
      </c>
      <c r="AA11" s="182">
        <f>X31</f>
        <v>1.2999999999999998</v>
      </c>
      <c r="AB11" s="182">
        <f t="shared" si="10"/>
        <v>2.5</v>
      </c>
      <c r="AC11" s="188">
        <f t="shared" si="11"/>
        <v>2.7</v>
      </c>
      <c r="AD11" s="182">
        <f t="shared" si="12"/>
        <v>2.2999999999999998</v>
      </c>
      <c r="AE11" s="182">
        <f t="shared" si="17"/>
        <v>6.75</v>
      </c>
      <c r="AF11" s="182">
        <f t="shared" si="18"/>
        <v>6.21</v>
      </c>
      <c r="AG11" s="182">
        <f t="shared" si="19"/>
        <v>5.75</v>
      </c>
      <c r="AH11" s="182">
        <f t="shared" si="20"/>
        <v>15.524999999999999</v>
      </c>
      <c r="AI11" s="182">
        <f t="shared" si="13"/>
        <v>34.734999999999999</v>
      </c>
      <c r="AJ11" s="195" t="str">
        <f t="shared" si="14"/>
        <v>Barry Birchall</v>
      </c>
      <c r="AK11" s="1">
        <f t="shared" si="15"/>
        <v>7</v>
      </c>
    </row>
    <row r="12" spans="1:77">
      <c r="B12" s="183"/>
      <c r="C12" s="183" t="str">
        <f>Picks!B12</f>
        <v>Man C</v>
      </c>
      <c r="D12" s="184">
        <f>Picks!C12</f>
        <v>1</v>
      </c>
      <c r="E12" s="184">
        <f>Picks!D12</f>
        <v>1.2222222222222223</v>
      </c>
      <c r="F12" s="183">
        <f>IF(C12="","",INDEX(Odds!K:K,MATCH(C12,Odds!G:G,0)))</f>
        <v>1</v>
      </c>
      <c r="G12" s="183">
        <f>IF(C12="","",Picks!M12)</f>
        <v>1</v>
      </c>
      <c r="H12" s="184">
        <f t="shared" si="4"/>
        <v>0.22222222222222232</v>
      </c>
      <c r="I12" s="194" t="str">
        <f t="shared" si="5"/>
        <v>Ben Rosser</v>
      </c>
      <c r="J12" s="182">
        <f>H32</f>
        <v>2.4</v>
      </c>
      <c r="K12" s="182">
        <f>H33</f>
        <v>2.2999999999999998</v>
      </c>
      <c r="L12" s="182">
        <f>H34</f>
        <v>0</v>
      </c>
      <c r="M12" s="182">
        <f t="shared" si="0"/>
        <v>3.4</v>
      </c>
      <c r="N12" s="182">
        <f t="shared" si="1"/>
        <v>3.3</v>
      </c>
      <c r="O12" s="182">
        <f t="shared" si="2"/>
        <v>0</v>
      </c>
      <c r="P12" s="182">
        <f t="shared" si="6"/>
        <v>11.219999999999999</v>
      </c>
      <c r="Q12" s="182">
        <f t="shared" si="7"/>
        <v>0</v>
      </c>
      <c r="R12" s="182">
        <f t="shared" si="8"/>
        <v>0</v>
      </c>
      <c r="S12" s="182">
        <f t="shared" si="16"/>
        <v>0</v>
      </c>
      <c r="T12" s="182">
        <f t="shared" si="9"/>
        <v>10.919999999999998</v>
      </c>
      <c r="U12" s="150">
        <f>SUM(G32:G34)</f>
        <v>2</v>
      </c>
      <c r="V12" s="118" t="s">
        <v>367</v>
      </c>
      <c r="W12" s="150">
        <f>SUM(F32:F34)</f>
        <v>3</v>
      </c>
      <c r="X12" s="184">
        <f t="shared" si="3"/>
        <v>0.22222222222222232</v>
      </c>
      <c r="Y12" s="182">
        <f>X32</f>
        <v>2.4</v>
      </c>
      <c r="Z12" s="182">
        <f>X33</f>
        <v>2.2999999999999998</v>
      </c>
      <c r="AA12" s="182">
        <f>X34</f>
        <v>1.25</v>
      </c>
      <c r="AB12" s="182">
        <f t="shared" si="10"/>
        <v>3.4</v>
      </c>
      <c r="AC12" s="188">
        <f t="shared" si="11"/>
        <v>3.3</v>
      </c>
      <c r="AD12" s="182">
        <f t="shared" si="12"/>
        <v>2.25</v>
      </c>
      <c r="AE12" s="182">
        <f t="shared" si="17"/>
        <v>11.219999999999999</v>
      </c>
      <c r="AF12" s="182">
        <f t="shared" si="18"/>
        <v>7.4249999999999998</v>
      </c>
      <c r="AG12" s="182">
        <f t="shared" si="19"/>
        <v>7.6499999999999995</v>
      </c>
      <c r="AH12" s="182">
        <f t="shared" si="20"/>
        <v>25.244999999999997</v>
      </c>
      <c r="AI12" s="182">
        <f t="shared" si="13"/>
        <v>53.489999999999995</v>
      </c>
      <c r="AJ12" s="195" t="str">
        <f t="shared" si="14"/>
        <v>Ben Rosser</v>
      </c>
      <c r="AK12" s="1">
        <f t="shared" si="15"/>
        <v>7</v>
      </c>
    </row>
    <row r="13" spans="1:77" ht="13.15" thickBot="1">
      <c r="B13" s="185"/>
      <c r="C13" s="185" t="str">
        <f>Picks!B13</f>
        <v>Man C draw</v>
      </c>
      <c r="D13" s="186">
        <f>Picks!C13</f>
        <v>1</v>
      </c>
      <c r="E13" s="186">
        <f>Picks!D13</f>
        <v>6</v>
      </c>
      <c r="F13" s="185">
        <f>IF(C13="","",INDEX(Odds!K:K,MATCH(C13,Odds!G:G,0)))</f>
        <v>1</v>
      </c>
      <c r="G13" s="185">
        <f>IF(C13="","",Picks!M13)</f>
        <v>0</v>
      </c>
      <c r="H13" s="186">
        <f t="shared" si="4"/>
        <v>0</v>
      </c>
      <c r="I13" s="194" t="str">
        <f t="shared" si="5"/>
        <v>Bob Bailey</v>
      </c>
      <c r="J13" s="182">
        <f>H35</f>
        <v>2.25</v>
      </c>
      <c r="K13" s="182">
        <f>H36</f>
        <v>0</v>
      </c>
      <c r="L13" s="182">
        <f>H37</f>
        <v>0</v>
      </c>
      <c r="M13" s="182">
        <f t="shared" si="0"/>
        <v>3.25</v>
      </c>
      <c r="N13" s="182">
        <f t="shared" si="1"/>
        <v>0</v>
      </c>
      <c r="O13" s="182">
        <f t="shared" si="2"/>
        <v>0</v>
      </c>
      <c r="P13" s="182">
        <f t="shared" si="6"/>
        <v>0</v>
      </c>
      <c r="Q13" s="182">
        <f t="shared" si="7"/>
        <v>0</v>
      </c>
      <c r="R13" s="182">
        <f t="shared" si="8"/>
        <v>0</v>
      </c>
      <c r="S13" s="182">
        <f t="shared" si="16"/>
        <v>0</v>
      </c>
      <c r="T13" s="182">
        <f t="shared" si="9"/>
        <v>-3.75</v>
      </c>
      <c r="U13" s="150">
        <f>SUM(G35:G37)</f>
        <v>1</v>
      </c>
      <c r="V13" s="118" t="s">
        <v>518</v>
      </c>
      <c r="W13" s="150">
        <f>SUM(F35:F37)</f>
        <v>3</v>
      </c>
      <c r="X13" s="184">
        <f t="shared" si="3"/>
        <v>5</v>
      </c>
      <c r="Y13" s="182">
        <f>X35</f>
        <v>2.25</v>
      </c>
      <c r="Z13" s="182">
        <f>X36</f>
        <v>2.25</v>
      </c>
      <c r="AA13" s="182">
        <f>X37</f>
        <v>2.4</v>
      </c>
      <c r="AB13" s="182">
        <f t="shared" si="10"/>
        <v>3.25</v>
      </c>
      <c r="AC13" s="188">
        <f t="shared" si="11"/>
        <v>3.25</v>
      </c>
      <c r="AD13" s="182">
        <f t="shared" si="12"/>
        <v>3.4</v>
      </c>
      <c r="AE13" s="182">
        <f t="shared" si="17"/>
        <v>10.5625</v>
      </c>
      <c r="AF13" s="182">
        <f t="shared" si="18"/>
        <v>11.05</v>
      </c>
      <c r="AG13" s="182">
        <f t="shared" si="19"/>
        <v>11.049999999999999</v>
      </c>
      <c r="AH13" s="182">
        <f t="shared" si="20"/>
        <v>35.912499999999994</v>
      </c>
      <c r="AI13" s="182">
        <f t="shared" si="13"/>
        <v>71.474999999999994</v>
      </c>
      <c r="AJ13" s="195" t="str">
        <f t="shared" si="14"/>
        <v>Bob Bailey</v>
      </c>
      <c r="AK13" s="1">
        <f t="shared" si="15"/>
        <v>7</v>
      </c>
    </row>
    <row r="14" spans="1:77">
      <c r="B14" s="183" t="str">
        <f>$V6</f>
        <v>Alfie Davies</v>
      </c>
      <c r="C14" s="183" t="str">
        <f>Picks!B14</f>
        <v>Chelsea</v>
      </c>
      <c r="D14" s="184">
        <f>Picks!C14</f>
        <v>7</v>
      </c>
      <c r="E14" s="184">
        <f>Picks!D14</f>
        <v>2.25</v>
      </c>
      <c r="F14" s="183">
        <f>IF(C14="","",INDEX(Odds!K:K,MATCH(C14,Odds!G:G,0)))</f>
        <v>1</v>
      </c>
      <c r="G14" s="183">
        <f>IF(C14="","",Picks!M14)</f>
        <v>0</v>
      </c>
      <c r="H14" s="184">
        <f t="shared" si="4"/>
        <v>0</v>
      </c>
      <c r="I14" s="194" t="str">
        <f t="shared" si="5"/>
        <v>Charlie Griffiths</v>
      </c>
      <c r="J14" s="182">
        <f>H38</f>
        <v>0.75</v>
      </c>
      <c r="K14" s="182">
        <f>H39</f>
        <v>0</v>
      </c>
      <c r="L14" s="182">
        <f>H40</f>
        <v>0</v>
      </c>
      <c r="M14" s="182">
        <f t="shared" si="0"/>
        <v>1.75</v>
      </c>
      <c r="N14" s="182">
        <f t="shared" si="1"/>
        <v>0</v>
      </c>
      <c r="O14" s="182">
        <f t="shared" si="2"/>
        <v>0</v>
      </c>
      <c r="P14" s="182">
        <f t="shared" si="6"/>
        <v>0</v>
      </c>
      <c r="Q14" s="182">
        <f t="shared" si="7"/>
        <v>0</v>
      </c>
      <c r="R14" s="182">
        <f t="shared" si="8"/>
        <v>0</v>
      </c>
      <c r="S14" s="182">
        <f t="shared" si="16"/>
        <v>0</v>
      </c>
      <c r="T14" s="182">
        <f t="shared" si="9"/>
        <v>-5.25</v>
      </c>
      <c r="U14" s="150">
        <f>SUM(G38:G40)</f>
        <v>1</v>
      </c>
      <c r="V14" s="121" t="s">
        <v>307</v>
      </c>
      <c r="W14" s="150">
        <f>SUM(F38:F40)</f>
        <v>3</v>
      </c>
      <c r="X14" s="184">
        <f t="shared" si="3"/>
        <v>1.25</v>
      </c>
      <c r="Y14" s="182">
        <f>X38</f>
        <v>0.75</v>
      </c>
      <c r="Z14" s="182">
        <f>X39</f>
        <v>5</v>
      </c>
      <c r="AA14" s="182">
        <f>X40</f>
        <v>0.36363636363636376</v>
      </c>
      <c r="AB14" s="182">
        <f t="shared" si="10"/>
        <v>1.75</v>
      </c>
      <c r="AC14" s="188">
        <f t="shared" si="11"/>
        <v>6</v>
      </c>
      <c r="AD14" s="182">
        <f t="shared" si="12"/>
        <v>1.3636363636363638</v>
      </c>
      <c r="AE14" s="182">
        <f t="shared" si="17"/>
        <v>10.5</v>
      </c>
      <c r="AF14" s="182">
        <f t="shared" si="18"/>
        <v>8.1818181818181834</v>
      </c>
      <c r="AG14" s="182">
        <f t="shared" si="19"/>
        <v>2.3863636363636367</v>
      </c>
      <c r="AH14" s="182">
        <f t="shared" si="20"/>
        <v>14.31818181818182</v>
      </c>
      <c r="AI14" s="182">
        <f t="shared" si="13"/>
        <v>37.5</v>
      </c>
      <c r="AJ14" s="195" t="str">
        <f t="shared" si="14"/>
        <v>Charlie Griffiths</v>
      </c>
      <c r="AK14" s="1">
        <f t="shared" si="15"/>
        <v>7</v>
      </c>
    </row>
    <row r="15" spans="1:77">
      <c r="B15" s="183"/>
      <c r="C15" s="183" t="str">
        <f>Picks!B15</f>
        <v>Wolves</v>
      </c>
      <c r="D15" s="184">
        <f>Picks!C15</f>
        <v>7</v>
      </c>
      <c r="E15" s="184">
        <f>Picks!D15</f>
        <v>2.625</v>
      </c>
      <c r="F15" s="183">
        <f>IF(C15="","",INDEX(Odds!K:K,MATCH(C15,Odds!G:G,0)))</f>
        <v>1</v>
      </c>
      <c r="G15" s="183">
        <f>IF(C15="","",Picks!M15)</f>
        <v>1</v>
      </c>
      <c r="H15" s="184">
        <f t="shared" si="4"/>
        <v>1.625</v>
      </c>
      <c r="I15" s="194" t="str">
        <f t="shared" si="5"/>
        <v>Chris Bow</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313</v>
      </c>
      <c r="W15" s="150">
        <f>SUM(F41:F43)</f>
        <v>3</v>
      </c>
      <c r="X15" s="184">
        <f t="shared" si="3"/>
        <v>1.625</v>
      </c>
      <c r="Y15" s="182">
        <f>X41</f>
        <v>2.25</v>
      </c>
      <c r="Z15" s="182">
        <f>X42</f>
        <v>1</v>
      </c>
      <c r="AA15" s="182">
        <f>X43</f>
        <v>1.2999999999999998</v>
      </c>
      <c r="AB15" s="182">
        <f t="shared" si="10"/>
        <v>3.25</v>
      </c>
      <c r="AC15" s="188">
        <f t="shared" si="11"/>
        <v>2</v>
      </c>
      <c r="AD15" s="182">
        <f t="shared" si="12"/>
        <v>2.2999999999999998</v>
      </c>
      <c r="AE15" s="182">
        <f t="shared" si="17"/>
        <v>6.5</v>
      </c>
      <c r="AF15" s="182">
        <f t="shared" si="18"/>
        <v>4.5999999999999996</v>
      </c>
      <c r="AG15" s="182">
        <f t="shared" si="19"/>
        <v>7.4749999999999996</v>
      </c>
      <c r="AH15" s="182">
        <f t="shared" si="20"/>
        <v>14.95</v>
      </c>
      <c r="AI15" s="182">
        <f t="shared" si="13"/>
        <v>34.075000000000003</v>
      </c>
      <c r="AJ15" s="195" t="str">
        <f t="shared" si="14"/>
        <v>Chris Bow</v>
      </c>
      <c r="AK15" s="1">
        <f t="shared" si="15"/>
        <v>7</v>
      </c>
    </row>
    <row r="16" spans="1:77" ht="13.15" thickBot="1">
      <c r="B16" s="185"/>
      <c r="C16" s="185" t="str">
        <f>Picks!B16</f>
        <v>Man U</v>
      </c>
      <c r="D16" s="186">
        <f>Picks!C16</f>
        <v>1</v>
      </c>
      <c r="E16" s="186">
        <f>Picks!D16</f>
        <v>1.75</v>
      </c>
      <c r="F16" s="185">
        <f>IF(C16="","",INDEX(Odds!K:K,MATCH(C16,Odds!G:G,0)))</f>
        <v>1</v>
      </c>
      <c r="G16" s="185">
        <f>IF(C16="","",Picks!M16)</f>
        <v>1</v>
      </c>
      <c r="H16" s="186">
        <f t="shared" si="4"/>
        <v>0.75</v>
      </c>
      <c r="I16" s="194" t="str">
        <f t="shared" si="5"/>
        <v>Chris Griffin</v>
      </c>
      <c r="J16" s="182">
        <f>H44</f>
        <v>0.90909090909090917</v>
      </c>
      <c r="K16" s="182">
        <f>H45</f>
        <v>0.5</v>
      </c>
      <c r="L16" s="182">
        <f>H46</f>
        <v>0.22222222222222232</v>
      </c>
      <c r="M16" s="182">
        <f t="shared" si="0"/>
        <v>1.9090909090909092</v>
      </c>
      <c r="N16" s="182">
        <f t="shared" si="1"/>
        <v>1.5</v>
      </c>
      <c r="O16" s="182">
        <f t="shared" si="2"/>
        <v>1.2222222222222223</v>
      </c>
      <c r="P16" s="182">
        <f t="shared" si="6"/>
        <v>2.8636363636363638</v>
      </c>
      <c r="Q16" s="182">
        <f t="shared" si="7"/>
        <v>1.8333333333333335</v>
      </c>
      <c r="R16" s="182">
        <f t="shared" si="8"/>
        <v>2.3333333333333339</v>
      </c>
      <c r="S16" s="182">
        <f t="shared" si="16"/>
        <v>3.5000000000000004</v>
      </c>
      <c r="T16" s="182">
        <f t="shared" si="9"/>
        <v>8.1616161616161627</v>
      </c>
      <c r="U16" s="150">
        <f>SUM(G44:G46)</f>
        <v>3</v>
      </c>
      <c r="V16" s="118" t="s">
        <v>306</v>
      </c>
      <c r="W16" s="150">
        <f>SUM(F44:F46)</f>
        <v>3</v>
      </c>
      <c r="X16" s="184">
        <f t="shared" si="3"/>
        <v>0.75</v>
      </c>
      <c r="Y16" s="182">
        <f>X44</f>
        <v>0.90909090909090917</v>
      </c>
      <c r="Z16" s="182">
        <f>X45</f>
        <v>0.5</v>
      </c>
      <c r="AA16" s="182">
        <f>X46</f>
        <v>0.22222222222222232</v>
      </c>
      <c r="AB16" s="182">
        <f t="shared" si="10"/>
        <v>1.9090909090909092</v>
      </c>
      <c r="AC16" s="188">
        <f t="shared" si="11"/>
        <v>1.5</v>
      </c>
      <c r="AD16" s="182">
        <f t="shared" si="12"/>
        <v>1.2222222222222223</v>
      </c>
      <c r="AE16" s="182">
        <f t="shared" si="17"/>
        <v>2.8636363636363638</v>
      </c>
      <c r="AF16" s="182">
        <f t="shared" si="18"/>
        <v>1.8333333333333335</v>
      </c>
      <c r="AG16" s="182">
        <f t="shared" si="19"/>
        <v>2.3333333333333339</v>
      </c>
      <c r="AH16" s="182">
        <f t="shared" si="20"/>
        <v>3.5000000000000004</v>
      </c>
      <c r="AI16" s="182">
        <f t="shared" si="13"/>
        <v>8.1616161616161627</v>
      </c>
      <c r="AJ16" s="195" t="str">
        <f t="shared" si="14"/>
        <v>Chris Griffin</v>
      </c>
      <c r="AK16" s="1">
        <f t="shared" si="15"/>
        <v>7</v>
      </c>
    </row>
    <row r="17" spans="2:37">
      <c r="B17" s="183" t="str">
        <f>$V7</f>
        <v>Alick Rocca</v>
      </c>
      <c r="C17" s="183" t="str">
        <f>Picks!B17</f>
        <v>Lincoln Draw</v>
      </c>
      <c r="D17" s="184">
        <f>Picks!C17</f>
        <v>7</v>
      </c>
      <c r="E17" s="184">
        <f>Picks!D17</f>
        <v>3.3</v>
      </c>
      <c r="F17" s="183">
        <f>IF(C17="","",INDEX(Odds!K:K,MATCH(C17,Odds!G:G,0)))</f>
        <v>1</v>
      </c>
      <c r="G17" s="183">
        <f>IF(C17="","",Picks!M17)</f>
        <v>0</v>
      </c>
      <c r="H17" s="184">
        <f t="shared" si="4"/>
        <v>0</v>
      </c>
      <c r="I17" s="194" t="str">
        <f t="shared" si="5"/>
        <v>Chris Luck</v>
      </c>
      <c r="J17" s="182">
        <f>H47</f>
        <v>0</v>
      </c>
      <c r="K17" s="182">
        <f>H48</f>
        <v>0</v>
      </c>
      <c r="L17" s="182">
        <f>H49</f>
        <v>1.1499999999999999</v>
      </c>
      <c r="M17" s="182">
        <f t="shared" si="0"/>
        <v>0</v>
      </c>
      <c r="N17" s="182">
        <f t="shared" si="1"/>
        <v>0</v>
      </c>
      <c r="O17" s="182">
        <f t="shared" si="2"/>
        <v>2.15</v>
      </c>
      <c r="P17" s="182">
        <f t="shared" si="6"/>
        <v>0</v>
      </c>
      <c r="Q17" s="182">
        <f t="shared" si="7"/>
        <v>0</v>
      </c>
      <c r="R17" s="182">
        <f t="shared" si="8"/>
        <v>0</v>
      </c>
      <c r="S17" s="182">
        <f t="shared" si="16"/>
        <v>0</v>
      </c>
      <c r="T17" s="182">
        <f t="shared" si="9"/>
        <v>-4.8499999999999996</v>
      </c>
      <c r="U17" s="150">
        <f>SUM(G47:G49)</f>
        <v>1</v>
      </c>
      <c r="V17" s="118" t="s">
        <v>314</v>
      </c>
      <c r="W17" s="150">
        <f>SUM(F47:F49)</f>
        <v>3</v>
      </c>
      <c r="X17" s="184">
        <f t="shared" si="3"/>
        <v>2.2999999999999998</v>
      </c>
      <c r="Y17" s="182">
        <f>X47</f>
        <v>1.1499999999999999</v>
      </c>
      <c r="Z17" s="182">
        <f>X48</f>
        <v>1.2999999999999998</v>
      </c>
      <c r="AA17" s="182">
        <f>X49</f>
        <v>1.1499999999999999</v>
      </c>
      <c r="AB17" s="182">
        <f t="shared" si="10"/>
        <v>2.15</v>
      </c>
      <c r="AC17" s="188">
        <f t="shared" si="11"/>
        <v>2.2999999999999998</v>
      </c>
      <c r="AD17" s="182">
        <f t="shared" si="12"/>
        <v>2.15</v>
      </c>
      <c r="AE17" s="182">
        <f t="shared" si="17"/>
        <v>4.9449999999999994</v>
      </c>
      <c r="AF17" s="182">
        <f t="shared" si="18"/>
        <v>4.9449999999999994</v>
      </c>
      <c r="AG17" s="182">
        <f t="shared" si="19"/>
        <v>4.6224999999999996</v>
      </c>
      <c r="AH17" s="182">
        <f t="shared" si="20"/>
        <v>10.631749999999998</v>
      </c>
      <c r="AI17" s="182">
        <f t="shared" si="13"/>
        <v>24.744249999999994</v>
      </c>
      <c r="AJ17" s="195" t="str">
        <f t="shared" si="14"/>
        <v>Chris Luck</v>
      </c>
      <c r="AK17" s="1">
        <f t="shared" si="15"/>
        <v>7</v>
      </c>
    </row>
    <row r="18" spans="2:37">
      <c r="B18" s="183"/>
      <c r="C18" s="183" t="str">
        <f>Picks!B18</f>
        <v>Wycombe Draw</v>
      </c>
      <c r="D18" s="184">
        <f>Picks!C18</f>
        <v>7</v>
      </c>
      <c r="E18" s="184">
        <f>Picks!D18</f>
        <v>3.4</v>
      </c>
      <c r="F18" s="183">
        <f>IF(C18="","",INDEX(Odds!K:K,MATCH(C18,Odds!G:G,0)))</f>
        <v>1</v>
      </c>
      <c r="G18" s="183">
        <f>IF(C18="","",Picks!M18)</f>
        <v>0</v>
      </c>
      <c r="H18" s="184">
        <f t="shared" si="4"/>
        <v>0</v>
      </c>
      <c r="I18" s="194" t="str">
        <f t="shared" si="5"/>
        <v>Chris Townsend</v>
      </c>
      <c r="J18" s="182">
        <f>H50</f>
        <v>2.6</v>
      </c>
      <c r="K18" s="182">
        <f>H51</f>
        <v>0</v>
      </c>
      <c r="L18" s="182">
        <f>H52</f>
        <v>0</v>
      </c>
      <c r="M18" s="182">
        <f t="shared" si="0"/>
        <v>3.6</v>
      </c>
      <c r="N18" s="182">
        <f t="shared" si="1"/>
        <v>0</v>
      </c>
      <c r="O18" s="182">
        <f t="shared" si="2"/>
        <v>0</v>
      </c>
      <c r="P18" s="182">
        <f t="shared" si="6"/>
        <v>0</v>
      </c>
      <c r="Q18" s="182">
        <f t="shared" si="7"/>
        <v>0</v>
      </c>
      <c r="R18" s="182">
        <f t="shared" si="8"/>
        <v>0</v>
      </c>
      <c r="S18" s="182">
        <f t="shared" si="16"/>
        <v>0</v>
      </c>
      <c r="T18" s="182">
        <f t="shared" si="9"/>
        <v>-3.4</v>
      </c>
      <c r="U18" s="150">
        <f>SUM(G50:G52)</f>
        <v>1</v>
      </c>
      <c r="V18" s="118" t="s">
        <v>310</v>
      </c>
      <c r="W18" s="150">
        <f>SUM(F50:F52)</f>
        <v>3</v>
      </c>
      <c r="X18" s="184">
        <f t="shared" si="3"/>
        <v>2.4</v>
      </c>
      <c r="Y18" s="182">
        <f>X50</f>
        <v>2.6</v>
      </c>
      <c r="Z18" s="182">
        <f>X51</f>
        <v>2.4</v>
      </c>
      <c r="AA18" s="182">
        <f>X52</f>
        <v>2.4</v>
      </c>
      <c r="AB18" s="182">
        <f t="shared" si="10"/>
        <v>3.6</v>
      </c>
      <c r="AC18" s="188">
        <f t="shared" si="11"/>
        <v>3.4</v>
      </c>
      <c r="AD18" s="182">
        <f t="shared" si="12"/>
        <v>3.4</v>
      </c>
      <c r="AE18" s="182">
        <f t="shared" si="17"/>
        <v>12.24</v>
      </c>
      <c r="AF18" s="182">
        <f t="shared" si="18"/>
        <v>11.56</v>
      </c>
      <c r="AG18" s="182">
        <f t="shared" si="19"/>
        <v>12.24</v>
      </c>
      <c r="AH18" s="182">
        <f t="shared" si="20"/>
        <v>41.616</v>
      </c>
      <c r="AI18" s="182">
        <f t="shared" si="13"/>
        <v>81.056000000000012</v>
      </c>
      <c r="AJ18" s="195" t="str">
        <f t="shared" si="14"/>
        <v>Chris Townsend</v>
      </c>
      <c r="AK18" s="1">
        <f t="shared" si="15"/>
        <v>7</v>
      </c>
    </row>
    <row r="19" spans="2:37" ht="13.15" thickBot="1">
      <c r="B19" s="185"/>
      <c r="C19" s="185" t="str">
        <f>Picks!B19</f>
        <v>Hartlepool Draw</v>
      </c>
      <c r="D19" s="186">
        <f>Picks!C19</f>
        <v>7</v>
      </c>
      <c r="E19" s="186">
        <f>Picks!D19</f>
        <v>3.2</v>
      </c>
      <c r="F19" s="185">
        <f>IF(C19="","",INDEX(Odds!K:K,MATCH(C19,Odds!G:G,0)))</f>
        <v>1</v>
      </c>
      <c r="G19" s="185">
        <f>IF(C19="","",Picks!M19)</f>
        <v>1</v>
      </c>
      <c r="H19" s="186">
        <f t="shared" si="4"/>
        <v>2.2000000000000002</v>
      </c>
      <c r="I19" s="194" t="str">
        <f t="shared" si="5"/>
        <v>Dan Gibbard</v>
      </c>
      <c r="J19" s="182">
        <f>H53</f>
        <v>0.5</v>
      </c>
      <c r="K19" s="182">
        <f>H54</f>
        <v>0.83333333333333348</v>
      </c>
      <c r="L19" s="182">
        <f>H55</f>
        <v>0.90909090909090917</v>
      </c>
      <c r="M19" s="182">
        <f t="shared" si="0"/>
        <v>1.5</v>
      </c>
      <c r="N19" s="182">
        <f t="shared" si="1"/>
        <v>1.8333333333333335</v>
      </c>
      <c r="O19" s="182">
        <f t="shared" si="2"/>
        <v>1.9090909090909092</v>
      </c>
      <c r="P19" s="182">
        <f t="shared" si="6"/>
        <v>2.75</v>
      </c>
      <c r="Q19" s="182">
        <f t="shared" si="7"/>
        <v>3.5000000000000004</v>
      </c>
      <c r="R19" s="182">
        <f t="shared" si="8"/>
        <v>2.8636363636363638</v>
      </c>
      <c r="S19" s="182">
        <f t="shared" si="16"/>
        <v>5.25</v>
      </c>
      <c r="T19" s="182">
        <f t="shared" si="9"/>
        <v>12.606060606060606</v>
      </c>
      <c r="U19" s="150">
        <f>SUM(G53:G55)</f>
        <v>3</v>
      </c>
      <c r="V19" s="118" t="s">
        <v>519</v>
      </c>
      <c r="W19" s="150">
        <f>SUM(F53:F55)</f>
        <v>3</v>
      </c>
      <c r="X19" s="184">
        <f t="shared" si="3"/>
        <v>2.2000000000000002</v>
      </c>
      <c r="Y19" s="182">
        <f>X53</f>
        <v>0.5</v>
      </c>
      <c r="Z19" s="182">
        <f>X54</f>
        <v>0.83333333333333348</v>
      </c>
      <c r="AA19" s="182">
        <f>X55</f>
        <v>0.90909090909090917</v>
      </c>
      <c r="AB19" s="182">
        <f t="shared" si="10"/>
        <v>1.5</v>
      </c>
      <c r="AC19" s="188">
        <f t="shared" si="11"/>
        <v>1.8333333333333335</v>
      </c>
      <c r="AD19" s="182">
        <f t="shared" si="12"/>
        <v>1.9090909090909092</v>
      </c>
      <c r="AE19" s="182">
        <f t="shared" si="17"/>
        <v>2.75</v>
      </c>
      <c r="AF19" s="182">
        <f t="shared" si="18"/>
        <v>3.5000000000000004</v>
      </c>
      <c r="AG19" s="182">
        <f t="shared" si="19"/>
        <v>2.8636363636363638</v>
      </c>
      <c r="AH19" s="182">
        <f t="shared" si="20"/>
        <v>5.25</v>
      </c>
      <c r="AI19" s="182">
        <f t="shared" si="13"/>
        <v>12.606060606060606</v>
      </c>
      <c r="AJ19" s="195" t="str">
        <f t="shared" si="14"/>
        <v>Dan Gibbard</v>
      </c>
      <c r="AK19" s="1">
        <f t="shared" si="15"/>
        <v>7</v>
      </c>
    </row>
    <row r="20" spans="2:37">
      <c r="B20" s="184" t="str">
        <f>$V8</f>
        <v>Andy Charleston</v>
      </c>
      <c r="C20" s="183" t="str">
        <f>Picks!B20</f>
        <v>Southampton</v>
      </c>
      <c r="D20" s="184">
        <f>Picks!C20</f>
        <v>7</v>
      </c>
      <c r="E20" s="184">
        <f>Picks!D20</f>
        <v>2.8</v>
      </c>
      <c r="F20" s="183">
        <f>IF(C20="","",INDEX(Odds!K:K,MATCH(C20,Odds!G:G,0)))</f>
        <v>1</v>
      </c>
      <c r="G20" s="183">
        <f>IF(C20="","",Picks!M20)</f>
        <v>0</v>
      </c>
      <c r="H20" s="184">
        <f t="shared" si="4"/>
        <v>0</v>
      </c>
      <c r="I20" s="194" t="str">
        <f t="shared" si="5"/>
        <v>Dave Bell</v>
      </c>
      <c r="J20" s="182">
        <f>H56</f>
        <v>0</v>
      </c>
      <c r="K20" s="182">
        <f>H57</f>
        <v>0.75</v>
      </c>
      <c r="L20" s="182">
        <f>H58</f>
        <v>0.22222222222222232</v>
      </c>
      <c r="M20" s="182">
        <f t="shared" si="0"/>
        <v>0</v>
      </c>
      <c r="N20" s="182">
        <f t="shared" si="1"/>
        <v>1.75</v>
      </c>
      <c r="O20" s="182">
        <f t="shared" si="2"/>
        <v>1.2222222222222223</v>
      </c>
      <c r="P20" s="182">
        <f t="shared" si="6"/>
        <v>0</v>
      </c>
      <c r="Q20" s="182">
        <f t="shared" si="7"/>
        <v>2.1388888888888893</v>
      </c>
      <c r="R20" s="182">
        <f t="shared" si="8"/>
        <v>0</v>
      </c>
      <c r="S20" s="182">
        <f t="shared" si="16"/>
        <v>0</v>
      </c>
      <c r="T20" s="182">
        <f t="shared" si="9"/>
        <v>-1.8888888888888884</v>
      </c>
      <c r="U20" s="150">
        <f>SUM(G56:G58)</f>
        <v>2</v>
      </c>
      <c r="V20" s="118" t="s">
        <v>377</v>
      </c>
      <c r="W20" s="150">
        <f>SUM(F56:F58)</f>
        <v>3</v>
      </c>
      <c r="X20" s="184">
        <f t="shared" si="3"/>
        <v>1.7999999999999998</v>
      </c>
      <c r="Y20" s="182">
        <f>X56</f>
        <v>0.36363636363636376</v>
      </c>
      <c r="Z20" s="182">
        <f>X57</f>
        <v>0.75</v>
      </c>
      <c r="AA20" s="182">
        <f>X58</f>
        <v>0.22222222222222232</v>
      </c>
      <c r="AB20" s="182">
        <f t="shared" si="10"/>
        <v>1.3636363636363638</v>
      </c>
      <c r="AC20" s="188">
        <f t="shared" si="11"/>
        <v>1.75</v>
      </c>
      <c r="AD20" s="182">
        <f t="shared" si="12"/>
        <v>1.2222222222222223</v>
      </c>
      <c r="AE20" s="182">
        <f t="shared" si="17"/>
        <v>2.3863636363636367</v>
      </c>
      <c r="AF20" s="182">
        <f t="shared" si="18"/>
        <v>2.1388888888888893</v>
      </c>
      <c r="AG20" s="182">
        <f t="shared" si="19"/>
        <v>1.666666666666667</v>
      </c>
      <c r="AH20" s="182">
        <f t="shared" si="20"/>
        <v>2.9166666666666674</v>
      </c>
      <c r="AI20" s="182">
        <f t="shared" si="13"/>
        <v>6.4444444444444464</v>
      </c>
      <c r="AJ20" s="195" t="str">
        <f t="shared" si="14"/>
        <v>Dave Bell</v>
      </c>
      <c r="AK20" s="1">
        <f t="shared" si="15"/>
        <v>7</v>
      </c>
    </row>
    <row r="21" spans="2:37">
      <c r="B21" s="183"/>
      <c r="C21" s="183" t="str">
        <f>Picks!B21</f>
        <v>Chelsea</v>
      </c>
      <c r="D21" s="184">
        <f>Picks!C21</f>
        <v>7</v>
      </c>
      <c r="E21" s="184">
        <f>Picks!D21</f>
        <v>2.25</v>
      </c>
      <c r="F21" s="183">
        <f>IF(C21="","",INDEX(Odds!K:K,MATCH(C21,Odds!G:G,0)))</f>
        <v>1</v>
      </c>
      <c r="G21" s="183">
        <f>IF(C21="","",Picks!M21)</f>
        <v>0</v>
      </c>
      <c r="H21" s="184">
        <f t="shared" si="4"/>
        <v>0</v>
      </c>
      <c r="I21" s="194" t="str">
        <f t="shared" si="5"/>
        <v>Dave Orrell</v>
      </c>
      <c r="J21" s="182">
        <f>H59</f>
        <v>0.5</v>
      </c>
      <c r="K21" s="182">
        <f>H60</f>
        <v>1.1499999999999999</v>
      </c>
      <c r="L21" s="182">
        <f>H61</f>
        <v>0</v>
      </c>
      <c r="M21" s="182">
        <f t="shared" si="0"/>
        <v>1.5</v>
      </c>
      <c r="N21" s="182">
        <f t="shared" si="1"/>
        <v>2.15</v>
      </c>
      <c r="O21" s="182">
        <f t="shared" si="2"/>
        <v>0</v>
      </c>
      <c r="P21" s="182">
        <f t="shared" si="6"/>
        <v>3.2249999999999996</v>
      </c>
      <c r="Q21" s="182">
        <f t="shared" si="7"/>
        <v>0</v>
      </c>
      <c r="R21" s="182">
        <f t="shared" si="8"/>
        <v>0</v>
      </c>
      <c r="S21" s="182">
        <f t="shared" si="16"/>
        <v>0</v>
      </c>
      <c r="T21" s="182">
        <f t="shared" si="9"/>
        <v>-0.125</v>
      </c>
      <c r="U21" s="150">
        <f>SUM(G59:G61)</f>
        <v>2</v>
      </c>
      <c r="V21" s="118" t="s">
        <v>368</v>
      </c>
      <c r="W21" s="150">
        <f>SUM(F59:F61)</f>
        <v>3</v>
      </c>
      <c r="X21" s="184">
        <f t="shared" si="3"/>
        <v>1.25</v>
      </c>
      <c r="Y21" s="182">
        <f>X59</f>
        <v>0.5</v>
      </c>
      <c r="Z21" s="182">
        <f>X60</f>
        <v>1.1499999999999999</v>
      </c>
      <c r="AA21" s="182">
        <f>X61</f>
        <v>2.1</v>
      </c>
      <c r="AB21" s="182">
        <f t="shared" si="10"/>
        <v>1.5</v>
      </c>
      <c r="AC21" s="188">
        <f t="shared" si="11"/>
        <v>2.15</v>
      </c>
      <c r="AD21" s="182">
        <f t="shared" si="12"/>
        <v>3.1</v>
      </c>
      <c r="AE21" s="182">
        <f t="shared" si="17"/>
        <v>3.2249999999999996</v>
      </c>
      <c r="AF21" s="182">
        <f t="shared" si="18"/>
        <v>6.6649999999999991</v>
      </c>
      <c r="AG21" s="182">
        <f t="shared" si="19"/>
        <v>4.6500000000000004</v>
      </c>
      <c r="AH21" s="182">
        <f t="shared" si="20"/>
        <v>9.9974999999999987</v>
      </c>
      <c r="AI21" s="182">
        <f t="shared" si="13"/>
        <v>24.287499999999998</v>
      </c>
      <c r="AJ21" s="195" t="str">
        <f t="shared" si="14"/>
        <v>Dave Orrell</v>
      </c>
      <c r="AK21" s="1">
        <f t="shared" si="15"/>
        <v>7</v>
      </c>
    </row>
    <row r="22" spans="2:37" ht="13.15" thickBot="1">
      <c r="B22" s="185"/>
      <c r="C22" s="185" t="str">
        <f>Picks!B22</f>
        <v>Wigan</v>
      </c>
      <c r="D22" s="186">
        <f>Picks!C22</f>
        <v>7</v>
      </c>
      <c r="E22" s="186">
        <f>Picks!D22</f>
        <v>2.375</v>
      </c>
      <c r="F22" s="185">
        <f>IF(C22="","",INDEX(Odds!K:K,MATCH(C22,Odds!G:G,0)))</f>
        <v>1</v>
      </c>
      <c r="G22" s="185">
        <f>IF(C22="","",Picks!M22)</f>
        <v>1</v>
      </c>
      <c r="H22" s="186">
        <f t="shared" si="4"/>
        <v>1.375</v>
      </c>
      <c r="I22" s="194" t="str">
        <f t="shared" si="5"/>
        <v>David Dunn</v>
      </c>
      <c r="J22" s="182">
        <f>H62</f>
        <v>1.625</v>
      </c>
      <c r="K22" s="182">
        <f>H63</f>
        <v>0.5</v>
      </c>
      <c r="L22" s="182">
        <f>H64</f>
        <v>0</v>
      </c>
      <c r="M22" s="182">
        <f t="shared" si="0"/>
        <v>2.625</v>
      </c>
      <c r="N22" s="182">
        <f t="shared" si="1"/>
        <v>1.5</v>
      </c>
      <c r="O22" s="182">
        <f t="shared" si="2"/>
        <v>0</v>
      </c>
      <c r="P22" s="182">
        <f t="shared" si="6"/>
        <v>3.9375</v>
      </c>
      <c r="Q22" s="182">
        <f t="shared" si="7"/>
        <v>0</v>
      </c>
      <c r="R22" s="182">
        <f t="shared" si="8"/>
        <v>0</v>
      </c>
      <c r="S22" s="182">
        <f t="shared" si="16"/>
        <v>0</v>
      </c>
      <c r="T22" s="182">
        <f t="shared" si="9"/>
        <v>1.0625</v>
      </c>
      <c r="U22" s="150">
        <f>SUM(G62:G64)</f>
        <v>2</v>
      </c>
      <c r="V22" s="121" t="s">
        <v>369</v>
      </c>
      <c r="W22" s="150">
        <f>SUM(F62:F64)</f>
        <v>3</v>
      </c>
      <c r="X22" s="184">
        <f t="shared" si="3"/>
        <v>1.375</v>
      </c>
      <c r="Y22" s="182">
        <f>X62</f>
        <v>1.625</v>
      </c>
      <c r="Z22" s="182">
        <f>X63</f>
        <v>0.5</v>
      </c>
      <c r="AA22" s="182">
        <f>X64</f>
        <v>1.5</v>
      </c>
      <c r="AB22" s="182">
        <f t="shared" si="10"/>
        <v>2.625</v>
      </c>
      <c r="AC22" s="188">
        <f t="shared" si="11"/>
        <v>1.5</v>
      </c>
      <c r="AD22" s="182">
        <f t="shared" si="12"/>
        <v>2.5</v>
      </c>
      <c r="AE22" s="182">
        <f t="shared" si="17"/>
        <v>3.9375</v>
      </c>
      <c r="AF22" s="182">
        <f t="shared" si="18"/>
        <v>3.75</v>
      </c>
      <c r="AG22" s="182">
        <f t="shared" si="19"/>
        <v>6.5625</v>
      </c>
      <c r="AH22" s="182">
        <f t="shared" si="20"/>
        <v>9.84375</v>
      </c>
      <c r="AI22" s="182">
        <f t="shared" si="13"/>
        <v>23.71875</v>
      </c>
      <c r="AJ22" s="195" t="str">
        <f t="shared" si="14"/>
        <v>David Dunn</v>
      </c>
      <c r="AK22" s="1">
        <f t="shared" si="15"/>
        <v>7</v>
      </c>
    </row>
    <row r="23" spans="2:37">
      <c r="B23" s="184" t="str">
        <f>$V9</f>
        <v>Andy White</v>
      </c>
      <c r="C23" s="183" t="str">
        <f>Picks!B23</f>
        <v>Fulham</v>
      </c>
      <c r="D23" s="184">
        <f>Picks!C23</f>
        <v>7</v>
      </c>
      <c r="E23" s="184">
        <f>Picks!D23</f>
        <v>1.95</v>
      </c>
      <c r="F23" s="183">
        <f>IF(C23="","",INDEX(Odds!K:K,MATCH(C23,Odds!G:G,0)))</f>
        <v>1</v>
      </c>
      <c r="G23" s="183">
        <f>IF(C23="","",Picks!M23)</f>
        <v>1</v>
      </c>
      <c r="H23" s="184">
        <f t="shared" si="4"/>
        <v>0.95</v>
      </c>
      <c r="I23" s="194" t="str">
        <f t="shared" si="5"/>
        <v>Frank Allen</v>
      </c>
      <c r="J23" s="182">
        <f>H65</f>
        <v>0.83333333333333348</v>
      </c>
      <c r="K23" s="182">
        <f>H66</f>
        <v>0</v>
      </c>
      <c r="L23" s="182">
        <f>H67</f>
        <v>0.5</v>
      </c>
      <c r="M23" s="182">
        <f t="shared" si="0"/>
        <v>1.8333333333333335</v>
      </c>
      <c r="N23" s="182">
        <f t="shared" si="1"/>
        <v>0</v>
      </c>
      <c r="O23" s="182">
        <f t="shared" si="2"/>
        <v>1.5</v>
      </c>
      <c r="P23" s="182">
        <f t="shared" si="6"/>
        <v>0</v>
      </c>
      <c r="Q23" s="182">
        <f t="shared" si="7"/>
        <v>0</v>
      </c>
      <c r="R23" s="182">
        <f t="shared" si="8"/>
        <v>2.75</v>
      </c>
      <c r="S23" s="182">
        <f t="shared" si="16"/>
        <v>0</v>
      </c>
      <c r="T23" s="182">
        <f t="shared" si="9"/>
        <v>-0.91666666666666607</v>
      </c>
      <c r="U23" s="150">
        <f>SUM(G65:G67)</f>
        <v>2</v>
      </c>
      <c r="V23" s="121" t="s">
        <v>520</v>
      </c>
      <c r="W23" s="150">
        <f>SUM(F65:F67)</f>
        <v>3</v>
      </c>
      <c r="X23" s="184">
        <f t="shared" si="3"/>
        <v>0.95</v>
      </c>
      <c r="Y23" s="182">
        <f>X65</f>
        <v>0.83333333333333348</v>
      </c>
      <c r="Z23" s="182">
        <f>X66</f>
        <v>1</v>
      </c>
      <c r="AA23" s="182">
        <f>X67</f>
        <v>0.5</v>
      </c>
      <c r="AB23" s="182">
        <f t="shared" si="10"/>
        <v>1.8333333333333335</v>
      </c>
      <c r="AC23" s="188">
        <f t="shared" si="11"/>
        <v>2</v>
      </c>
      <c r="AD23" s="182">
        <f t="shared" si="12"/>
        <v>1.5</v>
      </c>
      <c r="AE23" s="182">
        <f t="shared" si="17"/>
        <v>3.666666666666667</v>
      </c>
      <c r="AF23" s="182">
        <f t="shared" si="18"/>
        <v>3</v>
      </c>
      <c r="AG23" s="182">
        <f t="shared" si="19"/>
        <v>2.75</v>
      </c>
      <c r="AH23" s="182">
        <f t="shared" si="20"/>
        <v>5.5</v>
      </c>
      <c r="AI23" s="182">
        <f t="shared" si="13"/>
        <v>13.25</v>
      </c>
      <c r="AJ23" s="195" t="str">
        <f t="shared" si="14"/>
        <v>Frank Allen</v>
      </c>
      <c r="AK23" s="1">
        <f t="shared" si="15"/>
        <v>7</v>
      </c>
    </row>
    <row r="24" spans="2:37">
      <c r="B24" s="183"/>
      <c r="C24" s="183" t="str">
        <f>Picks!B24</f>
        <v>Spurs</v>
      </c>
      <c r="D24" s="184">
        <f>Picks!C24</f>
        <v>7</v>
      </c>
      <c r="E24" s="184">
        <f>Picks!D24</f>
        <v>2.0499999999999998</v>
      </c>
      <c r="F24" s="183">
        <f>IF(C24="","",INDEX(Odds!K:K,MATCH(C24,Odds!G:G,0)))</f>
        <v>1</v>
      </c>
      <c r="G24" s="183">
        <f>IF(C24="","",Picks!M24)</f>
        <v>0</v>
      </c>
      <c r="H24" s="184">
        <f t="shared" si="4"/>
        <v>0</v>
      </c>
      <c r="I24" s="194" t="str">
        <f t="shared" si="5"/>
        <v>Gareth McGuire</v>
      </c>
      <c r="J24" s="182">
        <f>H68</f>
        <v>0</v>
      </c>
      <c r="K24" s="182">
        <f>H69</f>
        <v>0.8</v>
      </c>
      <c r="L24" s="182">
        <f>H70</f>
        <v>0</v>
      </c>
      <c r="M24" s="182">
        <f t="shared" si="0"/>
        <v>0</v>
      </c>
      <c r="N24" s="182">
        <f t="shared" si="1"/>
        <v>1.8</v>
      </c>
      <c r="O24" s="182">
        <f t="shared" si="2"/>
        <v>0</v>
      </c>
      <c r="P24" s="182">
        <f t="shared" si="6"/>
        <v>0</v>
      </c>
      <c r="Q24" s="182">
        <f t="shared" si="7"/>
        <v>0</v>
      </c>
      <c r="R24" s="182">
        <f t="shared" si="8"/>
        <v>0</v>
      </c>
      <c r="S24" s="182">
        <f t="shared" si="16"/>
        <v>0</v>
      </c>
      <c r="T24" s="182">
        <f t="shared" si="9"/>
        <v>-5.2</v>
      </c>
      <c r="U24" s="150">
        <f>SUM(G68:G70)</f>
        <v>1</v>
      </c>
      <c r="V24" s="121" t="s">
        <v>443</v>
      </c>
      <c r="W24" s="150">
        <f>SUM(F68:F70)</f>
        <v>3</v>
      </c>
      <c r="X24" s="184">
        <f t="shared" si="3"/>
        <v>1.0499999999999998</v>
      </c>
      <c r="Y24" s="182">
        <f>X68</f>
        <v>1.2999999999999998</v>
      </c>
      <c r="Z24" s="182">
        <f>X69</f>
        <v>0.8</v>
      </c>
      <c r="AA24" s="182">
        <f>X70</f>
        <v>2.1</v>
      </c>
      <c r="AB24" s="182">
        <f t="shared" si="10"/>
        <v>2.2999999999999998</v>
      </c>
      <c r="AC24" s="188">
        <f t="shared" si="11"/>
        <v>1.8</v>
      </c>
      <c r="AD24" s="182">
        <f t="shared" si="12"/>
        <v>3.1</v>
      </c>
      <c r="AE24" s="182">
        <f t="shared" si="17"/>
        <v>4.1399999999999997</v>
      </c>
      <c r="AF24" s="182">
        <f t="shared" si="18"/>
        <v>5.58</v>
      </c>
      <c r="AG24" s="182">
        <f t="shared" si="19"/>
        <v>7.129999999999999</v>
      </c>
      <c r="AH24" s="182">
        <f t="shared" si="20"/>
        <v>12.834</v>
      </c>
      <c r="AI24" s="182">
        <f t="shared" si="13"/>
        <v>29.884</v>
      </c>
      <c r="AJ24" s="195" t="str">
        <f t="shared" si="14"/>
        <v>Gareth McGuire</v>
      </c>
      <c r="AK24" s="1">
        <f t="shared" si="15"/>
        <v>7</v>
      </c>
    </row>
    <row r="25" spans="2:37" ht="13.15" thickBot="1">
      <c r="B25" s="185"/>
      <c r="C25" s="185" t="str">
        <f>Picks!B25</f>
        <v>Brighton</v>
      </c>
      <c r="D25" s="186">
        <f>Picks!C25</f>
        <v>7</v>
      </c>
      <c r="E25" s="186">
        <f>Picks!D25</f>
        <v>2.1</v>
      </c>
      <c r="F25" s="185">
        <f>IF(C25="","",INDEX(Odds!K:K,MATCH(C25,Odds!G:G,0)))</f>
        <v>1</v>
      </c>
      <c r="G25" s="185">
        <f>IF(C25="","",Picks!M25)</f>
        <v>0</v>
      </c>
      <c r="H25" s="186">
        <f t="shared" si="4"/>
        <v>0</v>
      </c>
      <c r="I25" s="194" t="str">
        <f t="shared" si="5"/>
        <v>Gareth Powell</v>
      </c>
      <c r="J25" s="182" t="str">
        <f>H71</f>
        <v/>
      </c>
      <c r="K25" s="182" t="str">
        <f>H72</f>
        <v/>
      </c>
      <c r="L25" s="182" t="str">
        <f>H73</f>
        <v/>
      </c>
      <c r="M25" s="182" t="e">
        <f t="shared" si="0"/>
        <v>#VALUE!</v>
      </c>
      <c r="N25" s="182" t="e">
        <f t="shared" si="1"/>
        <v>#VALUE!</v>
      </c>
      <c r="O25" s="182" t="e">
        <f t="shared" si="2"/>
        <v>#VALUE!</v>
      </c>
      <c r="P25" s="182" t="e">
        <f t="shared" si="6"/>
        <v>#VALUE!</v>
      </c>
      <c r="Q25" s="182" t="e">
        <f t="shared" si="7"/>
        <v>#VALUE!</v>
      </c>
      <c r="R25" s="182" t="e">
        <f t="shared" si="8"/>
        <v>#VALUE!</v>
      </c>
      <c r="S25" s="182" t="e">
        <f t="shared" si="16"/>
        <v>#VALUE!</v>
      </c>
      <c r="T25" s="182" t="e">
        <f t="shared" si="9"/>
        <v>#VALUE!</v>
      </c>
      <c r="U25" s="150">
        <f>SUM(G71:G73)</f>
        <v>0</v>
      </c>
      <c r="V25" s="118" t="s">
        <v>296</v>
      </c>
      <c r="W25" s="150">
        <f>SUM(F71:F73)</f>
        <v>0</v>
      </c>
      <c r="X25" s="184">
        <f t="shared" si="3"/>
        <v>1.1000000000000001</v>
      </c>
      <c r="Y25" s="182" t="e">
        <f>X71</f>
        <v>#VALUE!</v>
      </c>
      <c r="Z25" s="182" t="e">
        <f>X72</f>
        <v>#VALUE!</v>
      </c>
      <c r="AA25" s="182" t="e">
        <f>X73</f>
        <v>#VALUE!</v>
      </c>
      <c r="AB25" s="182" t="e">
        <f t="shared" si="10"/>
        <v>#VALUE!</v>
      </c>
      <c r="AC25" s="188" t="e">
        <f t="shared" si="11"/>
        <v>#VALUE!</v>
      </c>
      <c r="AD25" s="182" t="e">
        <f t="shared" si="12"/>
        <v>#VALUE!</v>
      </c>
      <c r="AE25" s="182" t="e">
        <f t="shared" si="17"/>
        <v>#VALUE!</v>
      </c>
      <c r="AF25" s="182" t="e">
        <f t="shared" si="18"/>
        <v>#VALUE!</v>
      </c>
      <c r="AG25" s="182" t="e">
        <f t="shared" si="19"/>
        <v>#VALUE!</v>
      </c>
      <c r="AH25" s="182" t="e">
        <f t="shared" si="20"/>
        <v>#VALUE!</v>
      </c>
      <c r="AI25" s="182" t="e">
        <f t="shared" si="13"/>
        <v>#VALUE!</v>
      </c>
      <c r="AJ25" s="195" t="str">
        <f t="shared" si="14"/>
        <v>Gareth Powell</v>
      </c>
      <c r="AK25" s="1">
        <f t="shared" si="15"/>
        <v>1</v>
      </c>
    </row>
    <row r="26" spans="2:37">
      <c r="B26" s="184" t="str">
        <f>$V10</f>
        <v>Ashley Houghton</v>
      </c>
      <c r="C26" s="183" t="str">
        <f>Picks!B26</f>
        <v>Charlton</v>
      </c>
      <c r="D26" s="184">
        <f>Picks!C26</f>
        <v>7</v>
      </c>
      <c r="E26" s="184">
        <f>Picks!D26</f>
        <v>2</v>
      </c>
      <c r="F26" s="183">
        <f>IF(C26="","",INDEX(Odds!K:K,MATCH(C26,Odds!G:G,0)))</f>
        <v>1</v>
      </c>
      <c r="G26" s="183">
        <f>IF(C26="","",Picks!M26)</f>
        <v>0</v>
      </c>
      <c r="H26" s="184">
        <f t="shared" si="4"/>
        <v>0</v>
      </c>
      <c r="I26" s="194" t="str">
        <f t="shared" si="5"/>
        <v>Gerard Ventom</v>
      </c>
      <c r="J26" s="182">
        <f>H74</f>
        <v>0</v>
      </c>
      <c r="K26" s="182">
        <f>H75</f>
        <v>1.375</v>
      </c>
      <c r="L26" s="182">
        <f>H76</f>
        <v>0</v>
      </c>
      <c r="M26" s="182">
        <f t="shared" si="0"/>
        <v>0</v>
      </c>
      <c r="N26" s="182">
        <f t="shared" si="1"/>
        <v>2.375</v>
      </c>
      <c r="O26" s="182">
        <f t="shared" si="2"/>
        <v>0</v>
      </c>
      <c r="P26" s="182">
        <f t="shared" si="6"/>
        <v>0</v>
      </c>
      <c r="Q26" s="182">
        <f t="shared" si="7"/>
        <v>0</v>
      </c>
      <c r="R26" s="182">
        <f t="shared" si="8"/>
        <v>0</v>
      </c>
      <c r="S26" s="182">
        <f t="shared" si="16"/>
        <v>0</v>
      </c>
      <c r="T26" s="182">
        <f t="shared" si="9"/>
        <v>-4.625</v>
      </c>
      <c r="U26" s="150">
        <f>SUM(G74:G76)</f>
        <v>1</v>
      </c>
      <c r="V26" s="118" t="s">
        <v>371</v>
      </c>
      <c r="W26" s="150">
        <f>SUM(F74:F76)</f>
        <v>3</v>
      </c>
      <c r="X26" s="184">
        <f t="shared" si="3"/>
        <v>1</v>
      </c>
      <c r="Y26" s="182">
        <f>X74</f>
        <v>3</v>
      </c>
      <c r="Z26" s="182">
        <f>X75</f>
        <v>1.375</v>
      </c>
      <c r="AA26" s="182">
        <f>X76</f>
        <v>2.2000000000000002</v>
      </c>
      <c r="AB26" s="182">
        <f t="shared" si="10"/>
        <v>4</v>
      </c>
      <c r="AC26" s="188">
        <f t="shared" si="11"/>
        <v>2.375</v>
      </c>
      <c r="AD26" s="182">
        <f t="shared" si="12"/>
        <v>3.2</v>
      </c>
      <c r="AE26" s="182">
        <f t="shared" si="17"/>
        <v>9.5</v>
      </c>
      <c r="AF26" s="182">
        <f t="shared" si="18"/>
        <v>7.6000000000000005</v>
      </c>
      <c r="AG26" s="182">
        <f t="shared" si="19"/>
        <v>12.8</v>
      </c>
      <c r="AH26" s="182">
        <f t="shared" si="20"/>
        <v>30.400000000000002</v>
      </c>
      <c r="AI26" s="182">
        <f t="shared" si="13"/>
        <v>62.875</v>
      </c>
      <c r="AJ26" s="195" t="str">
        <f t="shared" si="14"/>
        <v>Gerard Ventom</v>
      </c>
      <c r="AK26" s="1">
        <f t="shared" si="15"/>
        <v>7</v>
      </c>
    </row>
    <row r="27" spans="2:37">
      <c r="B27" s="183"/>
      <c r="C27" s="183" t="str">
        <f>Picks!B27</f>
        <v>Hull</v>
      </c>
      <c r="D27" s="184">
        <f>Picks!C27</f>
        <v>7</v>
      </c>
      <c r="E27" s="184">
        <f>Picks!D27</f>
        <v>3.8</v>
      </c>
      <c r="F27" s="183">
        <f>IF(C27="","",INDEX(Odds!K:K,MATCH(C27,Odds!G:G,0)))</f>
        <v>1</v>
      </c>
      <c r="G27" s="183">
        <f>IF(C27="","",Picks!M27)</f>
        <v>0</v>
      </c>
      <c r="H27" s="184">
        <f t="shared" si="4"/>
        <v>0</v>
      </c>
      <c r="I27" s="194" t="str">
        <f t="shared" si="5"/>
        <v>Graham Miller</v>
      </c>
      <c r="J27" s="182">
        <f>H77</f>
        <v>0</v>
      </c>
      <c r="K27" s="182">
        <f>H78</f>
        <v>0</v>
      </c>
      <c r="L27" s="182">
        <f>H79</f>
        <v>1.375</v>
      </c>
      <c r="M27" s="182">
        <f t="shared" si="0"/>
        <v>0</v>
      </c>
      <c r="N27" s="182">
        <f t="shared" si="1"/>
        <v>0</v>
      </c>
      <c r="O27" s="182">
        <f t="shared" si="2"/>
        <v>2.375</v>
      </c>
      <c r="P27" s="182">
        <f t="shared" si="6"/>
        <v>0</v>
      </c>
      <c r="Q27" s="182">
        <f t="shared" si="7"/>
        <v>0</v>
      </c>
      <c r="R27" s="182">
        <f t="shared" si="8"/>
        <v>0</v>
      </c>
      <c r="S27" s="182">
        <f t="shared" si="16"/>
        <v>0</v>
      </c>
      <c r="T27" s="182">
        <f t="shared" si="9"/>
        <v>-4.625</v>
      </c>
      <c r="U27" s="150">
        <f>SUM(G77:G79)</f>
        <v>1</v>
      </c>
      <c r="V27" s="118" t="s">
        <v>284</v>
      </c>
      <c r="W27" s="150">
        <f>SUM(F77:F79)</f>
        <v>3</v>
      </c>
      <c r="X27" s="184">
        <f t="shared" si="3"/>
        <v>2.8</v>
      </c>
      <c r="Y27" s="182">
        <f>X77</f>
        <v>1</v>
      </c>
      <c r="Z27" s="182">
        <f>X78</f>
        <v>1</v>
      </c>
      <c r="AA27" s="182">
        <f>X79</f>
        <v>1.375</v>
      </c>
      <c r="AB27" s="182">
        <f t="shared" si="10"/>
        <v>2</v>
      </c>
      <c r="AC27" s="188">
        <f t="shared" si="11"/>
        <v>2</v>
      </c>
      <c r="AD27" s="182">
        <f t="shared" si="12"/>
        <v>2.375</v>
      </c>
      <c r="AE27" s="182">
        <f t="shared" si="17"/>
        <v>4</v>
      </c>
      <c r="AF27" s="182">
        <f t="shared" si="18"/>
        <v>4.75</v>
      </c>
      <c r="AG27" s="182">
        <f t="shared" si="19"/>
        <v>4.75</v>
      </c>
      <c r="AH27" s="182">
        <f t="shared" si="20"/>
        <v>9.5</v>
      </c>
      <c r="AI27" s="182">
        <f t="shared" si="13"/>
        <v>22.375</v>
      </c>
      <c r="AJ27" s="195" t="str">
        <f t="shared" si="14"/>
        <v>Graham Miller</v>
      </c>
      <c r="AK27" s="1">
        <f t="shared" si="15"/>
        <v>7</v>
      </c>
    </row>
    <row r="28" spans="2:37" ht="13.15" thickBot="1">
      <c r="B28" s="185"/>
      <c r="C28" s="185" t="str">
        <f>Picks!B28</f>
        <v>Luton</v>
      </c>
      <c r="D28" s="186">
        <f>Picks!C28</f>
        <v>7</v>
      </c>
      <c r="E28" s="186">
        <f>Picks!D28</f>
        <v>3.25</v>
      </c>
      <c r="F28" s="185">
        <f>IF(C28="","",INDEX(Odds!K:K,MATCH(C28,Odds!G:G,0)))</f>
        <v>1</v>
      </c>
      <c r="G28" s="185">
        <f>IF(C28="","",Picks!M28)</f>
        <v>0</v>
      </c>
      <c r="H28" s="186">
        <f t="shared" si="4"/>
        <v>0</v>
      </c>
      <c r="I28" s="194" t="str">
        <f t="shared" si="5"/>
        <v>Howard Bradley</v>
      </c>
      <c r="J28" s="182">
        <f>H80</f>
        <v>2.25</v>
      </c>
      <c r="K28" s="182">
        <f>H81</f>
        <v>2.2000000000000002</v>
      </c>
      <c r="L28" s="182">
        <f>H82</f>
        <v>0.5</v>
      </c>
      <c r="M28" s="182">
        <f t="shared" si="0"/>
        <v>3.25</v>
      </c>
      <c r="N28" s="182">
        <f t="shared" si="1"/>
        <v>3.2</v>
      </c>
      <c r="O28" s="182">
        <f t="shared" si="2"/>
        <v>1.5</v>
      </c>
      <c r="P28" s="182">
        <f t="shared" si="6"/>
        <v>10.4</v>
      </c>
      <c r="Q28" s="182">
        <f t="shared" si="7"/>
        <v>4.8000000000000007</v>
      </c>
      <c r="R28" s="182">
        <f t="shared" si="8"/>
        <v>4.875</v>
      </c>
      <c r="S28" s="182">
        <f t="shared" si="16"/>
        <v>15.600000000000001</v>
      </c>
      <c r="T28" s="182">
        <f t="shared" si="9"/>
        <v>36.625</v>
      </c>
      <c r="U28" s="150">
        <f>SUM(G80:G82)</f>
        <v>3</v>
      </c>
      <c r="V28" s="121" t="s">
        <v>301</v>
      </c>
      <c r="W28" s="150">
        <f>SUM(F80:F82)</f>
        <v>3</v>
      </c>
      <c r="X28" s="184">
        <f t="shared" si="3"/>
        <v>2.25</v>
      </c>
      <c r="Y28" s="182">
        <f>X80</f>
        <v>2.25</v>
      </c>
      <c r="Z28" s="182">
        <f>X81</f>
        <v>2.2000000000000002</v>
      </c>
      <c r="AA28" s="182">
        <f>X82</f>
        <v>0.5</v>
      </c>
      <c r="AB28" s="182">
        <f t="shared" si="10"/>
        <v>3.25</v>
      </c>
      <c r="AC28" s="188">
        <f t="shared" si="11"/>
        <v>3.2</v>
      </c>
      <c r="AD28" s="182">
        <f t="shared" si="12"/>
        <v>1.5</v>
      </c>
      <c r="AE28" s="182">
        <f t="shared" si="17"/>
        <v>10.4</v>
      </c>
      <c r="AF28" s="182">
        <f t="shared" si="18"/>
        <v>4.8000000000000007</v>
      </c>
      <c r="AG28" s="182">
        <f t="shared" si="19"/>
        <v>4.875</v>
      </c>
      <c r="AH28" s="182">
        <f t="shared" si="20"/>
        <v>15.600000000000001</v>
      </c>
      <c r="AI28" s="182">
        <f t="shared" si="13"/>
        <v>36.625</v>
      </c>
      <c r="AJ28" s="195" t="str">
        <f t="shared" si="14"/>
        <v>Howard Bradley</v>
      </c>
      <c r="AK28" s="1">
        <f t="shared" si="15"/>
        <v>7</v>
      </c>
    </row>
    <row r="29" spans="2:37">
      <c r="B29" s="184" t="str">
        <f>$V11</f>
        <v>Barry Birchall</v>
      </c>
      <c r="C29" s="183" t="str">
        <f>Picks!B29</f>
        <v>Carlisle</v>
      </c>
      <c r="D29" s="184">
        <f>Picks!C29</f>
        <v>7</v>
      </c>
      <c r="E29" s="184">
        <f>Picks!D29</f>
        <v>2.5</v>
      </c>
      <c r="F29" s="183">
        <f>IF(C29="","",INDEX(Odds!K:K,MATCH(C29,Odds!G:G,0)))</f>
        <v>1</v>
      </c>
      <c r="G29" s="183">
        <f>IF(C29="","",Picks!M29)</f>
        <v>0</v>
      </c>
      <c r="H29" s="184">
        <f t="shared" si="4"/>
        <v>0</v>
      </c>
      <c r="I29" s="194" t="str">
        <f t="shared" si="5"/>
        <v>Ian Davies</v>
      </c>
      <c r="J29" s="182">
        <f>H83</f>
        <v>0</v>
      </c>
      <c r="K29" s="182">
        <f>H84</f>
        <v>2.2000000000000002</v>
      </c>
      <c r="L29" s="182">
        <f>H85</f>
        <v>0</v>
      </c>
      <c r="M29" s="182">
        <f t="shared" si="0"/>
        <v>0</v>
      </c>
      <c r="N29" s="182">
        <f t="shared" si="1"/>
        <v>3.2</v>
      </c>
      <c r="O29" s="182">
        <f t="shared" si="2"/>
        <v>0</v>
      </c>
      <c r="P29" s="182">
        <f t="shared" si="6"/>
        <v>0</v>
      </c>
      <c r="Q29" s="182">
        <f t="shared" si="7"/>
        <v>0</v>
      </c>
      <c r="R29" s="182">
        <f t="shared" si="8"/>
        <v>0</v>
      </c>
      <c r="S29" s="182">
        <f t="shared" si="16"/>
        <v>0</v>
      </c>
      <c r="T29" s="182">
        <f t="shared" si="9"/>
        <v>-3.8</v>
      </c>
      <c r="U29" s="150">
        <f>SUM(G83:G85)</f>
        <v>1</v>
      </c>
      <c r="V29" s="118" t="s">
        <v>376</v>
      </c>
      <c r="W29" s="150">
        <f>SUM(F83:F85)</f>
        <v>3</v>
      </c>
      <c r="X29" s="184">
        <f t="shared" si="3"/>
        <v>1.5</v>
      </c>
      <c r="Y29" s="182">
        <f>X83</f>
        <v>2.25</v>
      </c>
      <c r="Z29" s="182">
        <f>X84</f>
        <v>2.2000000000000002</v>
      </c>
      <c r="AA29" s="182">
        <f>X85</f>
        <v>1.6</v>
      </c>
      <c r="AB29" s="182">
        <f t="shared" si="10"/>
        <v>3.25</v>
      </c>
      <c r="AC29" s="188">
        <f t="shared" si="11"/>
        <v>3.2</v>
      </c>
      <c r="AD29" s="182">
        <f t="shared" si="12"/>
        <v>2.6</v>
      </c>
      <c r="AE29" s="182">
        <f t="shared" si="17"/>
        <v>10.4</v>
      </c>
      <c r="AF29" s="182">
        <f t="shared" si="18"/>
        <v>8.32</v>
      </c>
      <c r="AG29" s="182">
        <f t="shared" si="19"/>
        <v>8.4500000000000011</v>
      </c>
      <c r="AH29" s="182">
        <f t="shared" si="20"/>
        <v>27.04</v>
      </c>
      <c r="AI29" s="182">
        <f t="shared" si="13"/>
        <v>56.260000000000005</v>
      </c>
      <c r="AJ29" s="195" t="str">
        <f t="shared" si="14"/>
        <v>Ian Davies</v>
      </c>
      <c r="AK29" s="1">
        <f t="shared" si="15"/>
        <v>7</v>
      </c>
    </row>
    <row r="30" spans="2:37">
      <c r="B30" s="183"/>
      <c r="C30" s="183" t="str">
        <f>Picks!B30</f>
        <v>Exeter</v>
      </c>
      <c r="D30" s="184">
        <f>Picks!C30</f>
        <v>7</v>
      </c>
      <c r="E30" s="184">
        <f>Picks!D30</f>
        <v>2.7</v>
      </c>
      <c r="F30" s="183">
        <f>IF(C30="","",INDEX(Odds!K:K,MATCH(C30,Odds!G:G,0)))</f>
        <v>1</v>
      </c>
      <c r="G30" s="183">
        <f>IF(C30="","",Picks!M30)</f>
        <v>0</v>
      </c>
      <c r="H30" s="184">
        <f t="shared" si="4"/>
        <v>0</v>
      </c>
      <c r="I30" s="194" t="str">
        <f t="shared" si="5"/>
        <v>Jack Walsh</v>
      </c>
      <c r="J30" s="182">
        <f>H86</f>
        <v>0</v>
      </c>
      <c r="K30" s="182">
        <f>H87</f>
        <v>1.375</v>
      </c>
      <c r="L30" s="182">
        <f>H88</f>
        <v>3.75</v>
      </c>
      <c r="M30" s="182">
        <f t="shared" si="0"/>
        <v>0</v>
      </c>
      <c r="N30" s="182">
        <f t="shared" si="1"/>
        <v>2.375</v>
      </c>
      <c r="O30" s="182">
        <f t="shared" si="2"/>
        <v>4.75</v>
      </c>
      <c r="P30" s="182">
        <f t="shared" si="6"/>
        <v>0</v>
      </c>
      <c r="Q30" s="182">
        <f t="shared" si="7"/>
        <v>11.28125</v>
      </c>
      <c r="R30" s="182">
        <f t="shared" si="8"/>
        <v>0</v>
      </c>
      <c r="S30" s="182">
        <f t="shared" si="16"/>
        <v>0</v>
      </c>
      <c r="T30" s="182">
        <f t="shared" si="9"/>
        <v>11.40625</v>
      </c>
      <c r="U30" s="150">
        <f>SUM(G86:G88)</f>
        <v>2</v>
      </c>
      <c r="V30" s="118" t="s">
        <v>311</v>
      </c>
      <c r="W30" s="150">
        <f>SUM(F86:F88)</f>
        <v>3</v>
      </c>
      <c r="X30" s="184">
        <f t="shared" si="3"/>
        <v>1.7000000000000002</v>
      </c>
      <c r="Y30" s="182">
        <f>X86</f>
        <v>2.9</v>
      </c>
      <c r="Z30" s="182">
        <f>X87</f>
        <v>1.375</v>
      </c>
      <c r="AA30" s="182">
        <f>X88</f>
        <v>3.75</v>
      </c>
      <c r="AB30" s="182">
        <f t="shared" si="10"/>
        <v>3.9</v>
      </c>
      <c r="AC30" s="188">
        <f t="shared" si="11"/>
        <v>2.375</v>
      </c>
      <c r="AD30" s="182">
        <f t="shared" si="12"/>
        <v>4.75</v>
      </c>
      <c r="AE30" s="182">
        <f t="shared" si="17"/>
        <v>9.2624999999999993</v>
      </c>
      <c r="AF30" s="182">
        <f t="shared" si="18"/>
        <v>11.28125</v>
      </c>
      <c r="AG30" s="182">
        <f t="shared" si="19"/>
        <v>18.524999999999999</v>
      </c>
      <c r="AH30" s="182">
        <f t="shared" si="20"/>
        <v>43.996875000000003</v>
      </c>
      <c r="AI30" s="182">
        <f t="shared" si="13"/>
        <v>87.090625000000003</v>
      </c>
      <c r="AJ30" s="195" t="str">
        <f t="shared" si="14"/>
        <v>Jack Walsh</v>
      </c>
      <c r="AK30" s="1">
        <f t="shared" si="15"/>
        <v>7</v>
      </c>
    </row>
    <row r="31" spans="2:37" ht="13.15" thickBot="1">
      <c r="B31" s="185"/>
      <c r="C31" s="185" t="str">
        <f>Picks!B31</f>
        <v>Norwich</v>
      </c>
      <c r="D31" s="186">
        <f>Picks!C31</f>
        <v>7</v>
      </c>
      <c r="E31" s="186">
        <f>Picks!D31</f>
        <v>2.2999999999999998</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324</v>
      </c>
      <c r="W31" s="150">
        <f>SUM(F89:F91)</f>
        <v>0</v>
      </c>
      <c r="X31" s="184">
        <f t="shared" si="3"/>
        <v>1.2999999999999998</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Leicester</v>
      </c>
      <c r="D32" s="184">
        <f>Picks!C32</f>
        <v>7</v>
      </c>
      <c r="E32" s="184">
        <f>Picks!D32</f>
        <v>3.4</v>
      </c>
      <c r="F32" s="183">
        <f>IF(C32="","",INDEX(Odds!K:K,MATCH(C32,Odds!G:G,0)))</f>
        <v>1</v>
      </c>
      <c r="G32" s="183">
        <f>IF(C32="","",Picks!M32)</f>
        <v>1</v>
      </c>
      <c r="H32" s="184">
        <f t="shared" si="4"/>
        <v>2.4</v>
      </c>
      <c r="I32" s="194" t="str">
        <f t="shared" si="5"/>
        <v>John Murphy</v>
      </c>
      <c r="J32" s="182">
        <f>H92</f>
        <v>0</v>
      </c>
      <c r="K32" s="182">
        <f>H93</f>
        <v>0</v>
      </c>
      <c r="L32" s="182">
        <f>H94</f>
        <v>0</v>
      </c>
      <c r="M32" s="182">
        <f t="shared" ref="M32:M59" si="21">IF(J32=0,0,1)+J32</f>
        <v>0</v>
      </c>
      <c r="N32" s="182">
        <f t="shared" ref="N32:N59" si="22">IF(K32=0,0,1)+K32</f>
        <v>0</v>
      </c>
      <c r="O32" s="182">
        <f t="shared" si="2"/>
        <v>0</v>
      </c>
      <c r="P32" s="182">
        <f t="shared" si="6"/>
        <v>0</v>
      </c>
      <c r="Q32" s="182">
        <f t="shared" si="7"/>
        <v>0</v>
      </c>
      <c r="R32" s="182">
        <f t="shared" si="8"/>
        <v>0</v>
      </c>
      <c r="S32" s="182">
        <f t="shared" si="16"/>
        <v>0</v>
      </c>
      <c r="T32" s="182">
        <f t="shared" si="9"/>
        <v>-7</v>
      </c>
      <c r="U32" s="150">
        <f>SUM(G92:G94)</f>
        <v>0</v>
      </c>
      <c r="V32" s="118" t="s">
        <v>517</v>
      </c>
      <c r="W32" s="150">
        <f>SUM(F92:F94)</f>
        <v>3</v>
      </c>
      <c r="X32" s="184">
        <f t="shared" si="3"/>
        <v>2.4</v>
      </c>
      <c r="Y32" s="182">
        <f>X92</f>
        <v>2.6</v>
      </c>
      <c r="Z32" s="182">
        <f>X93</f>
        <v>1.7999999999999998</v>
      </c>
      <c r="AA32" s="182">
        <f>X94</f>
        <v>1.2999999999999998</v>
      </c>
      <c r="AB32" s="182">
        <f t="shared" si="10"/>
        <v>3.6</v>
      </c>
      <c r="AC32" s="188">
        <f t="shared" si="11"/>
        <v>2.8</v>
      </c>
      <c r="AD32" s="182">
        <f t="shared" si="12"/>
        <v>2.2999999999999998</v>
      </c>
      <c r="AE32" s="182">
        <f t="shared" si="17"/>
        <v>10.08</v>
      </c>
      <c r="AF32" s="182">
        <f t="shared" si="18"/>
        <v>6.4399999999999995</v>
      </c>
      <c r="AG32" s="182">
        <f t="shared" si="19"/>
        <v>8.2799999999999994</v>
      </c>
      <c r="AH32" s="182">
        <f t="shared" si="20"/>
        <v>23.183999999999997</v>
      </c>
      <c r="AI32" s="182">
        <f t="shared" si="13"/>
        <v>49.683999999999997</v>
      </c>
      <c r="AJ32" s="195" t="str">
        <f t="shared" si="14"/>
        <v>John Murphy</v>
      </c>
      <c r="AK32" s="1">
        <f t="shared" si="15"/>
        <v>7</v>
      </c>
    </row>
    <row r="33" spans="2:37">
      <c r="B33" s="183"/>
      <c r="C33" s="183" t="str">
        <f>Picks!B33</f>
        <v>Palace draw</v>
      </c>
      <c r="D33" s="184">
        <f>Picks!C33</f>
        <v>7</v>
      </c>
      <c r="E33" s="184">
        <f>Picks!D33</f>
        <v>3.3</v>
      </c>
      <c r="F33" s="183">
        <f>IF(C33="","",INDEX(Odds!K:K,MATCH(C33,Odds!G:G,0)))</f>
        <v>1</v>
      </c>
      <c r="G33" s="183">
        <f>IF(C33="","",Picks!M33)</f>
        <v>1</v>
      </c>
      <c r="H33" s="184">
        <f t="shared" si="4"/>
        <v>2.2999999999999998</v>
      </c>
      <c r="I33" s="194" t="str">
        <f t="shared" si="5"/>
        <v>John Ronan</v>
      </c>
      <c r="J33" s="182">
        <f>H95</f>
        <v>0.95</v>
      </c>
      <c r="K33" s="182">
        <f>H96</f>
        <v>1.1499999999999999</v>
      </c>
      <c r="L33" s="182">
        <f>H97</f>
        <v>0</v>
      </c>
      <c r="M33" s="182">
        <f t="shared" si="21"/>
        <v>1.95</v>
      </c>
      <c r="N33" s="182">
        <f t="shared" si="22"/>
        <v>2.15</v>
      </c>
      <c r="O33" s="182">
        <f t="shared" si="2"/>
        <v>0</v>
      </c>
      <c r="P33" s="182">
        <f t="shared" si="6"/>
        <v>4.1924999999999999</v>
      </c>
      <c r="Q33" s="182">
        <f t="shared" si="7"/>
        <v>0</v>
      </c>
      <c r="R33" s="182">
        <f t="shared" si="8"/>
        <v>0</v>
      </c>
      <c r="S33" s="182">
        <f t="shared" si="16"/>
        <v>0</v>
      </c>
      <c r="T33" s="182">
        <f t="shared" si="9"/>
        <v>1.2925000000000004</v>
      </c>
      <c r="U33" s="150">
        <f>SUM(G95:G97)</f>
        <v>2</v>
      </c>
      <c r="V33" s="118" t="s">
        <v>372</v>
      </c>
      <c r="W33" s="150">
        <f>SUM(F95:F97)</f>
        <v>3</v>
      </c>
      <c r="X33" s="184">
        <f t="shared" si="3"/>
        <v>2.2999999999999998</v>
      </c>
      <c r="Y33" s="182">
        <f>X95</f>
        <v>0.95</v>
      </c>
      <c r="Z33" s="182">
        <f>X96</f>
        <v>1.1499999999999999</v>
      </c>
      <c r="AA33" s="182">
        <f>X97</f>
        <v>1.2000000000000002</v>
      </c>
      <c r="AB33" s="182">
        <f t="shared" si="10"/>
        <v>1.95</v>
      </c>
      <c r="AC33" s="188">
        <f t="shared" si="11"/>
        <v>2.15</v>
      </c>
      <c r="AD33" s="182">
        <f t="shared" si="12"/>
        <v>2.2000000000000002</v>
      </c>
      <c r="AE33" s="182">
        <f t="shared" si="17"/>
        <v>4.1924999999999999</v>
      </c>
      <c r="AF33" s="182">
        <f t="shared" si="18"/>
        <v>4.7300000000000004</v>
      </c>
      <c r="AG33" s="182">
        <f t="shared" si="19"/>
        <v>4.29</v>
      </c>
      <c r="AH33" s="182">
        <f t="shared" si="20"/>
        <v>9.2235000000000014</v>
      </c>
      <c r="AI33" s="182">
        <f t="shared" si="13"/>
        <v>21.736000000000001</v>
      </c>
      <c r="AJ33" s="195" t="str">
        <f t="shared" si="14"/>
        <v>John Ronan</v>
      </c>
      <c r="AK33" s="1">
        <f t="shared" si="15"/>
        <v>7</v>
      </c>
    </row>
    <row r="34" spans="2:37" ht="13.15" thickBot="1">
      <c r="B34" s="185"/>
      <c r="C34" s="185" t="str">
        <f>Picks!B34</f>
        <v>Chelsea</v>
      </c>
      <c r="D34" s="186">
        <f>Picks!C34</f>
        <v>7</v>
      </c>
      <c r="E34" s="186">
        <f>Picks!D34</f>
        <v>2.25</v>
      </c>
      <c r="F34" s="185">
        <f>IF(C34="","",INDEX(Odds!K:K,MATCH(C34,Odds!G:G,0)))</f>
        <v>1</v>
      </c>
      <c r="G34" s="185">
        <f>IF(C34="","",Picks!M34)</f>
        <v>0</v>
      </c>
      <c r="H34" s="186">
        <f t="shared" si="4"/>
        <v>0</v>
      </c>
      <c r="I34" s="194" t="str">
        <f t="shared" si="5"/>
        <v>Julie Dodd</v>
      </c>
      <c r="J34" s="182">
        <f>H98</f>
        <v>1.2999999999999998</v>
      </c>
      <c r="K34" s="182">
        <f>H99</f>
        <v>0</v>
      </c>
      <c r="L34" s="182">
        <f>H100</f>
        <v>0</v>
      </c>
      <c r="M34" s="182">
        <f t="shared" si="21"/>
        <v>2.2999999999999998</v>
      </c>
      <c r="N34" s="182">
        <f t="shared" si="22"/>
        <v>0</v>
      </c>
      <c r="O34" s="182">
        <f t="shared" si="2"/>
        <v>0</v>
      </c>
      <c r="P34" s="182">
        <f t="shared" si="6"/>
        <v>0</v>
      </c>
      <c r="Q34" s="182">
        <f t="shared" si="7"/>
        <v>0</v>
      </c>
      <c r="R34" s="182">
        <f t="shared" si="8"/>
        <v>0</v>
      </c>
      <c r="S34" s="182">
        <f t="shared" si="16"/>
        <v>0</v>
      </c>
      <c r="T34" s="182">
        <f t="shared" si="9"/>
        <v>-4.7</v>
      </c>
      <c r="U34" s="150">
        <f>SUM(G98:G100)</f>
        <v>1</v>
      </c>
      <c r="V34" s="121" t="s">
        <v>527</v>
      </c>
      <c r="W34" s="150">
        <f>SUM(F98:F100)</f>
        <v>3</v>
      </c>
      <c r="X34" s="184">
        <f t="shared" ref="X34:X65" si="23">+((E34-1)*F34*A$2)</f>
        <v>1.25</v>
      </c>
      <c r="Y34" s="182">
        <f>X98</f>
        <v>1.2999999999999998</v>
      </c>
      <c r="Z34" s="182">
        <f>X99</f>
        <v>1.5</v>
      </c>
      <c r="AA34" s="182">
        <f>X100</f>
        <v>1.7000000000000002</v>
      </c>
      <c r="AB34" s="182">
        <f t="shared" si="10"/>
        <v>2.2999999999999998</v>
      </c>
      <c r="AC34" s="188">
        <f t="shared" si="11"/>
        <v>2.5</v>
      </c>
      <c r="AD34" s="182">
        <f t="shared" si="12"/>
        <v>2.7</v>
      </c>
      <c r="AE34" s="182">
        <f t="shared" si="17"/>
        <v>5.75</v>
      </c>
      <c r="AF34" s="182">
        <f t="shared" si="18"/>
        <v>6.75</v>
      </c>
      <c r="AG34" s="182">
        <f t="shared" si="19"/>
        <v>6.21</v>
      </c>
      <c r="AH34" s="182">
        <f t="shared" si="20"/>
        <v>15.525</v>
      </c>
      <c r="AI34" s="182">
        <f t="shared" si="13"/>
        <v>34.734999999999999</v>
      </c>
      <c r="AJ34" s="195" t="str">
        <f t="shared" si="14"/>
        <v>Julie Dodd</v>
      </c>
      <c r="AK34" s="1">
        <f t="shared" si="15"/>
        <v>7</v>
      </c>
    </row>
    <row r="35" spans="2:37">
      <c r="B35" s="183" t="str">
        <f>$V13</f>
        <v>Bob Bailey</v>
      </c>
      <c r="C35" s="183" t="str">
        <f>Picks!B35</f>
        <v>Watford draw</v>
      </c>
      <c r="D35" s="184">
        <f>Picks!C35</f>
        <v>7</v>
      </c>
      <c r="E35" s="184">
        <f>Picks!D35</f>
        <v>3.25</v>
      </c>
      <c r="F35" s="183">
        <f>IF(C35="","",INDEX(Odds!K:K,MATCH(C35,Odds!G:G,0)))</f>
        <v>1</v>
      </c>
      <c r="G35" s="183">
        <f>IF(C35="","",Picks!M35)</f>
        <v>1</v>
      </c>
      <c r="H35" s="184">
        <f t="shared" si="4"/>
        <v>2.25</v>
      </c>
      <c r="I35" s="194" t="str">
        <f t="shared" si="5"/>
        <v>Kei Lok Ma</v>
      </c>
      <c r="J35" s="182">
        <f>H101</f>
        <v>1.1499999999999999</v>
      </c>
      <c r="K35" s="182">
        <f>H102</f>
        <v>0</v>
      </c>
      <c r="L35" s="182">
        <f>H103</f>
        <v>0.83333333333333348</v>
      </c>
      <c r="M35" s="182">
        <f t="shared" si="21"/>
        <v>2.15</v>
      </c>
      <c r="N35" s="182">
        <f t="shared" si="22"/>
        <v>0</v>
      </c>
      <c r="O35" s="182">
        <f t="shared" si="2"/>
        <v>1.8333333333333335</v>
      </c>
      <c r="P35" s="182">
        <f t="shared" si="6"/>
        <v>0</v>
      </c>
      <c r="Q35" s="182">
        <f t="shared" si="7"/>
        <v>0</v>
      </c>
      <c r="R35" s="182">
        <f t="shared" si="8"/>
        <v>3.9416666666666669</v>
      </c>
      <c r="S35" s="182">
        <f t="shared" si="16"/>
        <v>0</v>
      </c>
      <c r="T35" s="182">
        <f t="shared" si="9"/>
        <v>0.92500000000000071</v>
      </c>
      <c r="U35" s="150">
        <f>SUM(G101:G103)</f>
        <v>2</v>
      </c>
      <c r="V35" s="121" t="s">
        <v>294</v>
      </c>
      <c r="W35" s="150">
        <f>SUM(F101:F103)</f>
        <v>3</v>
      </c>
      <c r="X35" s="184">
        <f t="shared" si="23"/>
        <v>2.25</v>
      </c>
      <c r="Y35" s="188">
        <f>X101</f>
        <v>1.1499999999999999</v>
      </c>
      <c r="Z35" s="182">
        <f>X102</f>
        <v>2.25</v>
      </c>
      <c r="AA35" s="182">
        <f>X103</f>
        <v>0.83333333333333348</v>
      </c>
      <c r="AB35" s="182">
        <f t="shared" si="10"/>
        <v>2.15</v>
      </c>
      <c r="AC35" s="188">
        <f t="shared" si="11"/>
        <v>3.25</v>
      </c>
      <c r="AD35" s="182">
        <f t="shared" si="12"/>
        <v>1.8333333333333335</v>
      </c>
      <c r="AE35" s="182">
        <f t="shared" si="17"/>
        <v>6.9874999999999989</v>
      </c>
      <c r="AF35" s="182">
        <f t="shared" si="18"/>
        <v>5.9583333333333339</v>
      </c>
      <c r="AG35" s="182">
        <f t="shared" si="19"/>
        <v>3.9416666666666669</v>
      </c>
      <c r="AH35" s="182">
        <f t="shared" si="20"/>
        <v>12.810416666666665</v>
      </c>
      <c r="AI35" s="182">
        <f t="shared" si="13"/>
        <v>29.931249999999999</v>
      </c>
      <c r="AJ35" s="195" t="str">
        <f t="shared" si="14"/>
        <v>Kei Lok Ma</v>
      </c>
      <c r="AK35" s="1">
        <f t="shared" si="15"/>
        <v>7</v>
      </c>
    </row>
    <row r="36" spans="2:37">
      <c r="B36" s="183"/>
      <c r="C36" s="183" t="str">
        <f>Picks!B36</f>
        <v>Peterborough draw</v>
      </c>
      <c r="D36" s="184">
        <f>Picks!C36</f>
        <v>7</v>
      </c>
      <c r="E36" s="184">
        <f>Picks!D36</f>
        <v>3.25</v>
      </c>
      <c r="F36" s="183">
        <f>IF(C36="","",INDEX(Odds!K:K,MATCH(C36,Odds!G:G,0)))</f>
        <v>1</v>
      </c>
      <c r="G36" s="183">
        <f>IF(C36="","",Picks!M36)</f>
        <v>0</v>
      </c>
      <c r="H36" s="184">
        <f t="shared" si="4"/>
        <v>0</v>
      </c>
      <c r="I36" s="194" t="str">
        <f t="shared" si="5"/>
        <v>Kevin Carter</v>
      </c>
      <c r="J36" s="182">
        <f>H104</f>
        <v>0</v>
      </c>
      <c r="K36" s="182">
        <f>H105</f>
        <v>1.625</v>
      </c>
      <c r="L36" s="182">
        <f>H106</f>
        <v>0.83333333333333348</v>
      </c>
      <c r="M36" s="182">
        <f t="shared" si="21"/>
        <v>0</v>
      </c>
      <c r="N36" s="182">
        <f t="shared" si="22"/>
        <v>2.625</v>
      </c>
      <c r="O36" s="182">
        <f t="shared" si="2"/>
        <v>1.8333333333333335</v>
      </c>
      <c r="P36" s="182">
        <f t="shared" si="6"/>
        <v>0</v>
      </c>
      <c r="Q36" s="182">
        <f t="shared" si="7"/>
        <v>4.8125</v>
      </c>
      <c r="R36" s="182">
        <f t="shared" si="8"/>
        <v>0</v>
      </c>
      <c r="S36" s="182">
        <f t="shared" si="16"/>
        <v>0</v>
      </c>
      <c r="T36" s="182">
        <f t="shared" si="9"/>
        <v>2.2708333333333339</v>
      </c>
      <c r="U36" s="150">
        <f>SUM(G104:G106)</f>
        <v>2</v>
      </c>
      <c r="V36" s="121" t="s">
        <v>302</v>
      </c>
      <c r="W36" s="150">
        <f>SUM(F104:F106)</f>
        <v>3</v>
      </c>
      <c r="X36" s="184">
        <f t="shared" si="23"/>
        <v>2.25</v>
      </c>
      <c r="Y36" s="182">
        <f>X104</f>
        <v>1.1000000000000001</v>
      </c>
      <c r="Z36" s="182">
        <f>X105</f>
        <v>1.625</v>
      </c>
      <c r="AA36" s="182">
        <f>X106</f>
        <v>0.83333333333333348</v>
      </c>
      <c r="AB36" s="182">
        <f t="shared" si="10"/>
        <v>2.1</v>
      </c>
      <c r="AC36" s="188">
        <f t="shared" si="11"/>
        <v>2.625</v>
      </c>
      <c r="AD36" s="182">
        <f t="shared" si="12"/>
        <v>1.8333333333333335</v>
      </c>
      <c r="AE36" s="182">
        <f t="shared" si="17"/>
        <v>5.5125000000000002</v>
      </c>
      <c r="AF36" s="182">
        <f t="shared" si="18"/>
        <v>4.8125</v>
      </c>
      <c r="AG36" s="182">
        <f t="shared" si="19"/>
        <v>3.8500000000000005</v>
      </c>
      <c r="AH36" s="182">
        <f t="shared" si="20"/>
        <v>10.106250000000001</v>
      </c>
      <c r="AI36" s="182">
        <f t="shared" si="13"/>
        <v>23.839583333333337</v>
      </c>
      <c r="AJ36" s="195" t="str">
        <f t="shared" si="14"/>
        <v>Kevin Carter</v>
      </c>
      <c r="AK36" s="1">
        <f t="shared" si="15"/>
        <v>7</v>
      </c>
    </row>
    <row r="37" spans="2:37" ht="13.15" thickBot="1">
      <c r="B37" s="185"/>
      <c r="C37" s="185" t="str">
        <f>Picks!B37</f>
        <v>Wycombe draw</v>
      </c>
      <c r="D37" s="186">
        <f>Picks!C37</f>
        <v>7</v>
      </c>
      <c r="E37" s="186">
        <f>Picks!D37</f>
        <v>3.4</v>
      </c>
      <c r="F37" s="185">
        <f>IF(C37="","",INDEX(Odds!K:K,MATCH(C37,Odds!G:G,0)))</f>
        <v>1</v>
      </c>
      <c r="G37" s="185">
        <f>IF(C37="","",Picks!M37)</f>
        <v>0</v>
      </c>
      <c r="H37" s="186">
        <f t="shared" si="4"/>
        <v>0</v>
      </c>
      <c r="I37" s="194" t="str">
        <f t="shared" si="5"/>
        <v>Lennie Bow</v>
      </c>
      <c r="J37" s="182">
        <f>H107</f>
        <v>1.25</v>
      </c>
      <c r="K37" s="182">
        <f>H108</f>
        <v>0.7</v>
      </c>
      <c r="L37" s="182">
        <f>H109</f>
        <v>0</v>
      </c>
      <c r="M37" s="182">
        <f t="shared" si="21"/>
        <v>2.25</v>
      </c>
      <c r="N37" s="182">
        <f t="shared" si="22"/>
        <v>1.7</v>
      </c>
      <c r="O37" s="182">
        <f t="shared" si="2"/>
        <v>0</v>
      </c>
      <c r="P37" s="182">
        <f t="shared" si="6"/>
        <v>3.8250000000000002</v>
      </c>
      <c r="Q37" s="182">
        <f t="shared" si="7"/>
        <v>0</v>
      </c>
      <c r="R37" s="182">
        <f t="shared" si="8"/>
        <v>0</v>
      </c>
      <c r="S37" s="182">
        <f t="shared" si="16"/>
        <v>0</v>
      </c>
      <c r="T37" s="182">
        <f t="shared" si="9"/>
        <v>0.77500000000000036</v>
      </c>
      <c r="U37" s="150">
        <f>SUM(G107:G109)</f>
        <v>2</v>
      </c>
      <c r="V37" s="121" t="s">
        <v>290</v>
      </c>
      <c r="W37" s="150">
        <f>SUM(F107:F109)</f>
        <v>3</v>
      </c>
      <c r="X37" s="184">
        <f t="shared" si="23"/>
        <v>2.4</v>
      </c>
      <c r="Y37" s="182">
        <f>X107</f>
        <v>1.25</v>
      </c>
      <c r="Z37" s="182">
        <f>X108</f>
        <v>0.7</v>
      </c>
      <c r="AA37" s="182">
        <f>X109</f>
        <v>0.85000000000000009</v>
      </c>
      <c r="AB37" s="182">
        <f t="shared" si="10"/>
        <v>2.25</v>
      </c>
      <c r="AC37" s="188">
        <f t="shared" si="11"/>
        <v>1.7</v>
      </c>
      <c r="AD37" s="182">
        <f t="shared" si="12"/>
        <v>1.85</v>
      </c>
      <c r="AE37" s="182">
        <f t="shared" si="17"/>
        <v>3.8250000000000002</v>
      </c>
      <c r="AF37" s="182">
        <f t="shared" si="18"/>
        <v>3.145</v>
      </c>
      <c r="AG37" s="182">
        <f t="shared" si="19"/>
        <v>4.1624999999999996</v>
      </c>
      <c r="AH37" s="182">
        <f t="shared" si="20"/>
        <v>7.0762500000000008</v>
      </c>
      <c r="AI37" s="182">
        <f t="shared" si="13"/>
        <v>17.008749999999999</v>
      </c>
      <c r="AJ37" s="195" t="str">
        <f t="shared" si="14"/>
        <v>Lennie Bow</v>
      </c>
      <c r="AK37" s="1">
        <f t="shared" si="15"/>
        <v>7</v>
      </c>
    </row>
    <row r="38" spans="2:37">
      <c r="B38" s="184" t="str">
        <f>$V14</f>
        <v>Charlie Griffiths</v>
      </c>
      <c r="C38" s="183" t="str">
        <f>Picks!B38</f>
        <v>Man U</v>
      </c>
      <c r="D38" s="184">
        <f>Picks!C38</f>
        <v>1</v>
      </c>
      <c r="E38" s="184">
        <f>Picks!D38</f>
        <v>1.75</v>
      </c>
      <c r="F38" s="183">
        <f>IF(C38="","",INDEX(Odds!K:K,MATCH(C38,Odds!G:G,0)))</f>
        <v>1</v>
      </c>
      <c r="G38" s="183">
        <f>IF(C38="","",Picks!M38)</f>
        <v>1</v>
      </c>
      <c r="H38" s="184">
        <f t="shared" si="4"/>
        <v>0.75</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366</v>
      </c>
      <c r="W38" s="150">
        <f>SUM(F110:F112)</f>
        <v>0</v>
      </c>
      <c r="X38" s="184">
        <f t="shared" si="23"/>
        <v>0.75</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Man c draw</v>
      </c>
      <c r="D39" s="184">
        <f>Picks!C39</f>
        <v>1</v>
      </c>
      <c r="E39" s="184">
        <f>Picks!D39</f>
        <v>6</v>
      </c>
      <c r="F39" s="183">
        <f>IF(C39="","",INDEX(Odds!K:K,MATCH(C39,Odds!G:G,0)))</f>
        <v>1</v>
      </c>
      <c r="G39" s="183">
        <f>IF(C39="","",Picks!M39)</f>
        <v>0</v>
      </c>
      <c r="H39" s="184">
        <f t="shared" si="4"/>
        <v>0</v>
      </c>
      <c r="I39" s="194" t="str">
        <f t="shared" si="5"/>
        <v>Mal Stott</v>
      </c>
      <c r="J39" s="182">
        <f>H113</f>
        <v>0</v>
      </c>
      <c r="K39" s="182">
        <f>H114</f>
        <v>1.25</v>
      </c>
      <c r="L39" s="182">
        <f>H115</f>
        <v>0</v>
      </c>
      <c r="M39" s="182">
        <f t="shared" si="21"/>
        <v>0</v>
      </c>
      <c r="N39" s="182">
        <f t="shared" si="22"/>
        <v>2.25</v>
      </c>
      <c r="O39" s="182">
        <f t="shared" si="2"/>
        <v>0</v>
      </c>
      <c r="P39" s="182">
        <f t="shared" si="6"/>
        <v>0</v>
      </c>
      <c r="Q39" s="182">
        <f t="shared" si="7"/>
        <v>0</v>
      </c>
      <c r="R39" s="182">
        <f t="shared" si="8"/>
        <v>0</v>
      </c>
      <c r="S39" s="182">
        <f t="shared" si="16"/>
        <v>0</v>
      </c>
      <c r="T39" s="182">
        <f t="shared" si="9"/>
        <v>-4.75</v>
      </c>
      <c r="U39" s="150">
        <f>SUM(G113:G115)</f>
        <v>1</v>
      </c>
      <c r="V39" s="121" t="s">
        <v>298</v>
      </c>
      <c r="W39" s="150">
        <f>SUM(F113:F115)</f>
        <v>3</v>
      </c>
      <c r="X39" s="184">
        <f t="shared" si="23"/>
        <v>5</v>
      </c>
      <c r="Y39" s="182">
        <f>X113</f>
        <v>1</v>
      </c>
      <c r="Z39" s="182">
        <f>X114</f>
        <v>1.25</v>
      </c>
      <c r="AA39" s="182">
        <f>X115</f>
        <v>1.1000000000000001</v>
      </c>
      <c r="AB39" s="182">
        <f t="shared" si="10"/>
        <v>2</v>
      </c>
      <c r="AC39" s="188">
        <f t="shared" si="11"/>
        <v>2.25</v>
      </c>
      <c r="AD39" s="182">
        <f t="shared" si="12"/>
        <v>2.1</v>
      </c>
      <c r="AE39" s="182">
        <f t="shared" si="17"/>
        <v>4.5</v>
      </c>
      <c r="AF39" s="182">
        <f t="shared" si="18"/>
        <v>4.7249999999999996</v>
      </c>
      <c r="AG39" s="182">
        <f t="shared" si="19"/>
        <v>4.2</v>
      </c>
      <c r="AH39" s="182">
        <f t="shared" si="20"/>
        <v>9.4499999999999993</v>
      </c>
      <c r="AI39" s="182">
        <f t="shared" si="13"/>
        <v>22.224999999999998</v>
      </c>
      <c r="AJ39" s="195" t="str">
        <f t="shared" si="14"/>
        <v>Mal Stott</v>
      </c>
      <c r="AK39" s="1">
        <f t="shared" si="15"/>
        <v>7</v>
      </c>
    </row>
    <row r="40" spans="2:37" ht="13.15" thickBot="1">
      <c r="B40" s="185"/>
      <c r="C40" s="185" t="str">
        <f>Picks!B40</f>
        <v>Arsenal</v>
      </c>
      <c r="D40" s="186">
        <f>Picks!C40</f>
        <v>7</v>
      </c>
      <c r="E40" s="186">
        <f>Picks!D40</f>
        <v>1.3636363636363638</v>
      </c>
      <c r="F40" s="185">
        <f>IF(C40="","",INDEX(Odds!K:K,MATCH(C40,Odds!G:G,0)))</f>
        <v>1</v>
      </c>
      <c r="G40" s="185">
        <f>IF(C40="","",Picks!M40)</f>
        <v>0</v>
      </c>
      <c r="H40" s="186">
        <f t="shared" si="4"/>
        <v>0</v>
      </c>
      <c r="I40" s="194" t="str">
        <f t="shared" si="5"/>
        <v>Mark Bunn</v>
      </c>
      <c r="J40" s="182">
        <f>H116</f>
        <v>0</v>
      </c>
      <c r="K40" s="182">
        <f>H117</f>
        <v>0</v>
      </c>
      <c r="L40" s="182">
        <f>H118</f>
        <v>0</v>
      </c>
      <c r="M40" s="182">
        <f t="shared" si="21"/>
        <v>0</v>
      </c>
      <c r="N40" s="182">
        <f t="shared" si="22"/>
        <v>0</v>
      </c>
      <c r="O40" s="182">
        <f t="shared" si="2"/>
        <v>0</v>
      </c>
      <c r="P40" s="182">
        <f t="shared" si="6"/>
        <v>0</v>
      </c>
      <c r="Q40" s="182">
        <f t="shared" si="7"/>
        <v>0</v>
      </c>
      <c r="R40" s="182">
        <f t="shared" si="8"/>
        <v>0</v>
      </c>
      <c r="S40" s="182">
        <f t="shared" si="16"/>
        <v>0</v>
      </c>
      <c r="T40" s="182">
        <f t="shared" si="9"/>
        <v>-7</v>
      </c>
      <c r="U40" s="150">
        <f>SUM(G116:G118)</f>
        <v>0</v>
      </c>
      <c r="V40" s="118" t="s">
        <v>291</v>
      </c>
      <c r="W40" s="150">
        <f>SUM(F116:F118)</f>
        <v>3</v>
      </c>
      <c r="X40" s="184">
        <f t="shared" si="23"/>
        <v>0.36363636363636376</v>
      </c>
      <c r="Y40" s="182">
        <f>X116</f>
        <v>1.2999999999999998</v>
      </c>
      <c r="Z40" s="182">
        <f>X117</f>
        <v>1.25</v>
      </c>
      <c r="AA40" s="182">
        <f>X118</f>
        <v>2.1</v>
      </c>
      <c r="AB40" s="182">
        <f t="shared" si="10"/>
        <v>2.2999999999999998</v>
      </c>
      <c r="AC40" s="188">
        <f t="shared" si="11"/>
        <v>2.25</v>
      </c>
      <c r="AD40" s="182">
        <f t="shared" si="12"/>
        <v>3.1</v>
      </c>
      <c r="AE40" s="182">
        <f t="shared" si="17"/>
        <v>5.1749999999999998</v>
      </c>
      <c r="AF40" s="182">
        <f t="shared" si="18"/>
        <v>6.9750000000000005</v>
      </c>
      <c r="AG40" s="182">
        <f t="shared" si="19"/>
        <v>7.129999999999999</v>
      </c>
      <c r="AH40" s="182">
        <f t="shared" si="20"/>
        <v>16.0425</v>
      </c>
      <c r="AI40" s="182">
        <f t="shared" si="13"/>
        <v>35.972499999999997</v>
      </c>
      <c r="AJ40" s="195" t="str">
        <f t="shared" si="14"/>
        <v>Mark Bunn</v>
      </c>
      <c r="AK40" s="1">
        <f t="shared" si="15"/>
        <v>7</v>
      </c>
    </row>
    <row r="41" spans="2:37">
      <c r="B41" s="183" t="str">
        <f>$V15</f>
        <v>Chris Bow</v>
      </c>
      <c r="C41" s="183" t="str">
        <f>Picks!B41</f>
        <v>Luton</v>
      </c>
      <c r="D41" s="184">
        <f>Picks!C41</f>
        <v>7</v>
      </c>
      <c r="E41" s="184">
        <f>Picks!D41</f>
        <v>3.25</v>
      </c>
      <c r="F41" s="183">
        <f>IF(C41="","",INDEX(Odds!K:K,MATCH(C41,Odds!G:G,0)))</f>
        <v>1</v>
      </c>
      <c r="G41" s="183">
        <f>IF(C41="","",Picks!M41)</f>
        <v>0</v>
      </c>
      <c r="H41" s="184">
        <f t="shared" si="4"/>
        <v>0</v>
      </c>
      <c r="I41" s="194" t="str">
        <f t="shared" si="5"/>
        <v>Mark Saunders</v>
      </c>
      <c r="J41" s="182">
        <f>H119</f>
        <v>0.5</v>
      </c>
      <c r="K41" s="182">
        <f>H120</f>
        <v>0.83333333333333348</v>
      </c>
      <c r="L41" s="182">
        <f>H121</f>
        <v>0</v>
      </c>
      <c r="M41" s="182">
        <f t="shared" si="21"/>
        <v>1.5</v>
      </c>
      <c r="N41" s="182">
        <f t="shared" si="22"/>
        <v>1.8333333333333335</v>
      </c>
      <c r="O41" s="182">
        <f t="shared" si="2"/>
        <v>0</v>
      </c>
      <c r="P41" s="182">
        <f t="shared" si="6"/>
        <v>2.75</v>
      </c>
      <c r="Q41" s="182">
        <f t="shared" si="7"/>
        <v>0</v>
      </c>
      <c r="R41" s="182">
        <f t="shared" si="8"/>
        <v>0</v>
      </c>
      <c r="S41" s="182">
        <f t="shared" si="16"/>
        <v>0</v>
      </c>
      <c r="T41" s="182">
        <f t="shared" si="9"/>
        <v>-0.91666666666666607</v>
      </c>
      <c r="U41" s="150">
        <f>SUM(G119:G121)</f>
        <v>2</v>
      </c>
      <c r="V41" s="121" t="s">
        <v>286</v>
      </c>
      <c r="W41" s="150">
        <f>SUM(F119:F121)</f>
        <v>3</v>
      </c>
      <c r="X41" s="184">
        <f t="shared" si="23"/>
        <v>2.25</v>
      </c>
      <c r="Y41" s="182">
        <f>X119</f>
        <v>0.5</v>
      </c>
      <c r="Z41" s="182">
        <f>X120</f>
        <v>0.83333333333333348</v>
      </c>
      <c r="AA41" s="182">
        <f>X121</f>
        <v>1</v>
      </c>
      <c r="AB41" s="182">
        <f t="shared" si="10"/>
        <v>1.5</v>
      </c>
      <c r="AC41" s="188">
        <f t="shared" si="11"/>
        <v>1.8333333333333335</v>
      </c>
      <c r="AD41" s="182">
        <f t="shared" si="12"/>
        <v>2</v>
      </c>
      <c r="AE41" s="182">
        <f t="shared" si="17"/>
        <v>2.75</v>
      </c>
      <c r="AF41" s="182">
        <f t="shared" si="18"/>
        <v>3.666666666666667</v>
      </c>
      <c r="AG41" s="182">
        <f t="shared" si="19"/>
        <v>3</v>
      </c>
      <c r="AH41" s="182">
        <f t="shared" si="20"/>
        <v>5.5</v>
      </c>
      <c r="AI41" s="182">
        <f t="shared" si="13"/>
        <v>13.25</v>
      </c>
      <c r="AJ41" s="195" t="str">
        <f t="shared" si="14"/>
        <v>Mark Saunders</v>
      </c>
      <c r="AK41" s="1">
        <f t="shared" si="15"/>
        <v>7</v>
      </c>
    </row>
    <row r="42" spans="2:37">
      <c r="B42" s="183"/>
      <c r="C42" s="183" t="str">
        <f>Picks!B42</f>
        <v>Stoke</v>
      </c>
      <c r="D42" s="184">
        <f>Picks!C42</f>
        <v>7</v>
      </c>
      <c r="E42" s="184">
        <f>Picks!D42</f>
        <v>2</v>
      </c>
      <c r="F42" s="183">
        <f>IF(C42="","",INDEX(Odds!K:K,MATCH(C42,Odds!G:G,0)))</f>
        <v>1</v>
      </c>
      <c r="G42" s="183">
        <f>IF(C42="","",Picks!M42)</f>
        <v>0</v>
      </c>
      <c r="H42" s="184">
        <f t="shared" si="4"/>
        <v>0</v>
      </c>
      <c r="I42" s="194" t="str">
        <f t="shared" si="5"/>
        <v>Martin Molyneux</v>
      </c>
      <c r="J42" s="182">
        <f>H122</f>
        <v>1.1499999999999999</v>
      </c>
      <c r="K42" s="182">
        <f>H123</f>
        <v>0.83333333333333348</v>
      </c>
      <c r="L42" s="182">
        <f>H124</f>
        <v>0.90909090909090917</v>
      </c>
      <c r="M42" s="182">
        <f t="shared" si="21"/>
        <v>2.15</v>
      </c>
      <c r="N42" s="182">
        <f t="shared" si="22"/>
        <v>1.8333333333333335</v>
      </c>
      <c r="O42" s="182">
        <f t="shared" si="2"/>
        <v>1.9090909090909092</v>
      </c>
      <c r="P42" s="182">
        <f t="shared" si="6"/>
        <v>3.9416666666666669</v>
      </c>
      <c r="Q42" s="182">
        <f t="shared" si="7"/>
        <v>3.5000000000000004</v>
      </c>
      <c r="R42" s="182">
        <f t="shared" si="8"/>
        <v>4.1045454545454545</v>
      </c>
      <c r="S42" s="182">
        <f t="shared" si="16"/>
        <v>7.5250000000000004</v>
      </c>
      <c r="T42" s="182">
        <f t="shared" si="9"/>
        <v>17.963636363636361</v>
      </c>
      <c r="U42" s="150">
        <f>SUM(G122:G124)</f>
        <v>3</v>
      </c>
      <c r="V42" s="118" t="s">
        <v>285</v>
      </c>
      <c r="W42" s="150">
        <f>SUM(F122:F124)</f>
        <v>3</v>
      </c>
      <c r="X42" s="184">
        <f t="shared" si="23"/>
        <v>1</v>
      </c>
      <c r="Y42" s="182">
        <f>X122</f>
        <v>1.1499999999999999</v>
      </c>
      <c r="Z42" s="182">
        <f>X123</f>
        <v>0.83333333333333348</v>
      </c>
      <c r="AA42" s="182">
        <f>X124</f>
        <v>0.90909090909090917</v>
      </c>
      <c r="AB42" s="182">
        <f t="shared" si="10"/>
        <v>2.15</v>
      </c>
      <c r="AC42" s="188">
        <f t="shared" si="11"/>
        <v>1.8333333333333335</v>
      </c>
      <c r="AD42" s="182">
        <f t="shared" si="12"/>
        <v>1.9090909090909092</v>
      </c>
      <c r="AE42" s="182">
        <f t="shared" si="17"/>
        <v>3.9416666666666669</v>
      </c>
      <c r="AF42" s="182">
        <f t="shared" si="18"/>
        <v>3.5000000000000004</v>
      </c>
      <c r="AG42" s="182">
        <f t="shared" si="19"/>
        <v>4.1045454545454545</v>
      </c>
      <c r="AH42" s="182">
        <f t="shared" si="20"/>
        <v>7.5250000000000004</v>
      </c>
      <c r="AI42" s="182">
        <f t="shared" si="13"/>
        <v>17.963636363636361</v>
      </c>
      <c r="AJ42" s="195" t="str">
        <f t="shared" si="14"/>
        <v>Martin Molyneux</v>
      </c>
      <c r="AK42" s="1">
        <f t="shared" si="15"/>
        <v>7</v>
      </c>
    </row>
    <row r="43" spans="2:37" ht="13.15" thickBot="1">
      <c r="B43" s="185"/>
      <c r="C43" s="185" t="str">
        <f>Picks!B43</f>
        <v>Derby</v>
      </c>
      <c r="D43" s="186">
        <f>Picks!C43</f>
        <v>7</v>
      </c>
      <c r="E43" s="186">
        <f>Picks!D43</f>
        <v>2.2999999999999998</v>
      </c>
      <c r="F43" s="185">
        <f>IF(C43="","",INDEX(Odds!K:K,MATCH(C43,Odds!G:G,0)))</f>
        <v>1</v>
      </c>
      <c r="G43" s="185">
        <f>IF(C43="","",Picks!M43)</f>
        <v>0</v>
      </c>
      <c r="H43" s="186">
        <f t="shared" si="4"/>
        <v>0</v>
      </c>
      <c r="I43" s="194" t="str">
        <f t="shared" si="5"/>
        <v>Martin Tarbuck</v>
      </c>
      <c r="J43" s="182">
        <f>H125</f>
        <v>0</v>
      </c>
      <c r="K43" s="182">
        <f>H126</f>
        <v>1.1499999999999999</v>
      </c>
      <c r="L43" s="182">
        <f>H127</f>
        <v>0</v>
      </c>
      <c r="M43" s="182">
        <f t="shared" si="21"/>
        <v>0</v>
      </c>
      <c r="N43" s="182">
        <f t="shared" si="22"/>
        <v>2.15</v>
      </c>
      <c r="O43" s="182">
        <f t="shared" si="2"/>
        <v>0</v>
      </c>
      <c r="P43" s="182">
        <f t="shared" si="6"/>
        <v>0</v>
      </c>
      <c r="Q43" s="182">
        <f t="shared" si="7"/>
        <v>0</v>
      </c>
      <c r="R43" s="182">
        <f t="shared" si="8"/>
        <v>0</v>
      </c>
      <c r="S43" s="182">
        <f t="shared" si="16"/>
        <v>0</v>
      </c>
      <c r="T43" s="182">
        <f t="shared" si="9"/>
        <v>-4.8499999999999996</v>
      </c>
      <c r="U43" s="150">
        <f>SUM(G125:G127)</f>
        <v>1</v>
      </c>
      <c r="V43" s="118" t="s">
        <v>374</v>
      </c>
      <c r="W43" s="150">
        <f>SUM(F125:F127)</f>
        <v>3</v>
      </c>
      <c r="X43" s="184">
        <f t="shared" si="23"/>
        <v>1.2999999999999998</v>
      </c>
      <c r="Y43" s="182">
        <f>X125</f>
        <v>1.2999999999999998</v>
      </c>
      <c r="Z43" s="182">
        <f>X126</f>
        <v>1.1499999999999999</v>
      </c>
      <c r="AA43" s="182">
        <f>X127</f>
        <v>2.2000000000000002</v>
      </c>
      <c r="AB43" s="182">
        <f t="shared" si="10"/>
        <v>2.2999999999999998</v>
      </c>
      <c r="AC43" s="188">
        <f t="shared" si="11"/>
        <v>2.15</v>
      </c>
      <c r="AD43" s="182">
        <f t="shared" si="12"/>
        <v>3.2</v>
      </c>
      <c r="AE43" s="182">
        <f t="shared" si="17"/>
        <v>4.9449999999999994</v>
      </c>
      <c r="AF43" s="182">
        <f t="shared" si="18"/>
        <v>6.8800000000000008</v>
      </c>
      <c r="AG43" s="182">
        <f t="shared" si="19"/>
        <v>7.3599999999999994</v>
      </c>
      <c r="AH43" s="182">
        <f t="shared" si="20"/>
        <v>15.823999999999998</v>
      </c>
      <c r="AI43" s="182">
        <f t="shared" si="13"/>
        <v>35.658999999999999</v>
      </c>
      <c r="AJ43" s="195" t="str">
        <f t="shared" si="14"/>
        <v>Martin Tarbuck</v>
      </c>
      <c r="AK43" s="1">
        <f t="shared" si="15"/>
        <v>7</v>
      </c>
    </row>
    <row r="44" spans="2:37">
      <c r="B44" s="184" t="str">
        <f>$V16</f>
        <v>Chris Griffin</v>
      </c>
      <c r="C44" s="183" t="str">
        <f>Picks!B44</f>
        <v>Sunderland</v>
      </c>
      <c r="D44" s="184">
        <f>Picks!C44</f>
        <v>7</v>
      </c>
      <c r="E44" s="184">
        <f>Picks!D44</f>
        <v>1.9090909090909092</v>
      </c>
      <c r="F44" s="183">
        <f>IF(C44="","",INDEX(Odds!K:K,MATCH(C44,Odds!G:G,0)))</f>
        <v>1</v>
      </c>
      <c r="G44" s="183">
        <f>IF(C44="","",Picks!M44)</f>
        <v>1</v>
      </c>
      <c r="H44" s="184">
        <f t="shared" si="4"/>
        <v>0.90909090909090917</v>
      </c>
      <c r="I44" s="194" t="str">
        <f t="shared" si="5"/>
        <v>Mike Penk</v>
      </c>
      <c r="J44" s="182">
        <f>H128</f>
        <v>1.75</v>
      </c>
      <c r="K44" s="182">
        <f>H129</f>
        <v>0.83333333333333348</v>
      </c>
      <c r="L44" s="182">
        <f>H130</f>
        <v>1.0499999999999998</v>
      </c>
      <c r="M44" s="182">
        <f t="shared" si="21"/>
        <v>2.75</v>
      </c>
      <c r="N44" s="182">
        <f t="shared" si="22"/>
        <v>1.8333333333333335</v>
      </c>
      <c r="O44" s="182">
        <f t="shared" si="2"/>
        <v>2.0499999999999998</v>
      </c>
      <c r="P44" s="182">
        <f t="shared" si="6"/>
        <v>5.041666666666667</v>
      </c>
      <c r="Q44" s="182">
        <f t="shared" si="7"/>
        <v>3.7583333333333333</v>
      </c>
      <c r="R44" s="182">
        <f t="shared" si="8"/>
        <v>5.6374999999999993</v>
      </c>
      <c r="S44" s="182">
        <f t="shared" si="16"/>
        <v>10.335416666666667</v>
      </c>
      <c r="T44" s="182">
        <f>SUM(M44:S44)-(IF(W44=1,A$2*1,0))-(IF(W44=2,A$2*3,0))-(IF(W44=3,A$2*7,0))</f>
        <v>24.40625</v>
      </c>
      <c r="U44" s="150">
        <f>SUM(G128:G130)</f>
        <v>3</v>
      </c>
      <c r="V44" s="120" t="s">
        <v>295</v>
      </c>
      <c r="W44" s="150">
        <f>SUM(F128:F130)</f>
        <v>3</v>
      </c>
      <c r="X44" s="184">
        <f t="shared" si="23"/>
        <v>0.90909090909090917</v>
      </c>
      <c r="Y44" s="182">
        <f>X128</f>
        <v>1.75</v>
      </c>
      <c r="Z44" s="182">
        <f>X129</f>
        <v>0.83333333333333348</v>
      </c>
      <c r="AA44" s="182">
        <f>X130</f>
        <v>1.0499999999999998</v>
      </c>
      <c r="AB44" s="182">
        <f t="shared" si="10"/>
        <v>2.75</v>
      </c>
      <c r="AC44" s="188">
        <f t="shared" si="11"/>
        <v>1.8333333333333335</v>
      </c>
      <c r="AD44" s="182">
        <f t="shared" si="12"/>
        <v>2.0499999999999998</v>
      </c>
      <c r="AE44" s="182">
        <f t="shared" si="17"/>
        <v>5.041666666666667</v>
      </c>
      <c r="AF44" s="182">
        <f t="shared" si="18"/>
        <v>3.7583333333333333</v>
      </c>
      <c r="AG44" s="182">
        <f t="shared" si="19"/>
        <v>5.6374999999999993</v>
      </c>
      <c r="AH44" s="182">
        <f t="shared" si="20"/>
        <v>10.335416666666667</v>
      </c>
      <c r="AI44" s="182">
        <f t="shared" si="13"/>
        <v>24.40625</v>
      </c>
      <c r="AJ44" s="195" t="str">
        <f t="shared" si="14"/>
        <v>Mike Penk</v>
      </c>
      <c r="AK44" s="1">
        <f t="shared" si="15"/>
        <v>7</v>
      </c>
    </row>
    <row r="45" spans="2:37">
      <c r="B45" s="183"/>
      <c r="C45" s="183" t="str">
        <f>Picks!B45</f>
        <v>Barnsley</v>
      </c>
      <c r="D45" s="184">
        <f>Picks!C45</f>
        <v>7</v>
      </c>
      <c r="E45" s="184">
        <f>Picks!D45</f>
        <v>1.5</v>
      </c>
      <c r="F45" s="183">
        <f>IF(C45="","",INDEX(Odds!K:K,MATCH(C45,Odds!G:G,0)))</f>
        <v>1</v>
      </c>
      <c r="G45" s="183">
        <f>IF(C45="","",Picks!M45)</f>
        <v>1</v>
      </c>
      <c r="H45" s="184">
        <f t="shared" si="4"/>
        <v>0.5</v>
      </c>
      <c r="I45" s="194" t="str">
        <f t="shared" si="5"/>
        <v>Mo Sudell</v>
      </c>
      <c r="J45" s="182">
        <f>H131</f>
        <v>0</v>
      </c>
      <c r="K45" s="182">
        <f>H132</f>
        <v>0</v>
      </c>
      <c r="L45" s="182">
        <f>H133</f>
        <v>0</v>
      </c>
      <c r="M45" s="182">
        <f t="shared" si="21"/>
        <v>0</v>
      </c>
      <c r="N45" s="182">
        <f t="shared" si="22"/>
        <v>0</v>
      </c>
      <c r="O45" s="182">
        <f t="shared" si="2"/>
        <v>0</v>
      </c>
      <c r="P45" s="182">
        <f t="shared" si="6"/>
        <v>0</v>
      </c>
      <c r="Q45" s="182">
        <f t="shared" si="7"/>
        <v>0</v>
      </c>
      <c r="R45" s="182">
        <f t="shared" si="8"/>
        <v>0</v>
      </c>
      <c r="S45" s="182">
        <f t="shared" si="16"/>
        <v>0</v>
      </c>
      <c r="T45" s="182">
        <f t="shared" si="9"/>
        <v>-7</v>
      </c>
      <c r="U45" s="150">
        <f>SUM(G131:G133)</f>
        <v>0</v>
      </c>
      <c r="V45" s="121" t="s">
        <v>309</v>
      </c>
      <c r="W45" s="150">
        <f>SUM(F131:F133)</f>
        <v>3</v>
      </c>
      <c r="X45" s="184">
        <f t="shared" si="23"/>
        <v>0.5</v>
      </c>
      <c r="Y45" s="182">
        <f>X131</f>
        <v>0.85000000000000009</v>
      </c>
      <c r="Z45" s="182">
        <f>X132</f>
        <v>1.4</v>
      </c>
      <c r="AA45" s="182">
        <f>X133</f>
        <v>1</v>
      </c>
      <c r="AB45" s="182">
        <f t="shared" si="10"/>
        <v>1.85</v>
      </c>
      <c r="AC45" s="188">
        <f t="shared" si="11"/>
        <v>2.4</v>
      </c>
      <c r="AD45" s="182">
        <f t="shared" si="12"/>
        <v>2</v>
      </c>
      <c r="AE45" s="182">
        <f t="shared" si="17"/>
        <v>4.4399999999999995</v>
      </c>
      <c r="AF45" s="182">
        <f t="shared" si="18"/>
        <v>4.8</v>
      </c>
      <c r="AG45" s="182">
        <f t="shared" si="19"/>
        <v>3.7</v>
      </c>
      <c r="AH45" s="182">
        <f t="shared" si="20"/>
        <v>8.879999999999999</v>
      </c>
      <c r="AI45" s="182">
        <f t="shared" si="13"/>
        <v>21.069999999999997</v>
      </c>
      <c r="AJ45" s="195" t="str">
        <f t="shared" si="14"/>
        <v>Mo Sudell</v>
      </c>
      <c r="AK45" s="1">
        <f t="shared" si="15"/>
        <v>7</v>
      </c>
    </row>
    <row r="46" spans="2:37" ht="13.15" thickBot="1">
      <c r="B46" s="185"/>
      <c r="C46" s="185" t="str">
        <f>Picks!B46</f>
        <v>Man C</v>
      </c>
      <c r="D46" s="186">
        <f>Picks!C46</f>
        <v>1</v>
      </c>
      <c r="E46" s="186">
        <f>Picks!D46</f>
        <v>1.2222222222222223</v>
      </c>
      <c r="F46" s="185">
        <f>IF(C46="","",INDEX(Odds!K:K,MATCH(C46,Odds!G:G,0)))</f>
        <v>1</v>
      </c>
      <c r="G46" s="185">
        <f>IF(C46="","",Picks!M46)</f>
        <v>1</v>
      </c>
      <c r="H46" s="186">
        <f t="shared" si="4"/>
        <v>0.22222222222222232</v>
      </c>
      <c r="I46" s="194" t="str">
        <f t="shared" si="5"/>
        <v>Nick Blocksidge</v>
      </c>
      <c r="J46" s="182" t="str">
        <f>H134</f>
        <v/>
      </c>
      <c r="K46" s="182" t="str">
        <f>H135</f>
        <v/>
      </c>
      <c r="L46" s="182" t="str">
        <f>H136</f>
        <v/>
      </c>
      <c r="M46" s="182" t="e">
        <f t="shared" si="21"/>
        <v>#VALUE!</v>
      </c>
      <c r="N46" s="182" t="e">
        <f t="shared" si="22"/>
        <v>#VALUE!</v>
      </c>
      <c r="O46" s="182" t="e">
        <f t="shared" si="2"/>
        <v>#VALUE!</v>
      </c>
      <c r="P46" s="182" t="e">
        <f t="shared" si="6"/>
        <v>#VALUE!</v>
      </c>
      <c r="Q46" s="182" t="e">
        <f t="shared" si="7"/>
        <v>#VALUE!</v>
      </c>
      <c r="R46" s="182" t="e">
        <f t="shared" si="8"/>
        <v>#VALUE!</v>
      </c>
      <c r="S46" s="182" t="e">
        <f t="shared" si="16"/>
        <v>#VALUE!</v>
      </c>
      <c r="T46" s="182" t="e">
        <f t="shared" si="9"/>
        <v>#VALUE!</v>
      </c>
      <c r="U46" s="150">
        <f>SUM(G134:G136)</f>
        <v>0</v>
      </c>
      <c r="V46" s="118" t="s">
        <v>373</v>
      </c>
      <c r="W46" s="150">
        <f>SUM(F134:F136)</f>
        <v>0</v>
      </c>
      <c r="X46" s="184">
        <f t="shared" si="23"/>
        <v>0.22222222222222232</v>
      </c>
      <c r="Y46" s="182" t="e">
        <f>X134</f>
        <v>#VALUE!</v>
      </c>
      <c r="Z46" s="182" t="e">
        <f>X135</f>
        <v>#VALUE!</v>
      </c>
      <c r="AA46" s="182" t="e">
        <f>X136</f>
        <v>#VALUE!</v>
      </c>
      <c r="AB46" s="182" t="e">
        <f t="shared" si="10"/>
        <v>#VALUE!</v>
      </c>
      <c r="AC46" s="188" t="e">
        <f t="shared" si="11"/>
        <v>#VALUE!</v>
      </c>
      <c r="AD46" s="182" t="e">
        <f t="shared" si="12"/>
        <v>#VALUE!</v>
      </c>
      <c r="AE46" s="182" t="e">
        <f t="shared" si="17"/>
        <v>#VALUE!</v>
      </c>
      <c r="AF46" s="182" t="e">
        <f t="shared" si="18"/>
        <v>#VALUE!</v>
      </c>
      <c r="AG46" s="182" t="e">
        <f t="shared" si="19"/>
        <v>#VALUE!</v>
      </c>
      <c r="AH46" s="182" t="e">
        <f t="shared" si="20"/>
        <v>#VALUE!</v>
      </c>
      <c r="AI46" s="182" t="e">
        <f t="shared" si="13"/>
        <v>#VALUE!</v>
      </c>
      <c r="AJ46" s="195" t="str">
        <f t="shared" si="14"/>
        <v>Nick Blocksidge</v>
      </c>
      <c r="AK46" s="1">
        <f t="shared" si="15"/>
        <v>1</v>
      </c>
    </row>
    <row r="47" spans="2:37">
      <c r="B47" s="184" t="str">
        <f>$V17</f>
        <v>Chris Luck</v>
      </c>
      <c r="C47" s="183" t="str">
        <f>Picks!B47</f>
        <v>Blackpool</v>
      </c>
      <c r="D47" s="184">
        <f>Picks!C47</f>
        <v>7</v>
      </c>
      <c r="E47" s="184">
        <f>Picks!D47</f>
        <v>2.15</v>
      </c>
      <c r="F47" s="183">
        <f>IF(C47="","",INDEX(Odds!K:K,MATCH(C47,Odds!G:G,0)))</f>
        <v>1</v>
      </c>
      <c r="G47" s="183">
        <f>IF(C47="","",Picks!M47)</f>
        <v>0</v>
      </c>
      <c r="H47" s="184">
        <f t="shared" si="4"/>
        <v>0</v>
      </c>
      <c r="I47" s="194" t="str">
        <f t="shared" si="5"/>
        <v>Nigel Heyes</v>
      </c>
      <c r="J47" s="182">
        <f>H137</f>
        <v>0.90909090909090917</v>
      </c>
      <c r="K47" s="182">
        <f>H138</f>
        <v>0</v>
      </c>
      <c r="L47" s="182">
        <f>H139</f>
        <v>1.25</v>
      </c>
      <c r="M47" s="182">
        <f t="shared" si="21"/>
        <v>1.9090909090909092</v>
      </c>
      <c r="N47" s="182">
        <f t="shared" si="22"/>
        <v>0</v>
      </c>
      <c r="O47" s="182">
        <f t="shared" si="2"/>
        <v>2.25</v>
      </c>
      <c r="P47" s="182">
        <f t="shared" si="6"/>
        <v>0</v>
      </c>
      <c r="Q47" s="182">
        <f t="shared" si="7"/>
        <v>0</v>
      </c>
      <c r="R47" s="182">
        <f t="shared" si="8"/>
        <v>4.2954545454545459</v>
      </c>
      <c r="S47" s="182">
        <f t="shared" si="16"/>
        <v>0</v>
      </c>
      <c r="T47" s="182">
        <f t="shared" si="9"/>
        <v>1.454545454545455</v>
      </c>
      <c r="U47" s="150">
        <f>SUM(G137:G139)</f>
        <v>2</v>
      </c>
      <c r="V47" s="121" t="s">
        <v>308</v>
      </c>
      <c r="W47" s="150">
        <f>SUM(F137:F139)</f>
        <v>3</v>
      </c>
      <c r="X47" s="184">
        <f t="shared" si="23"/>
        <v>1.1499999999999999</v>
      </c>
      <c r="Y47" s="182">
        <f>X137</f>
        <v>0.90909090909090917</v>
      </c>
      <c r="Z47" s="182">
        <f>X138</f>
        <v>1.4</v>
      </c>
      <c r="AA47" s="182">
        <f>X139</f>
        <v>1.25</v>
      </c>
      <c r="AB47" s="182">
        <f t="shared" si="10"/>
        <v>1.9090909090909092</v>
      </c>
      <c r="AC47" s="188">
        <f t="shared" si="11"/>
        <v>2.4</v>
      </c>
      <c r="AD47" s="182">
        <f t="shared" si="12"/>
        <v>2.25</v>
      </c>
      <c r="AE47" s="182">
        <f t="shared" si="17"/>
        <v>4.581818181818182</v>
      </c>
      <c r="AF47" s="182">
        <f t="shared" si="18"/>
        <v>5.4</v>
      </c>
      <c r="AG47" s="182">
        <f t="shared" si="19"/>
        <v>4.2954545454545459</v>
      </c>
      <c r="AH47" s="182">
        <f t="shared" si="20"/>
        <v>10.309090909090909</v>
      </c>
      <c r="AI47" s="182">
        <f t="shared" si="13"/>
        <v>24.145454545454545</v>
      </c>
      <c r="AJ47" s="195" t="str">
        <f t="shared" si="14"/>
        <v>Nigel Heyes</v>
      </c>
      <c r="AK47" s="1">
        <f t="shared" si="15"/>
        <v>7</v>
      </c>
    </row>
    <row r="48" spans="2:37">
      <c r="B48" s="183"/>
      <c r="C48" s="183" t="str">
        <f>Picks!B48</f>
        <v>Norwich</v>
      </c>
      <c r="D48" s="184">
        <f>Picks!C48</f>
        <v>7</v>
      </c>
      <c r="E48" s="184">
        <f>Picks!D48</f>
        <v>2.2999999999999998</v>
      </c>
      <c r="F48" s="183">
        <f>IF(C48="","",INDEX(Odds!K:K,MATCH(C48,Odds!G:G,0)))</f>
        <v>1</v>
      </c>
      <c r="G48" s="183">
        <f>IF(C48="","",Picks!M48)</f>
        <v>0</v>
      </c>
      <c r="H48" s="184">
        <f t="shared" si="4"/>
        <v>0</v>
      </c>
      <c r="I48" s="194" t="str">
        <f t="shared" si="5"/>
        <v>Paul Adderley</v>
      </c>
      <c r="J48" s="182">
        <f>H140</f>
        <v>0.83333333333333348</v>
      </c>
      <c r="K48" s="182">
        <f>H141</f>
        <v>0</v>
      </c>
      <c r="L48" s="182">
        <f>H142</f>
        <v>0.90909090909090917</v>
      </c>
      <c r="M48" s="182">
        <f t="shared" si="21"/>
        <v>1.8333333333333335</v>
      </c>
      <c r="N48" s="182">
        <f t="shared" si="22"/>
        <v>0</v>
      </c>
      <c r="O48" s="182">
        <f t="shared" si="2"/>
        <v>1.9090909090909092</v>
      </c>
      <c r="P48" s="182">
        <f t="shared" si="6"/>
        <v>0</v>
      </c>
      <c r="Q48" s="182">
        <f t="shared" si="7"/>
        <v>0</v>
      </c>
      <c r="R48" s="182">
        <f t="shared" si="8"/>
        <v>3.5000000000000004</v>
      </c>
      <c r="S48" s="182">
        <f t="shared" si="16"/>
        <v>0</v>
      </c>
      <c r="T48" s="182">
        <f t="shared" si="9"/>
        <v>0.2424242424242431</v>
      </c>
      <c r="U48" s="150">
        <f>SUM(G140:G142)</f>
        <v>2</v>
      </c>
      <c r="V48" s="118" t="s">
        <v>289</v>
      </c>
      <c r="W48" s="150">
        <f>SUM(F140:F142)</f>
        <v>3</v>
      </c>
      <c r="X48" s="184">
        <f t="shared" si="23"/>
        <v>1.2999999999999998</v>
      </c>
      <c r="Y48" s="182">
        <f>X140</f>
        <v>0.83333333333333348</v>
      </c>
      <c r="Z48" s="182">
        <f>X141</f>
        <v>1</v>
      </c>
      <c r="AA48" s="182">
        <f>X142</f>
        <v>0.90909090909090917</v>
      </c>
      <c r="AB48" s="182">
        <f t="shared" si="10"/>
        <v>1.8333333333333335</v>
      </c>
      <c r="AC48" s="188">
        <f t="shared" si="11"/>
        <v>2</v>
      </c>
      <c r="AD48" s="182">
        <f t="shared" si="12"/>
        <v>1.9090909090909092</v>
      </c>
      <c r="AE48" s="182">
        <f t="shared" si="17"/>
        <v>3.666666666666667</v>
      </c>
      <c r="AF48" s="182">
        <f t="shared" si="18"/>
        <v>3.8181818181818183</v>
      </c>
      <c r="AG48" s="182">
        <f t="shared" si="19"/>
        <v>3.5000000000000004</v>
      </c>
      <c r="AH48" s="182">
        <f t="shared" si="20"/>
        <v>7.0000000000000009</v>
      </c>
      <c r="AI48" s="182">
        <f t="shared" si="13"/>
        <v>16.72727272727273</v>
      </c>
      <c r="AJ48" s="195" t="str">
        <f t="shared" si="14"/>
        <v>Paul Adderley</v>
      </c>
      <c r="AK48" s="1">
        <f t="shared" si="15"/>
        <v>7</v>
      </c>
    </row>
    <row r="49" spans="2:37" ht="13.15" thickBot="1">
      <c r="B49" s="185"/>
      <c r="C49" s="185" t="str">
        <f>Picks!B49</f>
        <v>Middlesbro</v>
      </c>
      <c r="D49" s="186">
        <f>Picks!C49</f>
        <v>7</v>
      </c>
      <c r="E49" s="186">
        <f>Picks!D49</f>
        <v>2.15</v>
      </c>
      <c r="F49" s="185">
        <f>IF(C49="","",INDEX(Odds!K:K,MATCH(C49,Odds!G:G,0)))</f>
        <v>1</v>
      </c>
      <c r="G49" s="185">
        <f>IF(C49="","",Picks!M49)</f>
        <v>1</v>
      </c>
      <c r="H49" s="186">
        <f t="shared" si="4"/>
        <v>1.1499999999999999</v>
      </c>
      <c r="I49" s="194" t="str">
        <f t="shared" si="5"/>
        <v>Paul Allen</v>
      </c>
      <c r="J49" s="182">
        <f>H143</f>
        <v>0</v>
      </c>
      <c r="K49" s="182">
        <f>H144</f>
        <v>2.2000000000000002</v>
      </c>
      <c r="L49" s="182">
        <f>H145</f>
        <v>2.2999999999999998</v>
      </c>
      <c r="M49" s="182">
        <f t="shared" si="21"/>
        <v>0</v>
      </c>
      <c r="N49" s="182">
        <f t="shared" si="22"/>
        <v>3.2</v>
      </c>
      <c r="O49" s="182">
        <f t="shared" si="2"/>
        <v>3.3</v>
      </c>
      <c r="P49" s="182">
        <f t="shared" si="6"/>
        <v>0</v>
      </c>
      <c r="Q49" s="182">
        <f t="shared" si="7"/>
        <v>10.559999999999999</v>
      </c>
      <c r="R49" s="182">
        <f t="shared" si="8"/>
        <v>0</v>
      </c>
      <c r="S49" s="182">
        <f t="shared" si="16"/>
        <v>0</v>
      </c>
      <c r="T49" s="182">
        <f t="shared" si="9"/>
        <v>10.059999999999999</v>
      </c>
      <c r="U49" s="150">
        <f>SUM(G143:G145)</f>
        <v>2</v>
      </c>
      <c r="V49" s="118" t="s">
        <v>279</v>
      </c>
      <c r="W49" s="150">
        <f>SUM(F143:F145)</f>
        <v>3</v>
      </c>
      <c r="X49" s="184">
        <f t="shared" si="23"/>
        <v>1.1499999999999999</v>
      </c>
      <c r="Y49" s="182">
        <f>X143</f>
        <v>2.1</v>
      </c>
      <c r="Z49" s="182">
        <f>X144</f>
        <v>2.2000000000000002</v>
      </c>
      <c r="AA49" s="182">
        <f>X145</f>
        <v>2.2999999999999998</v>
      </c>
      <c r="AB49" s="182">
        <f t="shared" si="10"/>
        <v>3.1</v>
      </c>
      <c r="AC49" s="188">
        <f t="shared" si="11"/>
        <v>3.2</v>
      </c>
      <c r="AD49" s="182">
        <f t="shared" si="12"/>
        <v>3.3</v>
      </c>
      <c r="AE49" s="182">
        <f t="shared" si="17"/>
        <v>9.9200000000000017</v>
      </c>
      <c r="AF49" s="182">
        <f t="shared" si="18"/>
        <v>10.559999999999999</v>
      </c>
      <c r="AG49" s="182">
        <f t="shared" si="19"/>
        <v>10.23</v>
      </c>
      <c r="AH49" s="182">
        <f t="shared" si="20"/>
        <v>32.736000000000004</v>
      </c>
      <c r="AI49" s="182">
        <f t="shared" si="13"/>
        <v>66.046000000000006</v>
      </c>
      <c r="AJ49" s="195" t="str">
        <f t="shared" si="14"/>
        <v>Paul Allen</v>
      </c>
      <c r="AK49" s="1">
        <f t="shared" si="15"/>
        <v>7</v>
      </c>
    </row>
    <row r="50" spans="2:37">
      <c r="B50" s="184" t="str">
        <f>$V18</f>
        <v>Chris Townsend</v>
      </c>
      <c r="C50" s="183" t="str">
        <f>Picks!B50</f>
        <v>Fleetwood</v>
      </c>
      <c r="D50" s="184">
        <f>Picks!C50</f>
        <v>7</v>
      </c>
      <c r="E50" s="184">
        <f>Picks!D50</f>
        <v>3.6</v>
      </c>
      <c r="F50" s="183">
        <f>IF(C50="","",INDEX(Odds!K:K,MATCH(C50,Odds!G:G,0)))</f>
        <v>1</v>
      </c>
      <c r="G50" s="183">
        <f>IF(C50="","",Picks!M50)</f>
        <v>1</v>
      </c>
      <c r="H50" s="184">
        <f t="shared" si="4"/>
        <v>2.6</v>
      </c>
      <c r="I50" s="194" t="str">
        <f t="shared" si="5"/>
        <v>Paul Barnes</v>
      </c>
      <c r="J50" s="182">
        <f>H146</f>
        <v>1.625</v>
      </c>
      <c r="K50" s="182">
        <f>H147</f>
        <v>0</v>
      </c>
      <c r="L50" s="182">
        <f>H148</f>
        <v>0.75</v>
      </c>
      <c r="M50" s="182">
        <f t="shared" si="21"/>
        <v>2.625</v>
      </c>
      <c r="N50" s="182">
        <f t="shared" si="22"/>
        <v>0</v>
      </c>
      <c r="O50" s="182">
        <f t="shared" si="2"/>
        <v>1.75</v>
      </c>
      <c r="P50" s="182">
        <f t="shared" si="6"/>
        <v>0</v>
      </c>
      <c r="Q50" s="182">
        <f t="shared" si="7"/>
        <v>0</v>
      </c>
      <c r="R50" s="182">
        <f t="shared" si="8"/>
        <v>4.59375</v>
      </c>
      <c r="S50" s="182">
        <f t="shared" si="16"/>
        <v>0</v>
      </c>
      <c r="T50" s="182">
        <f t="shared" si="9"/>
        <v>1.96875</v>
      </c>
      <c r="U50" s="150">
        <f>SUM(G146:G148)</f>
        <v>2</v>
      </c>
      <c r="V50" s="121" t="s">
        <v>300</v>
      </c>
      <c r="W50" s="150">
        <f>SUM(F146:F148)</f>
        <v>3</v>
      </c>
      <c r="X50" s="184">
        <f t="shared" si="23"/>
        <v>2.6</v>
      </c>
      <c r="Y50" s="182">
        <f>X146</f>
        <v>1.625</v>
      </c>
      <c r="Z50" s="182">
        <f>X147</f>
        <v>2.2999999999999998</v>
      </c>
      <c r="AA50" s="182">
        <f>X148</f>
        <v>0.75</v>
      </c>
      <c r="AB50" s="182">
        <f t="shared" si="10"/>
        <v>2.625</v>
      </c>
      <c r="AC50" s="188">
        <f t="shared" si="11"/>
        <v>3.3</v>
      </c>
      <c r="AD50" s="182">
        <f t="shared" si="12"/>
        <v>1.75</v>
      </c>
      <c r="AE50" s="182">
        <f t="shared" si="17"/>
        <v>8.6624999999999996</v>
      </c>
      <c r="AF50" s="182">
        <f t="shared" si="18"/>
        <v>5.7749999999999995</v>
      </c>
      <c r="AG50" s="182">
        <f t="shared" si="19"/>
        <v>4.59375</v>
      </c>
      <c r="AH50" s="182">
        <f t="shared" si="20"/>
        <v>15.159374999999999</v>
      </c>
      <c r="AI50" s="182">
        <f t="shared" si="13"/>
        <v>34.865624999999994</v>
      </c>
      <c r="AJ50" s="195" t="str">
        <f t="shared" si="14"/>
        <v>Paul Barnes</v>
      </c>
      <c r="AK50" s="1">
        <f t="shared" si="15"/>
        <v>7</v>
      </c>
    </row>
    <row r="51" spans="2:37">
      <c r="B51" s="183"/>
      <c r="C51" s="183" t="str">
        <f>Picks!B51</f>
        <v>Sheff W</v>
      </c>
      <c r="D51" s="184">
        <f>Picks!C51</f>
        <v>7</v>
      </c>
      <c r="E51" s="184">
        <f>Picks!D51</f>
        <v>3.4</v>
      </c>
      <c r="F51" s="183">
        <f>IF(C51="","",INDEX(Odds!K:K,MATCH(C51,Odds!G:G,0)))</f>
        <v>1</v>
      </c>
      <c r="G51" s="183">
        <f>IF(C51="","",Picks!M51)</f>
        <v>0</v>
      </c>
      <c r="H51" s="184">
        <f t="shared" si="4"/>
        <v>0</v>
      </c>
      <c r="I51" s="194" t="str">
        <f t="shared" si="5"/>
        <v>Paul England</v>
      </c>
      <c r="J51" s="182">
        <f>H149</f>
        <v>0</v>
      </c>
      <c r="K51" s="182">
        <f>H150</f>
        <v>0.7</v>
      </c>
      <c r="L51" s="182">
        <f>H151</f>
        <v>0.5</v>
      </c>
      <c r="M51" s="182">
        <f t="shared" si="21"/>
        <v>0</v>
      </c>
      <c r="N51" s="182">
        <f t="shared" si="22"/>
        <v>1.7</v>
      </c>
      <c r="O51" s="182">
        <f t="shared" si="2"/>
        <v>1.5</v>
      </c>
      <c r="P51" s="182">
        <f t="shared" si="6"/>
        <v>0</v>
      </c>
      <c r="Q51" s="182">
        <f t="shared" si="7"/>
        <v>2.5499999999999998</v>
      </c>
      <c r="R51" s="182">
        <f t="shared" si="8"/>
        <v>0</v>
      </c>
      <c r="S51" s="182">
        <f t="shared" si="16"/>
        <v>0</v>
      </c>
      <c r="T51" s="182">
        <f t="shared" si="9"/>
        <v>-1.25</v>
      </c>
      <c r="U51" s="150">
        <f>SUM(G149:G151)</f>
        <v>2</v>
      </c>
      <c r="V51" s="121" t="s">
        <v>566</v>
      </c>
      <c r="W51" s="150">
        <f>SUM(F149:F151)</f>
        <v>3</v>
      </c>
      <c r="X51" s="184">
        <f t="shared" si="23"/>
        <v>2.4</v>
      </c>
      <c r="Y51" s="182">
        <f>X149</f>
        <v>1.1000000000000001</v>
      </c>
      <c r="Z51" s="182">
        <f>X150</f>
        <v>0.7</v>
      </c>
      <c r="AA51" s="182">
        <f>X151</f>
        <v>0.5</v>
      </c>
      <c r="AB51" s="182">
        <f t="shared" si="10"/>
        <v>2.1</v>
      </c>
      <c r="AC51" s="188">
        <f t="shared" si="11"/>
        <v>1.7</v>
      </c>
      <c r="AD51" s="182">
        <f t="shared" si="12"/>
        <v>1.5</v>
      </c>
      <c r="AE51" s="182">
        <f t="shared" si="17"/>
        <v>3.5700000000000003</v>
      </c>
      <c r="AF51" s="182">
        <f t="shared" si="18"/>
        <v>2.5499999999999998</v>
      </c>
      <c r="AG51" s="182">
        <f t="shared" si="19"/>
        <v>3.1500000000000004</v>
      </c>
      <c r="AH51" s="182">
        <f t="shared" si="20"/>
        <v>5.3550000000000004</v>
      </c>
      <c r="AI51" s="182">
        <f t="shared" si="13"/>
        <v>12.925000000000004</v>
      </c>
      <c r="AJ51" s="195" t="str">
        <f t="shared" si="14"/>
        <v>Paul England</v>
      </c>
      <c r="AK51" s="1">
        <f t="shared" si="15"/>
        <v>7</v>
      </c>
    </row>
    <row r="52" spans="2:37" ht="13.15" thickBot="1">
      <c r="B52" s="185"/>
      <c r="C52" s="185" t="str">
        <f>Picks!B52</f>
        <v>Bristol R</v>
      </c>
      <c r="D52" s="186">
        <f>Picks!C52</f>
        <v>7</v>
      </c>
      <c r="E52" s="186">
        <f>Picks!D52</f>
        <v>3.4</v>
      </c>
      <c r="F52" s="185">
        <f>IF(C52="","",INDEX(Odds!K:K,MATCH(C52,Odds!G:G,0)))</f>
        <v>1</v>
      </c>
      <c r="G52" s="185">
        <f>IF(C52="","",Picks!M52)</f>
        <v>0</v>
      </c>
      <c r="H52" s="186">
        <f t="shared" si="4"/>
        <v>0</v>
      </c>
      <c r="I52" s="194" t="str">
        <f t="shared" si="5"/>
        <v>Paul Fairhurst</v>
      </c>
      <c r="J52" s="182">
        <f>H152</f>
        <v>2</v>
      </c>
      <c r="K52" s="182">
        <f>H153</f>
        <v>0</v>
      </c>
      <c r="L52" s="182">
        <f>H154</f>
        <v>0.90909090909090917</v>
      </c>
      <c r="M52" s="182">
        <f t="shared" si="21"/>
        <v>3</v>
      </c>
      <c r="N52" s="182">
        <f t="shared" si="22"/>
        <v>0</v>
      </c>
      <c r="O52" s="182">
        <f t="shared" si="2"/>
        <v>1.9090909090909092</v>
      </c>
      <c r="P52" s="182">
        <f t="shared" si="6"/>
        <v>0</v>
      </c>
      <c r="Q52" s="182">
        <f t="shared" si="7"/>
        <v>0</v>
      </c>
      <c r="R52" s="182">
        <f t="shared" si="8"/>
        <v>5.7272727272727275</v>
      </c>
      <c r="S52" s="182">
        <f t="shared" si="16"/>
        <v>0</v>
      </c>
      <c r="T52" s="182">
        <f t="shared" si="9"/>
        <v>3.6363636363636367</v>
      </c>
      <c r="U52" s="150">
        <f>SUM(G152:G154)</f>
        <v>2</v>
      </c>
      <c r="V52" s="121" t="s">
        <v>304</v>
      </c>
      <c r="W52" s="150">
        <f>SUM(F152:F154)</f>
        <v>3</v>
      </c>
      <c r="X52" s="184">
        <f t="shared" si="23"/>
        <v>2.4</v>
      </c>
      <c r="Y52" s="182">
        <f>X152</f>
        <v>2</v>
      </c>
      <c r="Z52" s="182">
        <f>X153</f>
        <v>2.9</v>
      </c>
      <c r="AA52" s="182">
        <f>X154</f>
        <v>0.90909090909090917</v>
      </c>
      <c r="AB52" s="182">
        <f t="shared" si="10"/>
        <v>3</v>
      </c>
      <c r="AC52" s="188">
        <f t="shared" si="11"/>
        <v>3.9</v>
      </c>
      <c r="AD52" s="182">
        <f t="shared" si="12"/>
        <v>1.9090909090909092</v>
      </c>
      <c r="AE52" s="182">
        <f t="shared" si="17"/>
        <v>11.7</v>
      </c>
      <c r="AF52" s="182">
        <f t="shared" si="18"/>
        <v>7.4454545454545453</v>
      </c>
      <c r="AG52" s="182">
        <f t="shared" si="19"/>
        <v>5.7272727272727275</v>
      </c>
      <c r="AH52" s="182">
        <f t="shared" si="20"/>
        <v>22.336363636363636</v>
      </c>
      <c r="AI52" s="182">
        <f t="shared" si="13"/>
        <v>49.018181818181816</v>
      </c>
      <c r="AJ52" s="195" t="str">
        <f t="shared" si="14"/>
        <v>Paul Fairhurst</v>
      </c>
      <c r="AK52" s="1">
        <f t="shared" si="15"/>
        <v>7</v>
      </c>
    </row>
    <row r="53" spans="2:37">
      <c r="B53" s="184" t="str">
        <f>$V19</f>
        <v>Dan Gibbard</v>
      </c>
      <c r="C53" s="183" t="str">
        <f>Picks!B53</f>
        <v>Burnley</v>
      </c>
      <c r="D53" s="184">
        <f>Picks!C53</f>
        <v>7</v>
      </c>
      <c r="E53" s="184">
        <f>Picks!D53</f>
        <v>1.5</v>
      </c>
      <c r="F53" s="183">
        <f>IF(C53="","",INDEX(Odds!K:K,MATCH(C53,Odds!G:G,0)))</f>
        <v>1</v>
      </c>
      <c r="G53" s="183">
        <f>IF(C53="","",Picks!M53)</f>
        <v>1</v>
      </c>
      <c r="H53" s="184">
        <f t="shared" si="4"/>
        <v>0.5</v>
      </c>
      <c r="I53" s="194" t="str">
        <f t="shared" si="5"/>
        <v>Paul Fiddler</v>
      </c>
      <c r="J53" s="182">
        <f>H155</f>
        <v>1.375</v>
      </c>
      <c r="K53" s="182">
        <f>H156</f>
        <v>0.5</v>
      </c>
      <c r="L53" s="182">
        <f>H157</f>
        <v>0</v>
      </c>
      <c r="M53" s="182">
        <f t="shared" si="21"/>
        <v>2.375</v>
      </c>
      <c r="N53" s="182">
        <f t="shared" si="22"/>
        <v>1.5</v>
      </c>
      <c r="O53" s="182">
        <f t="shared" si="2"/>
        <v>0</v>
      </c>
      <c r="P53" s="182">
        <f t="shared" si="6"/>
        <v>3.5625</v>
      </c>
      <c r="Q53" s="182">
        <f t="shared" si="7"/>
        <v>0</v>
      </c>
      <c r="R53" s="182">
        <f t="shared" si="8"/>
        <v>0</v>
      </c>
      <c r="S53" s="182">
        <f t="shared" si="16"/>
        <v>0</v>
      </c>
      <c r="T53" s="182">
        <f t="shared" si="9"/>
        <v>0.4375</v>
      </c>
      <c r="U53" s="150">
        <f>SUM(G155:G157)</f>
        <v>2</v>
      </c>
      <c r="V53" s="118" t="s">
        <v>283</v>
      </c>
      <c r="W53" s="150">
        <f>SUM(F155:F157)</f>
        <v>3</v>
      </c>
      <c r="X53" s="184">
        <f t="shared" si="23"/>
        <v>0.5</v>
      </c>
      <c r="Y53" s="182">
        <f>X155</f>
        <v>1.375</v>
      </c>
      <c r="Z53" s="182">
        <f>X156</f>
        <v>0.5</v>
      </c>
      <c r="AA53" s="182">
        <f>X157</f>
        <v>0.5</v>
      </c>
      <c r="AB53" s="182">
        <f t="shared" si="10"/>
        <v>2.375</v>
      </c>
      <c r="AC53" s="188">
        <f t="shared" si="11"/>
        <v>1.5</v>
      </c>
      <c r="AD53" s="182">
        <f t="shared" si="12"/>
        <v>1.5</v>
      </c>
      <c r="AE53" s="182">
        <f t="shared" si="17"/>
        <v>3.5625</v>
      </c>
      <c r="AF53" s="182">
        <f t="shared" si="18"/>
        <v>2.25</v>
      </c>
      <c r="AG53" s="182">
        <f t="shared" si="19"/>
        <v>3.5625</v>
      </c>
      <c r="AH53" s="182">
        <f t="shared" si="20"/>
        <v>5.34375</v>
      </c>
      <c r="AI53" s="182">
        <f t="shared" si="13"/>
        <v>13.09375</v>
      </c>
      <c r="AJ53" s="195" t="str">
        <f t="shared" si="14"/>
        <v>Paul Fiddler</v>
      </c>
      <c r="AK53" s="1">
        <f t="shared" si="15"/>
        <v>7</v>
      </c>
    </row>
    <row r="54" spans="2:37">
      <c r="B54" s="183"/>
      <c r="C54" s="183" t="str">
        <f>Picks!B54</f>
        <v>Sheff U</v>
      </c>
      <c r="D54" s="184">
        <f>Picks!C54</f>
        <v>7</v>
      </c>
      <c r="E54" s="184">
        <f>Picks!D54</f>
        <v>1.8333333333333335</v>
      </c>
      <c r="F54" s="183">
        <f>IF(C54="","",INDEX(Odds!K:K,MATCH(C54,Odds!G:G,0)))</f>
        <v>1</v>
      </c>
      <c r="G54" s="183">
        <f>IF(C54="","",Picks!M54)</f>
        <v>1</v>
      </c>
      <c r="H54" s="184">
        <f t="shared" si="4"/>
        <v>0.83333333333333348</v>
      </c>
      <c r="I54" s="194" t="str">
        <f t="shared" si="5"/>
        <v>Pete Baron</v>
      </c>
      <c r="J54" s="182">
        <f>H158</f>
        <v>1.625</v>
      </c>
      <c r="K54" s="182">
        <f>H159</f>
        <v>1.75</v>
      </c>
      <c r="L54" s="182">
        <f>H160</f>
        <v>2.2999999999999998</v>
      </c>
      <c r="M54" s="182">
        <f t="shared" si="21"/>
        <v>2.625</v>
      </c>
      <c r="N54" s="182">
        <f t="shared" si="22"/>
        <v>2.75</v>
      </c>
      <c r="O54" s="182">
        <f t="shared" si="2"/>
        <v>3.3</v>
      </c>
      <c r="P54" s="182">
        <f t="shared" si="6"/>
        <v>7.21875</v>
      </c>
      <c r="Q54" s="182">
        <f t="shared" si="7"/>
        <v>9.0749999999999993</v>
      </c>
      <c r="R54" s="182">
        <f t="shared" si="8"/>
        <v>8.6624999999999996</v>
      </c>
      <c r="S54" s="182">
        <f t="shared" si="16"/>
        <v>23.821874999999999</v>
      </c>
      <c r="T54" s="182">
        <f t="shared" si="9"/>
        <v>50.453125</v>
      </c>
      <c r="U54" s="150">
        <f>SUM(G158:G160)</f>
        <v>3</v>
      </c>
      <c r="V54" s="118" t="s">
        <v>312</v>
      </c>
      <c r="W54" s="150">
        <f>SUM(F158:F160)</f>
        <v>3</v>
      </c>
      <c r="X54" s="184">
        <f t="shared" si="23"/>
        <v>0.83333333333333348</v>
      </c>
      <c r="Y54" s="182">
        <f>X158</f>
        <v>1.625</v>
      </c>
      <c r="Z54" s="182">
        <f>X159</f>
        <v>1.75</v>
      </c>
      <c r="AA54" s="182">
        <f>X160</f>
        <v>2.2999999999999998</v>
      </c>
      <c r="AB54" s="182">
        <f t="shared" si="10"/>
        <v>2.625</v>
      </c>
      <c r="AC54" s="188">
        <f t="shared" si="11"/>
        <v>2.75</v>
      </c>
      <c r="AD54" s="182">
        <f t="shared" si="12"/>
        <v>3.3</v>
      </c>
      <c r="AE54" s="182">
        <f t="shared" si="17"/>
        <v>7.21875</v>
      </c>
      <c r="AF54" s="182">
        <f t="shared" si="18"/>
        <v>9.0749999999999993</v>
      </c>
      <c r="AG54" s="182">
        <f t="shared" si="19"/>
        <v>8.6624999999999996</v>
      </c>
      <c r="AH54" s="182">
        <f t="shared" si="20"/>
        <v>23.821874999999999</v>
      </c>
      <c r="AI54" s="182">
        <f t="shared" si="13"/>
        <v>50.453125</v>
      </c>
      <c r="AJ54" s="195" t="str">
        <f t="shared" si="14"/>
        <v>Pete Baron</v>
      </c>
      <c r="AK54" s="1">
        <f t="shared" si="15"/>
        <v>7</v>
      </c>
    </row>
    <row r="55" spans="2:37" ht="13.15" thickBot="1">
      <c r="B55" s="185"/>
      <c r="C55" s="185" t="str">
        <f>Picks!B55</f>
        <v>Sunderland</v>
      </c>
      <c r="D55" s="186">
        <f>Picks!C55</f>
        <v>7</v>
      </c>
      <c r="E55" s="186">
        <f>Picks!D55</f>
        <v>1.9090909090909092</v>
      </c>
      <c r="F55" s="185">
        <f>IF(C55="","",INDEX(Odds!K:K,MATCH(C55,Odds!G:G,0)))</f>
        <v>1</v>
      </c>
      <c r="G55" s="185">
        <f>IF(C55="","",Picks!M55)</f>
        <v>1</v>
      </c>
      <c r="H55" s="186">
        <f t="shared" si="4"/>
        <v>0.90909090909090917</v>
      </c>
      <c r="I55" s="194" t="str">
        <f t="shared" si="5"/>
        <v>Phil Miller</v>
      </c>
      <c r="J55" s="182" t="str">
        <f>H161</f>
        <v/>
      </c>
      <c r="K55" s="182" t="str">
        <f>H162</f>
        <v/>
      </c>
      <c r="L55" s="182" t="str">
        <f>H163</f>
        <v/>
      </c>
      <c r="M55" s="182" t="e">
        <f t="shared" si="21"/>
        <v>#VALUE!</v>
      </c>
      <c r="N55" s="182" t="e">
        <f t="shared" si="22"/>
        <v>#VALUE!</v>
      </c>
      <c r="O55" s="182" t="e">
        <f t="shared" si="2"/>
        <v>#VALUE!</v>
      </c>
      <c r="P55" s="182" t="e">
        <f t="shared" si="6"/>
        <v>#VALUE!</v>
      </c>
      <c r="Q55" s="182" t="e">
        <f t="shared" si="7"/>
        <v>#VALUE!</v>
      </c>
      <c r="R55" s="182" t="e">
        <f t="shared" si="8"/>
        <v>#VALUE!</v>
      </c>
      <c r="S55" s="182" t="e">
        <f t="shared" si="16"/>
        <v>#VALUE!</v>
      </c>
      <c r="T55" s="182" t="e">
        <f t="shared" si="9"/>
        <v>#VALUE!</v>
      </c>
      <c r="U55" s="150">
        <f>SUM(G161:G163)</f>
        <v>0</v>
      </c>
      <c r="V55" s="118" t="s">
        <v>315</v>
      </c>
      <c r="W55" s="150">
        <f>SUM(F161:F163)</f>
        <v>0</v>
      </c>
      <c r="X55" s="184">
        <f t="shared" si="23"/>
        <v>0.90909090909090917</v>
      </c>
      <c r="Y55" s="182" t="e">
        <f>X161</f>
        <v>#VALUE!</v>
      </c>
      <c r="Z55" s="182" t="e">
        <f>X162</f>
        <v>#VALUE!</v>
      </c>
      <c r="AA55" s="182" t="e">
        <f>X163</f>
        <v>#VALUE!</v>
      </c>
      <c r="AB55" s="182" t="e">
        <f t="shared" si="10"/>
        <v>#VALUE!</v>
      </c>
      <c r="AC55" s="188" t="e">
        <f t="shared" si="11"/>
        <v>#VALUE!</v>
      </c>
      <c r="AD55" s="182" t="e">
        <f t="shared" si="12"/>
        <v>#VALUE!</v>
      </c>
      <c r="AE55" s="182" t="e">
        <f t="shared" si="17"/>
        <v>#VALUE!</v>
      </c>
      <c r="AF55" s="182" t="e">
        <f t="shared" si="18"/>
        <v>#VALUE!</v>
      </c>
      <c r="AG55" s="182" t="e">
        <f t="shared" si="19"/>
        <v>#VALUE!</v>
      </c>
      <c r="AH55" s="182" t="e">
        <f t="shared" si="20"/>
        <v>#VALUE!</v>
      </c>
      <c r="AI55" s="182" t="e">
        <f t="shared" si="13"/>
        <v>#VALUE!</v>
      </c>
      <c r="AJ55" s="195" t="str">
        <f t="shared" si="14"/>
        <v>Phil Miller</v>
      </c>
      <c r="AK55" s="1">
        <f t="shared" si="15"/>
        <v>1</v>
      </c>
    </row>
    <row r="56" spans="2:37">
      <c r="B56" s="184" t="str">
        <f>$V20</f>
        <v>Dave Bell</v>
      </c>
      <c r="C56" s="183" t="str">
        <f>Picks!B56</f>
        <v>Arsenal</v>
      </c>
      <c r="D56" s="184">
        <f>Picks!C56</f>
        <v>7</v>
      </c>
      <c r="E56" s="184">
        <f>Picks!D56</f>
        <v>1.3636363636363638</v>
      </c>
      <c r="F56" s="183">
        <f>IF(C56="","",INDEX(Odds!K:K,MATCH(C56,Odds!G:G,0)))</f>
        <v>1</v>
      </c>
      <c r="G56" s="183">
        <f>IF(C56="","",Picks!M56)</f>
        <v>0</v>
      </c>
      <c r="H56" s="184">
        <f t="shared" si="4"/>
        <v>0</v>
      </c>
      <c r="I56" s="194" t="str">
        <f t="shared" si="5"/>
        <v>Rob England</v>
      </c>
      <c r="J56" s="182">
        <f>H164</f>
        <v>0</v>
      </c>
      <c r="K56" s="182">
        <f>H165</f>
        <v>0</v>
      </c>
      <c r="L56" s="182">
        <f>H166</f>
        <v>0.22222222222222232</v>
      </c>
      <c r="M56" s="182">
        <f t="shared" si="21"/>
        <v>0</v>
      </c>
      <c r="N56" s="182">
        <f t="shared" si="22"/>
        <v>0</v>
      </c>
      <c r="O56" s="182">
        <f t="shared" si="2"/>
        <v>1.2222222222222223</v>
      </c>
      <c r="P56" s="182">
        <f t="shared" si="6"/>
        <v>0</v>
      </c>
      <c r="Q56" s="182">
        <f t="shared" si="7"/>
        <v>0</v>
      </c>
      <c r="R56" s="182">
        <f t="shared" si="8"/>
        <v>0</v>
      </c>
      <c r="S56" s="182">
        <f t="shared" si="16"/>
        <v>0</v>
      </c>
      <c r="T56" s="182">
        <f t="shared" si="9"/>
        <v>-5.7777777777777777</v>
      </c>
      <c r="U56" s="150">
        <f>SUM(G164:G166)</f>
        <v>1</v>
      </c>
      <c r="V56" s="118" t="s">
        <v>303</v>
      </c>
      <c r="W56" s="150">
        <f>SUM(F164:F166)</f>
        <v>3</v>
      </c>
      <c r="X56" s="184">
        <f t="shared" si="23"/>
        <v>0.36363636363636376</v>
      </c>
      <c r="Y56" s="182">
        <f>X164</f>
        <v>1.1499999999999999</v>
      </c>
      <c r="Z56" s="182">
        <f>X165</f>
        <v>1.1000000000000001</v>
      </c>
      <c r="AA56" s="188">
        <f>X166</f>
        <v>0.22222222222222232</v>
      </c>
      <c r="AB56" s="182">
        <f t="shared" si="10"/>
        <v>2.15</v>
      </c>
      <c r="AC56" s="188">
        <f t="shared" si="11"/>
        <v>2.1</v>
      </c>
      <c r="AD56" s="182">
        <f t="shared" si="12"/>
        <v>1.2222222222222223</v>
      </c>
      <c r="AE56" s="182">
        <f t="shared" si="17"/>
        <v>4.5150000000000006</v>
      </c>
      <c r="AF56" s="182">
        <f t="shared" si="18"/>
        <v>2.5666666666666669</v>
      </c>
      <c r="AG56" s="182">
        <f t="shared" si="19"/>
        <v>2.6277777777777782</v>
      </c>
      <c r="AH56" s="182">
        <f t="shared" si="20"/>
        <v>5.5183333333333344</v>
      </c>
      <c r="AI56" s="182">
        <f t="shared" si="13"/>
        <v>13.700000000000003</v>
      </c>
      <c r="AJ56" s="195" t="str">
        <f t="shared" si="14"/>
        <v>Rob England</v>
      </c>
      <c r="AK56" s="1">
        <f t="shared" si="15"/>
        <v>7</v>
      </c>
    </row>
    <row r="57" spans="2:37">
      <c r="B57" s="183"/>
      <c r="C57" s="183" t="str">
        <f>Picks!B57</f>
        <v>Man U</v>
      </c>
      <c r="D57" s="184">
        <f>Picks!C57</f>
        <v>1</v>
      </c>
      <c r="E57" s="184">
        <f>Picks!D57</f>
        <v>1.75</v>
      </c>
      <c r="F57" s="183">
        <f>IF(C57="","",INDEX(Odds!K:K,MATCH(C57,Odds!G:G,0)))</f>
        <v>1</v>
      </c>
      <c r="G57" s="183">
        <f>IF(C57="","",Picks!M57)</f>
        <v>1</v>
      </c>
      <c r="H57" s="184">
        <f t="shared" si="4"/>
        <v>0.75</v>
      </c>
      <c r="I57" s="194" t="str">
        <f t="shared" si="5"/>
        <v>Sally Williams</v>
      </c>
      <c r="J57" s="182">
        <f>H167</f>
        <v>1.375</v>
      </c>
      <c r="K57" s="182">
        <f>H168</f>
        <v>2</v>
      </c>
      <c r="L57" s="182">
        <f>H169</f>
        <v>0</v>
      </c>
      <c r="M57" s="182">
        <f t="shared" si="21"/>
        <v>2.375</v>
      </c>
      <c r="N57" s="182">
        <f t="shared" si="22"/>
        <v>3</v>
      </c>
      <c r="O57" s="182">
        <f t="shared" si="2"/>
        <v>0</v>
      </c>
      <c r="P57" s="182">
        <f t="shared" si="6"/>
        <v>7.125</v>
      </c>
      <c r="Q57" s="182">
        <f t="shared" si="7"/>
        <v>0</v>
      </c>
      <c r="R57" s="182">
        <f t="shared" si="8"/>
        <v>0</v>
      </c>
      <c r="S57" s="182">
        <f t="shared" si="16"/>
        <v>0</v>
      </c>
      <c r="T57" s="182">
        <f t="shared" si="9"/>
        <v>5.5</v>
      </c>
      <c r="U57" s="150">
        <f>SUM(G167:G169)</f>
        <v>2</v>
      </c>
      <c r="V57" s="118" t="s">
        <v>288</v>
      </c>
      <c r="W57" s="150">
        <f>SUM(F167:F169)</f>
        <v>3</v>
      </c>
      <c r="X57" s="184">
        <f t="shared" si="23"/>
        <v>0.75</v>
      </c>
      <c r="Y57" s="182">
        <f>X167</f>
        <v>1.375</v>
      </c>
      <c r="Z57" s="182">
        <f>X168</f>
        <v>2</v>
      </c>
      <c r="AA57" s="182">
        <f>X169</f>
        <v>2.1</v>
      </c>
      <c r="AB57" s="182">
        <f t="shared" si="10"/>
        <v>2.375</v>
      </c>
      <c r="AC57" s="188">
        <f t="shared" si="11"/>
        <v>3</v>
      </c>
      <c r="AD57" s="182">
        <f t="shared" si="12"/>
        <v>3.1</v>
      </c>
      <c r="AE57" s="182">
        <f t="shared" si="17"/>
        <v>7.125</v>
      </c>
      <c r="AF57" s="182">
        <f t="shared" si="18"/>
        <v>9.3000000000000007</v>
      </c>
      <c r="AG57" s="182">
        <f t="shared" si="19"/>
        <v>7.3625000000000007</v>
      </c>
      <c r="AH57" s="182">
        <f t="shared" si="20"/>
        <v>22.087499999999999</v>
      </c>
      <c r="AI57" s="182">
        <f t="shared" si="13"/>
        <v>47.35</v>
      </c>
      <c r="AJ57" s="195" t="str">
        <f t="shared" si="14"/>
        <v>Sally Williams</v>
      </c>
      <c r="AK57" s="1">
        <f t="shared" si="15"/>
        <v>7</v>
      </c>
    </row>
    <row r="58" spans="2:37" ht="13.15" thickBot="1">
      <c r="B58" s="185"/>
      <c r="C58" s="185" t="str">
        <f>Picks!B58</f>
        <v>Man C</v>
      </c>
      <c r="D58" s="186">
        <f>Picks!C58</f>
        <v>1</v>
      </c>
      <c r="E58" s="186">
        <f>Picks!D58</f>
        <v>1.2222222222222223</v>
      </c>
      <c r="F58" s="185">
        <f>IF(C58="","",INDEX(Odds!K:K,MATCH(C58,Odds!G:G,0)))</f>
        <v>1</v>
      </c>
      <c r="G58" s="185">
        <f>IF(C58="","",Picks!M58)</f>
        <v>1</v>
      </c>
      <c r="H58" s="186">
        <f t="shared" si="4"/>
        <v>0.22222222222222232</v>
      </c>
      <c r="I58" s="194" t="str">
        <f t="shared" si="5"/>
        <v>Simon Greenhalgh</v>
      </c>
      <c r="J58" s="182">
        <f>H170</f>
        <v>0</v>
      </c>
      <c r="K58" s="182">
        <f>H171</f>
        <v>3.2</v>
      </c>
      <c r="L58" s="182">
        <f>H172</f>
        <v>0</v>
      </c>
      <c r="M58" s="182">
        <f t="shared" si="21"/>
        <v>0</v>
      </c>
      <c r="N58" s="182">
        <f t="shared" si="22"/>
        <v>4.2</v>
      </c>
      <c r="O58" s="182">
        <f t="shared" si="2"/>
        <v>0</v>
      </c>
      <c r="P58" s="182">
        <f t="shared" si="6"/>
        <v>0</v>
      </c>
      <c r="Q58" s="182">
        <f t="shared" si="7"/>
        <v>0</v>
      </c>
      <c r="R58" s="182">
        <f t="shared" si="8"/>
        <v>0</v>
      </c>
      <c r="S58" s="182">
        <f t="shared" si="16"/>
        <v>0</v>
      </c>
      <c r="T58" s="182">
        <f t="shared" si="9"/>
        <v>-2.8</v>
      </c>
      <c r="U58" s="150">
        <f>SUM(G170:G172)</f>
        <v>1</v>
      </c>
      <c r="V58" s="120" t="s">
        <v>305</v>
      </c>
      <c r="W58" s="150">
        <f>SUM(F170:F172)</f>
        <v>3</v>
      </c>
      <c r="X58" s="184">
        <f t="shared" si="23"/>
        <v>0.22222222222222232</v>
      </c>
      <c r="Y58" s="182">
        <f>X170</f>
        <v>2.4</v>
      </c>
      <c r="Z58" s="182">
        <f>X171</f>
        <v>3.2</v>
      </c>
      <c r="AA58" s="182">
        <f>X172</f>
        <v>2.1</v>
      </c>
      <c r="AB58" s="182">
        <f t="shared" si="10"/>
        <v>3.4</v>
      </c>
      <c r="AC58" s="188">
        <f t="shared" si="11"/>
        <v>4.2</v>
      </c>
      <c r="AD58" s="182">
        <f t="shared" si="12"/>
        <v>3.1</v>
      </c>
      <c r="AE58" s="182">
        <f t="shared" si="17"/>
        <v>14.280000000000001</v>
      </c>
      <c r="AF58" s="182">
        <f t="shared" si="18"/>
        <v>13.02</v>
      </c>
      <c r="AG58" s="182">
        <f t="shared" si="19"/>
        <v>10.54</v>
      </c>
      <c r="AH58" s="182">
        <f t="shared" si="20"/>
        <v>44.268000000000001</v>
      </c>
      <c r="AI58" s="182">
        <f t="shared" si="13"/>
        <v>85.807999999999993</v>
      </c>
      <c r="AJ58" s="195" t="str">
        <f t="shared" si="14"/>
        <v>Simon Greenhalgh</v>
      </c>
      <c r="AK58" s="1">
        <f t="shared" si="15"/>
        <v>7</v>
      </c>
    </row>
    <row r="59" spans="2:37">
      <c r="B59" s="184" t="str">
        <f>$V21</f>
        <v>Dave Orrell</v>
      </c>
      <c r="C59" s="183" t="str">
        <f>Picks!B59</f>
        <v>Burnley</v>
      </c>
      <c r="D59" s="184">
        <f>Picks!C59</f>
        <v>7</v>
      </c>
      <c r="E59" s="184">
        <f>Picks!D59</f>
        <v>1.5</v>
      </c>
      <c r="F59" s="183">
        <f>IF(C59="","",INDEX(Odds!K:K,MATCH(C59,Odds!G:G,0)))</f>
        <v>1</v>
      </c>
      <c r="G59" s="183">
        <f>IF(C59="","",Picks!M59)</f>
        <v>1</v>
      </c>
      <c r="H59" s="184">
        <f t="shared" si="4"/>
        <v>0.5</v>
      </c>
      <c r="I59" s="194" t="str">
        <f t="shared" si="5"/>
        <v>Stephen Barr</v>
      </c>
      <c r="J59" s="182">
        <f>H173</f>
        <v>1.1499999999999999</v>
      </c>
      <c r="K59" s="182">
        <f>H174</f>
        <v>0</v>
      </c>
      <c r="L59" s="182">
        <f>H175</f>
        <v>1.25</v>
      </c>
      <c r="M59" s="182">
        <f t="shared" si="21"/>
        <v>2.15</v>
      </c>
      <c r="N59" s="182">
        <f t="shared" si="22"/>
        <v>0</v>
      </c>
      <c r="O59" s="182">
        <f t="shared" si="2"/>
        <v>2.25</v>
      </c>
      <c r="P59" s="182">
        <f t="shared" si="6"/>
        <v>0</v>
      </c>
      <c r="Q59" s="182">
        <f t="shared" si="7"/>
        <v>0</v>
      </c>
      <c r="R59" s="182">
        <f t="shared" si="8"/>
        <v>4.8375000000000004</v>
      </c>
      <c r="S59" s="182">
        <f t="shared" si="16"/>
        <v>0</v>
      </c>
      <c r="T59" s="182">
        <f t="shared" si="9"/>
        <v>2.2375000000000007</v>
      </c>
      <c r="U59" s="150">
        <f>SUM(G173:G175)</f>
        <v>2</v>
      </c>
      <c r="V59" s="121" t="s">
        <v>280</v>
      </c>
      <c r="W59" s="150">
        <f>SUM(F173:F175)</f>
        <v>3</v>
      </c>
      <c r="X59" s="184">
        <f t="shared" si="23"/>
        <v>0.5</v>
      </c>
      <c r="Y59" s="182">
        <f>X173</f>
        <v>1.1499999999999999</v>
      </c>
      <c r="Z59" s="182">
        <f>X174</f>
        <v>1.0499999999999998</v>
      </c>
      <c r="AA59" s="182">
        <f>X175</f>
        <v>1.25</v>
      </c>
      <c r="AB59" s="182">
        <f t="shared" si="10"/>
        <v>2.15</v>
      </c>
      <c r="AC59" s="188">
        <f t="shared" si="11"/>
        <v>2.0499999999999998</v>
      </c>
      <c r="AD59" s="182">
        <f t="shared" si="12"/>
        <v>2.25</v>
      </c>
      <c r="AE59" s="182">
        <f t="shared" si="17"/>
        <v>4.4074999999999989</v>
      </c>
      <c r="AF59" s="182">
        <f t="shared" si="18"/>
        <v>4.6124999999999998</v>
      </c>
      <c r="AG59" s="182">
        <f t="shared" si="19"/>
        <v>4.8375000000000004</v>
      </c>
      <c r="AH59" s="182">
        <f t="shared" si="20"/>
        <v>9.9168749999999974</v>
      </c>
      <c r="AI59" s="182">
        <f t="shared" si="13"/>
        <v>23.224374999999995</v>
      </c>
      <c r="AJ59" s="195" t="str">
        <f t="shared" si="14"/>
        <v>Stephen Barr</v>
      </c>
      <c r="AK59" s="1">
        <f t="shared" si="15"/>
        <v>7</v>
      </c>
    </row>
    <row r="60" spans="2:37">
      <c r="B60" s="183"/>
      <c r="C60" s="183" t="str">
        <f>Picks!B60</f>
        <v>Middlesbro</v>
      </c>
      <c r="D60" s="184">
        <f>Picks!C60</f>
        <v>7</v>
      </c>
      <c r="E60" s="184">
        <f>Picks!D60</f>
        <v>2.15</v>
      </c>
      <c r="F60" s="183">
        <f>IF(C60="","",INDEX(Odds!K:K,MATCH(C60,Odds!G:G,0)))</f>
        <v>1</v>
      </c>
      <c r="G60" s="183">
        <f>IF(C60="","",Picks!M60)</f>
        <v>1</v>
      </c>
      <c r="H60" s="184">
        <f t="shared" si="4"/>
        <v>1.1499999999999999</v>
      </c>
      <c r="I60" s="194" t="str">
        <f t="shared" si="5"/>
        <v>Steve Carter</v>
      </c>
      <c r="J60" s="182">
        <f>H176</f>
        <v>0</v>
      </c>
      <c r="K60" s="182">
        <f>H177</f>
        <v>0</v>
      </c>
      <c r="L60" s="182">
        <f>H178</f>
        <v>1.25</v>
      </c>
      <c r="M60" s="182">
        <f t="shared" ref="M60" si="24">IF(J60=0,0,1)+J60</f>
        <v>0</v>
      </c>
      <c r="N60" s="182">
        <f t="shared" ref="N60" si="25">IF(K60=0,0,1)+K60</f>
        <v>0</v>
      </c>
      <c r="O60" s="182">
        <f t="shared" ref="O60" si="26">IF(L60=0,0,1)+L60</f>
        <v>2.25</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-4.75</v>
      </c>
      <c r="U60" s="150">
        <f>SUM(G176:G178)</f>
        <v>1</v>
      </c>
      <c r="V60" s="118" t="s">
        <v>282</v>
      </c>
      <c r="W60" s="150">
        <f>SUM(F176:F178)</f>
        <v>3</v>
      </c>
      <c r="X60" s="184">
        <f t="shared" si="23"/>
        <v>1.1499999999999999</v>
      </c>
      <c r="Y60" s="182">
        <f>X176</f>
        <v>1</v>
      </c>
      <c r="Z60" s="182">
        <f>X177</f>
        <v>1.4</v>
      </c>
      <c r="AA60" s="182">
        <f>X178</f>
        <v>1.25</v>
      </c>
      <c r="AB60" s="182">
        <f t="shared" ref="AB60" si="32">IF(Y60=0,0,1)+Y60</f>
        <v>2</v>
      </c>
      <c r="AC60" s="188">
        <f t="shared" ref="AC60" si="33">IF(Z60=0,0,1)+Z60</f>
        <v>2.4</v>
      </c>
      <c r="AD60" s="182">
        <f t="shared" ref="AD60" si="34">IF(AA60=0,0,1)+AA60</f>
        <v>2.25</v>
      </c>
      <c r="AE60" s="182">
        <f t="shared" ref="AE60" si="35">IF(Z60=0,0,(AB60*Z60)+AB60)</f>
        <v>4.8</v>
      </c>
      <c r="AF60" s="182">
        <f t="shared" ref="AF60" si="36">IF(AA60=0,0,(AC60*AA60)+AC60)</f>
        <v>5.4</v>
      </c>
      <c r="AG60" s="182">
        <f t="shared" ref="AG60" si="37">IF(Y60=0,0,(AD60*Y60)+AD60)</f>
        <v>4.5</v>
      </c>
      <c r="AH60" s="182">
        <f t="shared" ref="AH60" si="38">IF(AA60=0,0,(AE60*AA60)+AE60)</f>
        <v>10.8</v>
      </c>
      <c r="AI60" s="182">
        <f t="shared" ref="AI60" si="39">SUM(AB60:AH60)-AK60</f>
        <v>25.150000000000006</v>
      </c>
      <c r="AJ60" s="195" t="str">
        <f t="shared" si="14"/>
        <v>Steve Carter</v>
      </c>
      <c r="AK60" s="1">
        <f t="shared" si="15"/>
        <v>7</v>
      </c>
    </row>
    <row r="61" spans="2:37" ht="13.15" thickBot="1">
      <c r="B61" s="185"/>
      <c r="C61" s="185" t="str">
        <f>Picks!B61</f>
        <v>Salford</v>
      </c>
      <c r="D61" s="186">
        <f>Picks!C61</f>
        <v>7</v>
      </c>
      <c r="E61" s="186">
        <f>Picks!D61</f>
        <v>3.1</v>
      </c>
      <c r="F61" s="185">
        <f>IF(C61="","",INDEX(Odds!K:K,MATCH(C61,Odds!G:G,0)))</f>
        <v>1</v>
      </c>
      <c r="G61" s="185">
        <f>IF(C61="","",Picks!M61)</f>
        <v>0</v>
      </c>
      <c r="H61" s="186">
        <f t="shared" si="4"/>
        <v>0</v>
      </c>
      <c r="I61" s="194" t="str">
        <f t="shared" si="5"/>
        <v>Tom Robinson</v>
      </c>
      <c r="J61" s="182">
        <f>H179</f>
        <v>0.7</v>
      </c>
      <c r="K61" s="182">
        <f>H180</f>
        <v>0</v>
      </c>
      <c r="L61" s="182">
        <f>H181</f>
        <v>2.2999999999999998</v>
      </c>
      <c r="M61" s="182">
        <f t="shared" ref="M61" si="40">IF(J61=0,0,1)+J61</f>
        <v>1.7</v>
      </c>
      <c r="N61" s="182">
        <f t="shared" ref="N61" si="41">IF(K61=0,0,1)+K61</f>
        <v>0</v>
      </c>
      <c r="O61" s="182">
        <f t="shared" ref="O61" si="42">IF(L61=0,0,1)+L61</f>
        <v>3.3</v>
      </c>
      <c r="P61" s="182">
        <f t="shared" ref="P61" si="43">IF(K61=0,0,(M61*K61)+M61)</f>
        <v>0</v>
      </c>
      <c r="Q61" s="182">
        <f t="shared" ref="Q61" si="44">IF(L61=0,0,(N61*L61)+N61)</f>
        <v>0</v>
      </c>
      <c r="R61" s="182">
        <f t="shared" ref="R61" si="45">IF(J61=0,0,(O61*J61)+O61)</f>
        <v>5.6099999999999994</v>
      </c>
      <c r="S61" s="182">
        <f t="shared" ref="S61" si="46">IF(L61=0,0,(P61*L61)+P61)</f>
        <v>0</v>
      </c>
      <c r="T61" s="182">
        <f t="shared" ref="T61" si="47">SUM(M61:S61)-(IF(W61=1,A$2*1,0))-(IF(W61=2,A$2*3,0))-(IF(W61=3,A$2*7,0))</f>
        <v>3.6099999999999994</v>
      </c>
      <c r="U61" s="150">
        <f>SUM(G179:G181)</f>
        <v>2</v>
      </c>
      <c r="V61" s="118" t="s">
        <v>323</v>
      </c>
      <c r="W61" s="150">
        <f t="shared" ref="W61:W62" si="48">SUM(F177:F179)</f>
        <v>3</v>
      </c>
      <c r="X61" s="184">
        <f t="shared" si="23"/>
        <v>2.1</v>
      </c>
      <c r="Y61" s="182">
        <f>X179</f>
        <v>0.7</v>
      </c>
      <c r="Z61" s="182">
        <f>X180</f>
        <v>2.1</v>
      </c>
      <c r="AA61" s="182">
        <f>X181</f>
        <v>2.2999999999999998</v>
      </c>
      <c r="AB61" s="182">
        <f t="shared" ref="AB61:AB62" si="49">IF(Y61=0,0,1)+Y61</f>
        <v>1.7</v>
      </c>
      <c r="AC61" s="188">
        <f t="shared" ref="AC61:AC62" si="50">IF(Z61=0,0,1)+Z61</f>
        <v>3.1</v>
      </c>
      <c r="AD61" s="182">
        <f t="shared" ref="AD61:AD62" si="51">IF(AA61=0,0,1)+AA61</f>
        <v>3.3</v>
      </c>
      <c r="AE61" s="182">
        <f t="shared" ref="AE61:AE62" si="52">IF(Z61=0,0,(AB61*Z61)+AB61)</f>
        <v>5.27</v>
      </c>
      <c r="AF61" s="182">
        <f t="shared" ref="AF61:AF62" si="53">IF(AA61=0,0,(AC61*AA61)+AC61)</f>
        <v>10.23</v>
      </c>
      <c r="AG61" s="182">
        <f t="shared" ref="AG61:AG62" si="54">IF(Y61=0,0,(AD61*Y61)+AD61)</f>
        <v>5.6099999999999994</v>
      </c>
      <c r="AH61" s="182">
        <f t="shared" ref="AH61:AH62" si="55">IF(AA61=0,0,(AE61*AA61)+AE61)</f>
        <v>17.390999999999998</v>
      </c>
      <c r="AI61" s="182">
        <f t="shared" ref="AI61:AI62" si="56">SUM(AB61:AH61)-AK61</f>
        <v>39.600999999999999</v>
      </c>
      <c r="AJ61" s="195" t="str">
        <f t="shared" si="14"/>
        <v>Tom Robinson</v>
      </c>
      <c r="AK61" s="1">
        <f t="shared" si="15"/>
        <v>7</v>
      </c>
    </row>
    <row r="62" spans="2:37">
      <c r="B62" s="184" t="str">
        <f>$V22</f>
        <v>David Dunn</v>
      </c>
      <c r="C62" s="183" t="str">
        <f>Picks!B62</f>
        <v>Wolves</v>
      </c>
      <c r="D62" s="184">
        <f>Picks!C62</f>
        <v>7</v>
      </c>
      <c r="E62" s="184">
        <f>Picks!D62</f>
        <v>2.625</v>
      </c>
      <c r="F62" s="183">
        <f>IF(C62="","",INDEX(Odds!K:K,MATCH(C62,Odds!G:G,0)))</f>
        <v>1</v>
      </c>
      <c r="G62" s="183">
        <f>IF(C62="","",Picks!M62)</f>
        <v>1</v>
      </c>
      <c r="H62" s="184">
        <f t="shared" si="4"/>
        <v>1.625</v>
      </c>
      <c r="I62" s="194" t="str">
        <f t="shared" si="5"/>
        <v>Vinny Topping</v>
      </c>
      <c r="J62" s="182">
        <f>H182</f>
        <v>0.83333333333333348</v>
      </c>
      <c r="K62" s="182">
        <f>H183</f>
        <v>1.375</v>
      </c>
      <c r="L62" s="182">
        <f>H184</f>
        <v>0</v>
      </c>
      <c r="M62" s="182">
        <f t="shared" ref="M62" si="57">IF(J62=0,0,1)+J62</f>
        <v>1.8333333333333335</v>
      </c>
      <c r="N62" s="182">
        <f t="shared" ref="N62" si="58">IF(K62=0,0,1)+K62</f>
        <v>2.375</v>
      </c>
      <c r="O62" s="182">
        <f t="shared" ref="O62" si="59">IF(L62=0,0,1)+L62</f>
        <v>0</v>
      </c>
      <c r="P62" s="182">
        <f t="shared" ref="P62" si="60">IF(K62=0,0,(M62*K62)+M62)</f>
        <v>4.354166666666667</v>
      </c>
      <c r="Q62" s="182">
        <f t="shared" ref="Q62" si="61">IF(L62=0,0,(N62*L62)+N62)</f>
        <v>0</v>
      </c>
      <c r="R62" s="182">
        <f t="shared" ref="R62" si="62">IF(J62=0,0,(O62*J62)+O62)</f>
        <v>0</v>
      </c>
      <c r="S62" s="182">
        <f t="shared" ref="S62" si="63">IF(L62=0,0,(P62*L62)+P62)</f>
        <v>0</v>
      </c>
      <c r="T62" s="182">
        <f t="shared" ref="T62" si="64">SUM(M62:S62)-(IF(W62=1,A$2*1,0))-(IF(W62=2,A$2*3,0))-(IF(W62=3,A$2*7,0))</f>
        <v>1.5625</v>
      </c>
      <c r="U62" s="150">
        <f>SUM(G182:G184)</f>
        <v>2</v>
      </c>
      <c r="V62" s="118" t="s">
        <v>299</v>
      </c>
      <c r="W62" s="150">
        <f t="shared" si="48"/>
        <v>3</v>
      </c>
      <c r="X62" s="184">
        <f t="shared" si="23"/>
        <v>1.625</v>
      </c>
      <c r="Y62" s="182">
        <f>X182</f>
        <v>0.83333333333333348</v>
      </c>
      <c r="Z62" s="182">
        <f>X183</f>
        <v>1.375</v>
      </c>
      <c r="AA62" s="182">
        <f>X184</f>
        <v>1.5</v>
      </c>
      <c r="AB62" s="182">
        <f t="shared" si="49"/>
        <v>1.8333333333333335</v>
      </c>
      <c r="AC62" s="188">
        <f t="shared" si="50"/>
        <v>2.375</v>
      </c>
      <c r="AD62" s="182">
        <f t="shared" si="51"/>
        <v>2.5</v>
      </c>
      <c r="AE62" s="182">
        <f t="shared" si="52"/>
        <v>4.354166666666667</v>
      </c>
      <c r="AF62" s="182">
        <f t="shared" si="53"/>
        <v>5.9375</v>
      </c>
      <c r="AG62" s="182">
        <f t="shared" si="54"/>
        <v>4.5833333333333339</v>
      </c>
      <c r="AH62" s="182">
        <f t="shared" si="55"/>
        <v>10.885416666666668</v>
      </c>
      <c r="AI62" s="182">
        <f t="shared" si="56"/>
        <v>25.46875</v>
      </c>
      <c r="AJ62" s="195" t="str">
        <f t="shared" si="14"/>
        <v>Vinny Topping</v>
      </c>
      <c r="AK62" s="1">
        <f t="shared" si="15"/>
        <v>7</v>
      </c>
    </row>
    <row r="63" spans="2:37">
      <c r="B63" s="183"/>
      <c r="C63" s="183" t="str">
        <f>Picks!B63</f>
        <v>Burnley</v>
      </c>
      <c r="D63" s="184">
        <f>Picks!C63</f>
        <v>7</v>
      </c>
      <c r="E63" s="184">
        <f>Picks!D63</f>
        <v>1.5</v>
      </c>
      <c r="F63" s="183">
        <f>IF(C63="","",INDEX(Odds!K:K,MATCH(C63,Odds!G:G,0)))</f>
        <v>1</v>
      </c>
      <c r="G63" s="183">
        <f>IF(C63="","",Picks!M63)</f>
        <v>1</v>
      </c>
      <c r="H63" s="184">
        <f t="shared" si="4"/>
        <v>0.5</v>
      </c>
      <c r="I63" s="194"/>
      <c r="X63" s="184">
        <f t="shared" si="23"/>
        <v>0.5</v>
      </c>
      <c r="AJ63" s="195"/>
    </row>
    <row r="64" spans="2:37" ht="13.15" thickBot="1">
      <c r="B64" s="185"/>
      <c r="C64" s="185" t="str">
        <f>Picks!B64</f>
        <v>MK Dons</v>
      </c>
      <c r="D64" s="186">
        <f>Picks!C64</f>
        <v>7</v>
      </c>
      <c r="E64" s="186">
        <f>Picks!D64</f>
        <v>2.5</v>
      </c>
      <c r="F64" s="185">
        <f>IF(C64="","",INDEX(Odds!K:K,MATCH(C64,Odds!G:G,0)))</f>
        <v>1</v>
      </c>
      <c r="G64" s="185">
        <f>IF(C64="","",Picks!M64)</f>
        <v>0</v>
      </c>
      <c r="H64" s="186">
        <f t="shared" si="4"/>
        <v>0</v>
      </c>
      <c r="I64" s="194"/>
      <c r="X64" s="184">
        <f t="shared" si="23"/>
        <v>1.5</v>
      </c>
      <c r="AJ64" s="195"/>
    </row>
    <row r="65" spans="2:36">
      <c r="B65" s="184" t="str">
        <f>$V23</f>
        <v>Frank Allen</v>
      </c>
      <c r="C65" s="183" t="str">
        <f>Picks!B65</f>
        <v>Sheff U</v>
      </c>
      <c r="D65" s="184">
        <f>Picks!C65</f>
        <v>7</v>
      </c>
      <c r="E65" s="184">
        <f>Picks!D65</f>
        <v>1.8333333333333335</v>
      </c>
      <c r="F65" s="183">
        <f>IF(C65="","",INDEX(Odds!K:K,MATCH(C65,Odds!G:G,0)))</f>
        <v>1</v>
      </c>
      <c r="G65" s="183">
        <f>IF(C65="","",Picks!M65)</f>
        <v>1</v>
      </c>
      <c r="H65" s="184">
        <f t="shared" si="4"/>
        <v>0.83333333333333348</v>
      </c>
      <c r="I65" s="194"/>
      <c r="X65" s="184">
        <f t="shared" si="23"/>
        <v>0.83333333333333348</v>
      </c>
      <c r="AJ65" s="195"/>
    </row>
    <row r="66" spans="2:36">
      <c r="B66" s="183"/>
      <c r="C66" s="183" t="str">
        <f>Picks!B66</f>
        <v>Watford</v>
      </c>
      <c r="D66" s="184">
        <f>Picks!C66</f>
        <v>7</v>
      </c>
      <c r="E66" s="184">
        <f>Picks!D66</f>
        <v>2</v>
      </c>
      <c r="F66" s="183">
        <f>IF(C66="","",INDEX(Odds!K:K,MATCH(C66,Odds!G:G,0)))</f>
        <v>1</v>
      </c>
      <c r="G66" s="183">
        <f>IF(C66="","",Picks!M66)</f>
        <v>0</v>
      </c>
      <c r="H66" s="184">
        <f t="shared" si="4"/>
        <v>0</v>
      </c>
      <c r="I66" s="194" t="str">
        <f t="shared" ref="I66:I95" si="65">IF(V63="","",V63)</f>
        <v/>
      </c>
      <c r="X66" s="184">
        <f t="shared" ref="X66:X97" si="66">+((E66-1)*F66*A$2)</f>
        <v>1</v>
      </c>
      <c r="AJ66" s="195"/>
    </row>
    <row r="67" spans="2:36" ht="13.15" thickBot="1">
      <c r="B67" s="185"/>
      <c r="C67" s="185" t="str">
        <f>Picks!B67</f>
        <v>Barnsley</v>
      </c>
      <c r="D67" s="186">
        <f>Picks!C67</f>
        <v>7</v>
      </c>
      <c r="E67" s="186">
        <f>Picks!D67</f>
        <v>1.5</v>
      </c>
      <c r="F67" s="185">
        <f>IF(C67="","",INDEX(Odds!K:K,MATCH(C67,Odds!G:G,0)))</f>
        <v>1</v>
      </c>
      <c r="G67" s="185">
        <f>IF(C67="","",Picks!M67)</f>
        <v>1</v>
      </c>
      <c r="H67" s="186">
        <f t="shared" ref="H67:H130" si="67">IF(C67="","",+((E67-1)*G67*F67*A$2))</f>
        <v>0.5</v>
      </c>
      <c r="I67" s="194" t="str">
        <f t="shared" si="65"/>
        <v/>
      </c>
      <c r="X67" s="184">
        <f t="shared" si="66"/>
        <v>0.5</v>
      </c>
      <c r="AJ67" s="195"/>
    </row>
    <row r="68" spans="2:36">
      <c r="B68" s="184" t="str">
        <f>$V24</f>
        <v>Gareth McGuire</v>
      </c>
      <c r="C68" s="183" t="str">
        <f>Picks!B68</f>
        <v>Derby</v>
      </c>
      <c r="D68" s="184">
        <f>Picks!C68</f>
        <v>7</v>
      </c>
      <c r="E68" s="184">
        <f>Picks!D68</f>
        <v>2.2999999999999998</v>
      </c>
      <c r="F68" s="183">
        <f>IF(C68="","",INDEX(Odds!K:K,MATCH(C68,Odds!G:G,0)))</f>
        <v>1</v>
      </c>
      <c r="G68" s="183">
        <f>IF(C68="","",Picks!M68)</f>
        <v>0</v>
      </c>
      <c r="H68" s="184">
        <f t="shared" si="67"/>
        <v>0</v>
      </c>
      <c r="I68" s="194" t="str">
        <f t="shared" si="65"/>
        <v/>
      </c>
      <c r="X68" s="184">
        <f t="shared" si="66"/>
        <v>1.2999999999999998</v>
      </c>
    </row>
    <row r="69" spans="2:36">
      <c r="B69" s="183"/>
      <c r="C69" s="183" t="str">
        <f>Picks!B69</f>
        <v>Stockport</v>
      </c>
      <c r="D69" s="184">
        <f>Picks!C69</f>
        <v>7</v>
      </c>
      <c r="E69" s="184">
        <f>Picks!D69</f>
        <v>1.8</v>
      </c>
      <c r="F69" s="183">
        <f>IF(C69="","",INDEX(Odds!K:K,MATCH(C69,Odds!G:G,0)))</f>
        <v>1</v>
      </c>
      <c r="G69" s="183">
        <f>IF(C69="","",Picks!M69)</f>
        <v>1</v>
      </c>
      <c r="H69" s="184">
        <f t="shared" si="67"/>
        <v>0.8</v>
      </c>
      <c r="I69" s="194" t="str">
        <f t="shared" si="65"/>
        <v/>
      </c>
      <c r="X69" s="184">
        <f t="shared" si="66"/>
        <v>0.8</v>
      </c>
    </row>
    <row r="70" spans="2:36" ht="13.15" thickBot="1">
      <c r="B70" s="185"/>
      <c r="C70" s="185" t="str">
        <f>Picks!B70</f>
        <v>Salford</v>
      </c>
      <c r="D70" s="186">
        <f>Picks!C70</f>
        <v>7</v>
      </c>
      <c r="E70" s="186">
        <f>Picks!D70</f>
        <v>3.1</v>
      </c>
      <c r="F70" s="185">
        <f>IF(C70="","",INDEX(Odds!K:K,MATCH(C70,Odds!G:G,0)))</f>
        <v>1</v>
      </c>
      <c r="G70" s="185">
        <f>IF(C70="","",Picks!M70)</f>
        <v>0</v>
      </c>
      <c r="H70" s="186">
        <f t="shared" si="67"/>
        <v>0</v>
      </c>
      <c r="I70" s="194" t="str">
        <f t="shared" si="65"/>
        <v/>
      </c>
      <c r="X70" s="184">
        <f t="shared" si="66"/>
        <v>2.1</v>
      </c>
    </row>
    <row r="71" spans="2:36">
      <c r="B71" s="184" t="str">
        <f>$V25</f>
        <v>Gareth Powell</v>
      </c>
      <c r="C71" s="183" t="str">
        <f>Picks!B71</f>
        <v/>
      </c>
      <c r="D71" s="184" t="str">
        <f>Picks!C71</f>
        <v/>
      </c>
      <c r="E71" s="184" t="str">
        <f>Picks!D71</f>
        <v/>
      </c>
      <c r="F71" s="183" t="str">
        <f>IF(C71="","",INDEX(Odds!K:K,MATCH(C71,Odds!G:G,0)))</f>
        <v/>
      </c>
      <c r="G71" s="183" t="str">
        <f>IF(C71="","",Picks!M71)</f>
        <v/>
      </c>
      <c r="H71" s="184" t="str">
        <f t="shared" si="67"/>
        <v/>
      </c>
      <c r="I71" s="194" t="str">
        <f t="shared" si="65"/>
        <v/>
      </c>
      <c r="X71" s="184" t="e">
        <f t="shared" si="66"/>
        <v>#VALUE!</v>
      </c>
    </row>
    <row r="72" spans="2:36">
      <c r="B72" s="183"/>
      <c r="C72" s="183" t="str">
        <f>Picks!B72</f>
        <v/>
      </c>
      <c r="D72" s="184" t="str">
        <f>Picks!C72</f>
        <v/>
      </c>
      <c r="E72" s="184" t="str">
        <f>Picks!D72</f>
        <v/>
      </c>
      <c r="F72" s="183" t="str">
        <f>IF(C72="","",INDEX(Odds!K:K,MATCH(C72,Odds!G:G,0)))</f>
        <v/>
      </c>
      <c r="G72" s="183" t="str">
        <f>IF(C72="","",Picks!M72)</f>
        <v/>
      </c>
      <c r="H72" s="184" t="str">
        <f t="shared" si="67"/>
        <v/>
      </c>
      <c r="I72" s="194" t="str">
        <f t="shared" si="65"/>
        <v/>
      </c>
      <c r="X72" s="184" t="e">
        <f t="shared" si="66"/>
        <v>#VALUE!</v>
      </c>
    </row>
    <row r="73" spans="2:36" ht="13.15" thickBot="1">
      <c r="B73" s="185"/>
      <c r="C73" s="185" t="str">
        <f>Picks!B73</f>
        <v/>
      </c>
      <c r="D73" s="186" t="str">
        <f>Picks!C73</f>
        <v/>
      </c>
      <c r="E73" s="186" t="str">
        <f>Picks!D73</f>
        <v/>
      </c>
      <c r="F73" s="185" t="str">
        <f>IF(C73="","",INDEX(Odds!K:K,MATCH(C73,Odds!G:G,0)))</f>
        <v/>
      </c>
      <c r="G73" s="185" t="str">
        <f>IF(C73="","",Picks!M73)</f>
        <v/>
      </c>
      <c r="H73" s="186" t="str">
        <f t="shared" si="67"/>
        <v/>
      </c>
      <c r="I73" s="194" t="str">
        <f t="shared" si="65"/>
        <v/>
      </c>
      <c r="X73" s="184" t="e">
        <f t="shared" si="66"/>
        <v>#VALUE!</v>
      </c>
    </row>
    <row r="74" spans="2:36">
      <c r="B74" s="183" t="str">
        <f>$V26</f>
        <v>Gerard Ventom</v>
      </c>
      <c r="C74" s="183" t="str">
        <f>Picks!B74</f>
        <v>Reading</v>
      </c>
      <c r="D74" s="184">
        <f>Picks!C74</f>
        <v>7</v>
      </c>
      <c r="E74" s="184">
        <f>Picks!D74</f>
        <v>4</v>
      </c>
      <c r="F74" s="183">
        <f>IF(C74="","",INDEX(Odds!K:K,MATCH(C74,Odds!G:G,0)))</f>
        <v>1</v>
      </c>
      <c r="G74" s="183">
        <f>IF(C74="","",Picks!M74)</f>
        <v>0</v>
      </c>
      <c r="H74" s="184">
        <f t="shared" si="67"/>
        <v>0</v>
      </c>
      <c r="I74" s="194" t="str">
        <f t="shared" si="65"/>
        <v/>
      </c>
      <c r="X74" s="184">
        <f t="shared" si="66"/>
        <v>3</v>
      </c>
    </row>
    <row r="75" spans="2:36">
      <c r="B75" s="183"/>
      <c r="C75" s="183" t="str">
        <f>Picks!B75</f>
        <v>Wigan</v>
      </c>
      <c r="D75" s="184">
        <f>Picks!C75</f>
        <v>7</v>
      </c>
      <c r="E75" s="184">
        <f>Picks!D75</f>
        <v>2.375</v>
      </c>
      <c r="F75" s="183">
        <f>IF(C75="","",INDEX(Odds!K:K,MATCH(C75,Odds!G:G,0)))</f>
        <v>1</v>
      </c>
      <c r="G75" s="183">
        <f>IF(C75="","",Picks!M75)</f>
        <v>1</v>
      </c>
      <c r="H75" s="184">
        <f t="shared" si="67"/>
        <v>1.375</v>
      </c>
      <c r="I75" s="194" t="str">
        <f t="shared" si="65"/>
        <v/>
      </c>
      <c r="X75" s="184">
        <f t="shared" si="66"/>
        <v>1.375</v>
      </c>
    </row>
    <row r="76" spans="2:36" ht="13.15" thickBot="1">
      <c r="B76" s="185"/>
      <c r="C76" s="185" t="str">
        <f>Picks!B76</f>
        <v>Orient</v>
      </c>
      <c r="D76" s="186">
        <f>Picks!C76</f>
        <v>7</v>
      </c>
      <c r="E76" s="186">
        <f>Picks!D76</f>
        <v>3.2</v>
      </c>
      <c r="F76" s="185">
        <f>IF(C76="","",INDEX(Odds!K:K,MATCH(C76,Odds!G:G,0)))</f>
        <v>1</v>
      </c>
      <c r="G76" s="185">
        <f>IF(C76="","",Picks!M76)</f>
        <v>0</v>
      </c>
      <c r="H76" s="186">
        <f t="shared" si="67"/>
        <v>0</v>
      </c>
      <c r="I76" s="194" t="str">
        <f t="shared" si="65"/>
        <v/>
      </c>
      <c r="X76" s="184">
        <f t="shared" si="66"/>
        <v>2.2000000000000002</v>
      </c>
    </row>
    <row r="77" spans="2:36">
      <c r="B77" s="183" t="str">
        <f>$V27</f>
        <v>Graham Miller</v>
      </c>
      <c r="C77" s="183" t="str">
        <f>Picks!B77</f>
        <v>Stoke</v>
      </c>
      <c r="D77" s="184">
        <f>Picks!C77</f>
        <v>7</v>
      </c>
      <c r="E77" s="184">
        <f>Picks!D77</f>
        <v>2</v>
      </c>
      <c r="F77" s="183">
        <f>IF(C77="","",INDEX(Odds!K:K,MATCH(C77,Odds!G:G,0)))</f>
        <v>1</v>
      </c>
      <c r="G77" s="183">
        <f>IF(C77="","",Picks!M77)</f>
        <v>0</v>
      </c>
      <c r="H77" s="184">
        <f t="shared" si="67"/>
        <v>0</v>
      </c>
      <c r="I77" s="194" t="str">
        <f t="shared" si="65"/>
        <v/>
      </c>
      <c r="X77" s="184">
        <f t="shared" si="66"/>
        <v>1</v>
      </c>
    </row>
    <row r="78" spans="2:36">
      <c r="B78" s="183"/>
      <c r="C78" s="183" t="str">
        <f>Picks!B78</f>
        <v>Watford</v>
      </c>
      <c r="D78" s="184">
        <f>Picks!C78</f>
        <v>7</v>
      </c>
      <c r="E78" s="184">
        <f>Picks!D78</f>
        <v>2</v>
      </c>
      <c r="F78" s="183">
        <f>IF(C78="","",INDEX(Odds!K:K,MATCH(C78,Odds!G:G,0)))</f>
        <v>1</v>
      </c>
      <c r="G78" s="183">
        <f>IF(C78="","",Picks!M78)</f>
        <v>0</v>
      </c>
      <c r="H78" s="184">
        <f t="shared" si="67"/>
        <v>0</v>
      </c>
      <c r="I78" s="194" t="str">
        <f t="shared" si="65"/>
        <v/>
      </c>
      <c r="X78" s="184">
        <f t="shared" si="66"/>
        <v>1</v>
      </c>
    </row>
    <row r="79" spans="2:36" ht="13.15" thickBot="1">
      <c r="B79" s="185"/>
      <c r="C79" s="185" t="str">
        <f>Picks!B79</f>
        <v>Wigan</v>
      </c>
      <c r="D79" s="186">
        <f>Picks!C79</f>
        <v>7</v>
      </c>
      <c r="E79" s="186">
        <f>Picks!D79</f>
        <v>2.375</v>
      </c>
      <c r="F79" s="185">
        <f>IF(C79="","",INDEX(Odds!K:K,MATCH(C79,Odds!G:G,0)))</f>
        <v>1</v>
      </c>
      <c r="G79" s="185">
        <f>IF(C79="","",Picks!M79)</f>
        <v>1</v>
      </c>
      <c r="H79" s="186">
        <f t="shared" si="67"/>
        <v>1.375</v>
      </c>
      <c r="I79" s="194" t="str">
        <f t="shared" si="65"/>
        <v/>
      </c>
      <c r="X79" s="184">
        <f t="shared" si="66"/>
        <v>1.375</v>
      </c>
    </row>
    <row r="80" spans="2:36">
      <c r="B80" s="184" t="str">
        <f>$V28</f>
        <v>Howard Bradley</v>
      </c>
      <c r="C80" s="183" t="str">
        <f>Picks!B80</f>
        <v>Stoke draw</v>
      </c>
      <c r="D80" s="184">
        <f>Picks!C80</f>
        <v>7</v>
      </c>
      <c r="E80" s="184">
        <f>Picks!D80</f>
        <v>3.25</v>
      </c>
      <c r="F80" s="183">
        <f>IF(C80="","",INDEX(Odds!K:K,MATCH(C80,Odds!G:G,0)))</f>
        <v>1</v>
      </c>
      <c r="G80" s="183">
        <f>IF(C80="","",Picks!M80)</f>
        <v>1</v>
      </c>
      <c r="H80" s="184">
        <f t="shared" si="67"/>
        <v>2.25</v>
      </c>
      <c r="I80" s="194" t="str">
        <f t="shared" si="65"/>
        <v/>
      </c>
      <c r="X80" s="184">
        <f t="shared" si="66"/>
        <v>2.25</v>
      </c>
    </row>
    <row r="81" spans="2:24">
      <c r="B81" s="183"/>
      <c r="C81" s="183" t="str">
        <f>Picks!B81</f>
        <v>Blackpool draw</v>
      </c>
      <c r="D81" s="184">
        <f>Picks!C81</f>
        <v>7</v>
      </c>
      <c r="E81" s="184">
        <f>Picks!D81</f>
        <v>3.2</v>
      </c>
      <c r="F81" s="183">
        <f>IF(C81="","",INDEX(Odds!K:K,MATCH(C81,Odds!G:G,0)))</f>
        <v>1</v>
      </c>
      <c r="G81" s="183">
        <f>IF(C81="","",Picks!M81)</f>
        <v>1</v>
      </c>
      <c r="H81" s="184">
        <f t="shared" si="67"/>
        <v>2.2000000000000002</v>
      </c>
      <c r="I81" s="194" t="str">
        <f t="shared" si="65"/>
        <v/>
      </c>
      <c r="X81" s="184">
        <f t="shared" si="66"/>
        <v>2.2000000000000002</v>
      </c>
    </row>
    <row r="82" spans="2:24" ht="13.15" thickBot="1">
      <c r="B82" s="185"/>
      <c r="C82" s="185" t="str">
        <f>Picks!B82</f>
        <v>Barnsley</v>
      </c>
      <c r="D82" s="186">
        <f>Picks!C82</f>
        <v>7</v>
      </c>
      <c r="E82" s="186">
        <f>Picks!D82</f>
        <v>1.5</v>
      </c>
      <c r="F82" s="185">
        <f>IF(C82="","",INDEX(Odds!K:K,MATCH(C82,Odds!G:G,0)))</f>
        <v>1</v>
      </c>
      <c r="G82" s="185">
        <f>IF(C82="","",Picks!M82)</f>
        <v>1</v>
      </c>
      <c r="H82" s="186">
        <f t="shared" si="67"/>
        <v>0.5</v>
      </c>
      <c r="I82" s="194" t="str">
        <f t="shared" si="65"/>
        <v/>
      </c>
      <c r="X82" s="184">
        <f t="shared" si="66"/>
        <v>0.5</v>
      </c>
    </row>
    <row r="83" spans="2:24">
      <c r="B83" s="184" t="str">
        <f>$V29</f>
        <v>Ian Davies</v>
      </c>
      <c r="C83" s="183" t="str">
        <f>Picks!B83</f>
        <v>Peterborough draw</v>
      </c>
      <c r="D83" s="184">
        <f>Picks!C83</f>
        <v>7</v>
      </c>
      <c r="E83" s="184">
        <f>Picks!D83</f>
        <v>3.25</v>
      </c>
      <c r="F83" s="183">
        <f>IF(C83="","",INDEX(Odds!K:K,MATCH(C83,Odds!G:G,0)))</f>
        <v>1</v>
      </c>
      <c r="G83" s="183">
        <f>IF(C83="","",Picks!M83)</f>
        <v>0</v>
      </c>
      <c r="H83" s="184">
        <f t="shared" si="67"/>
        <v>0</v>
      </c>
      <c r="I83" s="194" t="str">
        <f t="shared" si="65"/>
        <v/>
      </c>
      <c r="X83" s="184">
        <f t="shared" si="66"/>
        <v>2.25</v>
      </c>
    </row>
    <row r="84" spans="2:24">
      <c r="B84" s="183"/>
      <c r="C84" s="183" t="str">
        <f>Picks!B84</f>
        <v>Hartlepool draw</v>
      </c>
      <c r="D84" s="184">
        <f>Picks!C84</f>
        <v>7</v>
      </c>
      <c r="E84" s="184">
        <f>Picks!D84</f>
        <v>3.2</v>
      </c>
      <c r="F84" s="183">
        <f>IF(C84="","",INDEX(Odds!K:K,MATCH(C84,Odds!G:G,0)))</f>
        <v>1</v>
      </c>
      <c r="G84" s="183">
        <f>IF(C84="","",Picks!M84)</f>
        <v>1</v>
      </c>
      <c r="H84" s="184">
        <f t="shared" si="67"/>
        <v>2.2000000000000002</v>
      </c>
      <c r="I84" s="194" t="str">
        <f t="shared" si="65"/>
        <v/>
      </c>
      <c r="X84" s="184">
        <f t="shared" si="66"/>
        <v>2.2000000000000002</v>
      </c>
    </row>
    <row r="85" spans="2:24" ht="13.15" thickBot="1">
      <c r="B85" s="185"/>
      <c r="C85" s="185" t="str">
        <f>Picks!B85</f>
        <v>QPR</v>
      </c>
      <c r="D85" s="186">
        <f>Picks!C85</f>
        <v>7</v>
      </c>
      <c r="E85" s="186">
        <f>Picks!D85</f>
        <v>2.6</v>
      </c>
      <c r="F85" s="185">
        <f>IF(C85="","",INDEX(Odds!K:K,MATCH(C85,Odds!G:G,0)))</f>
        <v>1</v>
      </c>
      <c r="G85" s="185">
        <f>IF(C85="","",Picks!M85)</f>
        <v>0</v>
      </c>
      <c r="H85" s="186">
        <f t="shared" si="67"/>
        <v>0</v>
      </c>
      <c r="I85" s="194" t="str">
        <f t="shared" si="65"/>
        <v/>
      </c>
      <c r="X85" s="184">
        <f t="shared" si="66"/>
        <v>1.6</v>
      </c>
    </row>
    <row r="86" spans="2:24">
      <c r="B86" s="184" t="str">
        <f>$V30</f>
        <v>Jack Walsh</v>
      </c>
      <c r="C86" s="183" t="str">
        <f>Picks!B86</f>
        <v>Leeds draw</v>
      </c>
      <c r="D86" s="184">
        <f>Picks!C86</f>
        <v>1</v>
      </c>
      <c r="E86" s="184">
        <f>Picks!D86</f>
        <v>3.9</v>
      </c>
      <c r="F86" s="183">
        <f>IF(C86="","",INDEX(Odds!K:K,MATCH(C86,Odds!G:G,0)))</f>
        <v>1</v>
      </c>
      <c r="G86" s="183">
        <f>IF(C86="","",Picks!M86)</f>
        <v>0</v>
      </c>
      <c r="H86" s="184">
        <f t="shared" si="67"/>
        <v>0</v>
      </c>
      <c r="I86" s="194" t="str">
        <f t="shared" si="65"/>
        <v/>
      </c>
      <c r="X86" s="184">
        <f t="shared" si="66"/>
        <v>2.9</v>
      </c>
    </row>
    <row r="87" spans="2:24">
      <c r="B87" s="183"/>
      <c r="C87" s="183" t="str">
        <f>Picks!B87</f>
        <v>Wigan</v>
      </c>
      <c r="D87" s="184">
        <f>Picks!C87</f>
        <v>7</v>
      </c>
      <c r="E87" s="184">
        <f>Picks!D87</f>
        <v>2.375</v>
      </c>
      <c r="F87" s="183">
        <f>IF(C87="","",INDEX(Odds!K:K,MATCH(C87,Odds!G:G,0)))</f>
        <v>1</v>
      </c>
      <c r="G87" s="183">
        <f>IF(C87="","",Picks!M87)</f>
        <v>1</v>
      </c>
      <c r="H87" s="184">
        <f t="shared" si="67"/>
        <v>1.375</v>
      </c>
      <c r="I87" s="194" t="str">
        <f t="shared" si="65"/>
        <v/>
      </c>
      <c r="X87" s="184">
        <f t="shared" si="66"/>
        <v>1.375</v>
      </c>
    </row>
    <row r="88" spans="2:24" ht="13.15" thickBot="1">
      <c r="B88" s="185"/>
      <c r="C88" s="185" t="str">
        <f>Picks!B88</f>
        <v>Arsenal draw</v>
      </c>
      <c r="D88" s="186">
        <f>Picks!C88</f>
        <v>7</v>
      </c>
      <c r="E88" s="186">
        <f>Picks!D88</f>
        <v>4.75</v>
      </c>
      <c r="F88" s="185">
        <f>IF(C88="","",INDEX(Odds!K:K,MATCH(C88,Odds!G:G,0)))</f>
        <v>1</v>
      </c>
      <c r="G88" s="185">
        <f>IF(C88="","",Picks!M88)</f>
        <v>1</v>
      </c>
      <c r="H88" s="186">
        <f t="shared" si="67"/>
        <v>3.75</v>
      </c>
      <c r="I88" s="194" t="str">
        <f t="shared" si="65"/>
        <v/>
      </c>
      <c r="X88" s="184">
        <f t="shared" si="66"/>
        <v>3.75</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7"/>
        <v/>
      </c>
      <c r="I89" s="194" t="str">
        <f t="shared" si="65"/>
        <v/>
      </c>
      <c r="X89" s="184" t="e">
        <f t="shared" si="66"/>
        <v>#VALUE!</v>
      </c>
    </row>
    <row r="90" spans="2:24">
      <c r="B90" s="183"/>
      <c r="C90" s="183" t="str">
        <f>Picks!B90</f>
        <v/>
      </c>
      <c r="D90" s="184" t="str">
        <f>Picks!C90</f>
        <v/>
      </c>
      <c r="E90" s="184" t="str">
        <f>Picks!D90</f>
        <v/>
      </c>
      <c r="F90" s="183" t="str">
        <f>IF(C90="","",INDEX(Odds!K:K,MATCH(C90,Odds!G:G,0)))</f>
        <v/>
      </c>
      <c r="G90" s="183" t="str">
        <f>IF(C90="","",Picks!M90)</f>
        <v/>
      </c>
      <c r="H90" s="184" t="str">
        <f t="shared" si="67"/>
        <v/>
      </c>
      <c r="I90" s="194" t="str">
        <f t="shared" si="65"/>
        <v/>
      </c>
      <c r="X90" s="184" t="e">
        <f t="shared" si="66"/>
        <v>#VALUE!</v>
      </c>
    </row>
    <row r="91" spans="2:24" ht="13.15" thickBot="1">
      <c r="B91" s="185"/>
      <c r="C91" s="185" t="str">
        <f>Picks!B91</f>
        <v/>
      </c>
      <c r="D91" s="186" t="str">
        <f>Picks!C91</f>
        <v/>
      </c>
      <c r="E91" s="186" t="str">
        <f>Picks!D91</f>
        <v/>
      </c>
      <c r="F91" s="185" t="str">
        <f>IF(C91="","",INDEX(Odds!K:K,MATCH(C91,Odds!G:G,0)))</f>
        <v/>
      </c>
      <c r="G91" s="185" t="str">
        <f>IF(C91="","",Picks!M91)</f>
        <v/>
      </c>
      <c r="H91" s="186" t="str">
        <f t="shared" si="67"/>
        <v/>
      </c>
      <c r="I91" s="194" t="str">
        <f t="shared" si="65"/>
        <v/>
      </c>
      <c r="X91" s="184" t="e">
        <f t="shared" si="66"/>
        <v>#VALUE!</v>
      </c>
    </row>
    <row r="92" spans="2:24">
      <c r="B92" s="184" t="str">
        <f>$V32</f>
        <v>John Murphy</v>
      </c>
      <c r="C92" s="183" t="str">
        <f>Picks!B92</f>
        <v>Palace</v>
      </c>
      <c r="D92" s="184">
        <f>Picks!C92</f>
        <v>7</v>
      </c>
      <c r="E92" s="184">
        <f>Picks!D92</f>
        <v>3.6</v>
      </c>
      <c r="F92" s="183">
        <f>IF(C92="","",INDEX(Odds!K:K,MATCH(C92,Odds!G:G,0)))</f>
        <v>1</v>
      </c>
      <c r="G92" s="183">
        <f>IF(C92="","",Picks!M92)</f>
        <v>0</v>
      </c>
      <c r="H92" s="184">
        <f t="shared" si="67"/>
        <v>0</v>
      </c>
      <c r="I92" s="194" t="str">
        <f t="shared" si="65"/>
        <v/>
      </c>
      <c r="X92" s="184">
        <f t="shared" si="66"/>
        <v>2.6</v>
      </c>
    </row>
    <row r="93" spans="2:24">
      <c r="B93" s="183"/>
      <c r="C93" s="183" t="str">
        <f>Picks!B93</f>
        <v>Southampton</v>
      </c>
      <c r="D93" s="184">
        <f>Picks!C93</f>
        <v>7</v>
      </c>
      <c r="E93" s="184">
        <f>Picks!D93</f>
        <v>2.8</v>
      </c>
      <c r="F93" s="183">
        <f>IF(C93="","",INDEX(Odds!K:K,MATCH(C93,Odds!G:G,0)))</f>
        <v>1</v>
      </c>
      <c r="G93" s="183">
        <f>IF(C93="","",Picks!M93)</f>
        <v>0</v>
      </c>
      <c r="H93" s="184">
        <f t="shared" si="67"/>
        <v>0</v>
      </c>
      <c r="I93" s="194" t="str">
        <f t="shared" si="65"/>
        <v/>
      </c>
      <c r="X93" s="184">
        <f t="shared" si="66"/>
        <v>1.7999999999999998</v>
      </c>
    </row>
    <row r="94" spans="2:24" ht="13.15" thickBot="1">
      <c r="B94" s="185"/>
      <c r="C94" s="185" t="str">
        <f>Picks!B94</f>
        <v>Norwich</v>
      </c>
      <c r="D94" s="186">
        <f>Picks!C94</f>
        <v>7</v>
      </c>
      <c r="E94" s="186">
        <f>Picks!D94</f>
        <v>2.2999999999999998</v>
      </c>
      <c r="F94" s="185">
        <f>IF(C94="","",INDEX(Odds!K:K,MATCH(C94,Odds!G:G,0)))</f>
        <v>1</v>
      </c>
      <c r="G94" s="185">
        <f>IF(C94="","",Picks!M94)</f>
        <v>0</v>
      </c>
      <c r="H94" s="186">
        <f t="shared" si="67"/>
        <v>0</v>
      </c>
      <c r="I94" s="194" t="str">
        <f t="shared" si="65"/>
        <v/>
      </c>
      <c r="X94" s="184">
        <f t="shared" si="66"/>
        <v>1.2999999999999998</v>
      </c>
    </row>
    <row r="95" spans="2:24">
      <c r="B95" s="184" t="str">
        <f>$V33</f>
        <v>John Ronan</v>
      </c>
      <c r="C95" s="183" t="str">
        <f>Picks!B95</f>
        <v>Fulham</v>
      </c>
      <c r="D95" s="184">
        <f>Picks!C95</f>
        <v>7</v>
      </c>
      <c r="E95" s="184">
        <f>Picks!D95</f>
        <v>1.95</v>
      </c>
      <c r="F95" s="183">
        <f>IF(C95="","",INDEX(Odds!K:K,MATCH(C95,Odds!G:G,0)))</f>
        <v>1</v>
      </c>
      <c r="G95" s="183">
        <f>IF(C95="","",Picks!M95)</f>
        <v>1</v>
      </c>
      <c r="H95" s="184">
        <f t="shared" si="67"/>
        <v>0.95</v>
      </c>
      <c r="I95" s="194" t="str">
        <f t="shared" si="65"/>
        <v/>
      </c>
      <c r="X95" s="184">
        <f t="shared" si="66"/>
        <v>0.95</v>
      </c>
    </row>
    <row r="96" spans="2:24">
      <c r="B96" s="187"/>
      <c r="C96" s="183" t="str">
        <f>Picks!B96</f>
        <v>Middlesbro</v>
      </c>
      <c r="D96" s="184">
        <f>Picks!C96</f>
        <v>7</v>
      </c>
      <c r="E96" s="184">
        <f>Picks!D96</f>
        <v>2.15</v>
      </c>
      <c r="F96" s="183">
        <f>IF(C96="","",INDEX(Odds!K:K,MATCH(C96,Odds!G:G,0)))</f>
        <v>1</v>
      </c>
      <c r="G96" s="183">
        <f>IF(C96="","",Picks!M96)</f>
        <v>1</v>
      </c>
      <c r="H96" s="184">
        <f t="shared" si="67"/>
        <v>1.1499999999999999</v>
      </c>
      <c r="I96" s="194" t="str">
        <f t="shared" ref="I96:I117" si="68">IF(V93="","",V93)</f>
        <v/>
      </c>
      <c r="X96" s="184">
        <f t="shared" si="66"/>
        <v>1.1499999999999999</v>
      </c>
    </row>
    <row r="97" spans="2:24" ht="13.15" thickBot="1">
      <c r="B97" s="185"/>
      <c r="C97" s="185" t="str">
        <f>Picks!B97</f>
        <v>Coventry</v>
      </c>
      <c r="D97" s="186">
        <f>Picks!C97</f>
        <v>7</v>
      </c>
      <c r="E97" s="186">
        <f>Picks!D97</f>
        <v>2.2000000000000002</v>
      </c>
      <c r="F97" s="185">
        <f>IF(C97="","",INDEX(Odds!K:K,MATCH(C97,Odds!G:G,0)))</f>
        <v>1</v>
      </c>
      <c r="G97" s="185">
        <f>IF(C97="","",Picks!M97)</f>
        <v>0</v>
      </c>
      <c r="H97" s="186">
        <f t="shared" si="67"/>
        <v>0</v>
      </c>
      <c r="I97" s="194" t="str">
        <f t="shared" si="68"/>
        <v/>
      </c>
      <c r="X97" s="184">
        <f t="shared" si="66"/>
        <v>1.2000000000000002</v>
      </c>
    </row>
    <row r="98" spans="2:24">
      <c r="B98" s="184" t="str">
        <f>$V34</f>
        <v>Julie Dodd</v>
      </c>
      <c r="C98" s="183" t="str">
        <f>Picks!B98</f>
        <v>Lincoln</v>
      </c>
      <c r="D98" s="184">
        <f>Picks!C98</f>
        <v>7</v>
      </c>
      <c r="E98" s="184">
        <f>Picks!D98</f>
        <v>2.2999999999999998</v>
      </c>
      <c r="F98" s="183">
        <f>IF(C98="","",INDEX(Odds!K:K,MATCH(C98,Odds!G:G,0)))</f>
        <v>1</v>
      </c>
      <c r="G98" s="183">
        <f>IF(C98="","",Picks!M98)</f>
        <v>1</v>
      </c>
      <c r="H98" s="184">
        <f t="shared" si="67"/>
        <v>1.2999999999999998</v>
      </c>
      <c r="I98" s="194" t="str">
        <f t="shared" si="68"/>
        <v/>
      </c>
      <c r="X98" s="184">
        <f t="shared" ref="X98:X130" si="69">+((E98-1)*F98*A$2)</f>
        <v>1.2999999999999998</v>
      </c>
    </row>
    <row r="99" spans="2:24">
      <c r="B99" s="183"/>
      <c r="C99" s="183" t="str">
        <f>Picks!B99</f>
        <v>MK Dons</v>
      </c>
      <c r="D99" s="184">
        <f>Picks!C99</f>
        <v>7</v>
      </c>
      <c r="E99" s="184">
        <f>Picks!D99</f>
        <v>2.5</v>
      </c>
      <c r="F99" s="183">
        <f>IF(C99="","",INDEX(Odds!K:K,MATCH(C99,Odds!G:G,0)))</f>
        <v>1</v>
      </c>
      <c r="G99" s="183">
        <f>IF(C99="","",Picks!M99)</f>
        <v>0</v>
      </c>
      <c r="H99" s="184">
        <f t="shared" si="67"/>
        <v>0</v>
      </c>
      <c r="I99" s="194" t="str">
        <f t="shared" si="68"/>
        <v/>
      </c>
      <c r="X99" s="184">
        <f t="shared" si="69"/>
        <v>1.5</v>
      </c>
    </row>
    <row r="100" spans="2:24" ht="13.15" thickBot="1">
      <c r="B100" s="185"/>
      <c r="C100" s="185" t="str">
        <f>Picks!B100</f>
        <v>Exeter</v>
      </c>
      <c r="D100" s="186">
        <f>Picks!C100</f>
        <v>7</v>
      </c>
      <c r="E100" s="186">
        <f>Picks!D100</f>
        <v>2.7</v>
      </c>
      <c r="F100" s="185">
        <f>IF(C100="","",INDEX(Odds!K:K,MATCH(C100,Odds!G:G,0)))</f>
        <v>1</v>
      </c>
      <c r="G100" s="185">
        <f>IF(C100="","",Picks!M100)</f>
        <v>0</v>
      </c>
      <c r="H100" s="186">
        <f t="shared" si="67"/>
        <v>0</v>
      </c>
      <c r="I100" s="194" t="str">
        <f t="shared" si="68"/>
        <v/>
      </c>
      <c r="X100" s="184">
        <f t="shared" si="69"/>
        <v>1.7000000000000002</v>
      </c>
    </row>
    <row r="101" spans="2:24">
      <c r="B101" s="184" t="str">
        <f>$V35</f>
        <v>Kei Lok Ma</v>
      </c>
      <c r="C101" s="183" t="str">
        <f>Picks!B101</f>
        <v>Middlesbro</v>
      </c>
      <c r="D101" s="184">
        <f>Picks!C101</f>
        <v>7</v>
      </c>
      <c r="E101" s="184">
        <f>Picks!D101</f>
        <v>2.15</v>
      </c>
      <c r="F101" s="183">
        <f>IF(C101="","",INDEX(Odds!K:K,MATCH(C101,Odds!G:G,0)))</f>
        <v>1</v>
      </c>
      <c r="G101" s="183">
        <f>IF(C101="","",Picks!M101)</f>
        <v>1</v>
      </c>
      <c r="H101" s="184">
        <f t="shared" si="67"/>
        <v>1.1499999999999999</v>
      </c>
      <c r="I101" s="194" t="str">
        <f t="shared" si="68"/>
        <v/>
      </c>
      <c r="X101" s="184">
        <f t="shared" si="69"/>
        <v>1.1499999999999999</v>
      </c>
    </row>
    <row r="102" spans="2:24">
      <c r="B102" s="183"/>
      <c r="C102" s="183" t="str">
        <f>Picks!B102</f>
        <v>Luton</v>
      </c>
      <c r="D102" s="184">
        <f>Picks!C102</f>
        <v>7</v>
      </c>
      <c r="E102" s="184">
        <f>Picks!D102</f>
        <v>3.25</v>
      </c>
      <c r="F102" s="183">
        <f>IF(C102="","",INDEX(Odds!K:K,MATCH(C102,Odds!G:G,0)))</f>
        <v>1</v>
      </c>
      <c r="G102" s="183">
        <f>IF(C102="","",Picks!M102)</f>
        <v>0</v>
      </c>
      <c r="H102" s="184">
        <f t="shared" si="67"/>
        <v>0</v>
      </c>
      <c r="I102" s="194" t="str">
        <f t="shared" si="68"/>
        <v/>
      </c>
      <c r="X102" s="184">
        <f t="shared" si="69"/>
        <v>2.25</v>
      </c>
    </row>
    <row r="103" spans="2:24" ht="13.15" thickBot="1">
      <c r="B103" s="185"/>
      <c r="C103" s="185" t="str">
        <f>Picks!B103</f>
        <v>Sheff U</v>
      </c>
      <c r="D103" s="186">
        <f>Picks!C103</f>
        <v>7</v>
      </c>
      <c r="E103" s="186">
        <f>Picks!D103</f>
        <v>1.8333333333333335</v>
      </c>
      <c r="F103" s="185">
        <f>IF(C103="","",INDEX(Odds!K:K,MATCH(C103,Odds!G:G,0)))</f>
        <v>1</v>
      </c>
      <c r="G103" s="185">
        <f>IF(C103="","",Picks!M103)</f>
        <v>1</v>
      </c>
      <c r="H103" s="186">
        <f t="shared" si="67"/>
        <v>0.83333333333333348</v>
      </c>
      <c r="I103" s="194" t="str">
        <f t="shared" si="68"/>
        <v/>
      </c>
      <c r="X103" s="184">
        <f t="shared" si="69"/>
        <v>0.83333333333333348</v>
      </c>
    </row>
    <row r="104" spans="2:24">
      <c r="B104" s="184" t="str">
        <f>$V36</f>
        <v>Kevin Carter</v>
      </c>
      <c r="C104" s="183" t="str">
        <f>Picks!B104</f>
        <v>Brighton</v>
      </c>
      <c r="D104" s="184">
        <f>Picks!C104</f>
        <v>7</v>
      </c>
      <c r="E104" s="184">
        <f>Picks!D104</f>
        <v>2.1</v>
      </c>
      <c r="F104" s="183">
        <f>IF(C104="","",INDEX(Odds!K:K,MATCH(C104,Odds!G:G,0)))</f>
        <v>1</v>
      </c>
      <c r="G104" s="183">
        <f>IF(C104="","",Picks!M104)</f>
        <v>0</v>
      </c>
      <c r="H104" s="184">
        <f t="shared" si="67"/>
        <v>0</v>
      </c>
      <c r="I104" s="194" t="str">
        <f t="shared" si="68"/>
        <v/>
      </c>
      <c r="X104" s="184">
        <f t="shared" si="69"/>
        <v>1.1000000000000001</v>
      </c>
    </row>
    <row r="105" spans="2:24">
      <c r="B105" s="183"/>
      <c r="C105" s="183" t="str">
        <f>Picks!B105</f>
        <v>Wolves</v>
      </c>
      <c r="D105" s="184">
        <f>Picks!C105</f>
        <v>7</v>
      </c>
      <c r="E105" s="184">
        <f>Picks!D105</f>
        <v>2.625</v>
      </c>
      <c r="F105" s="183">
        <f>IF(C105="","",INDEX(Odds!K:K,MATCH(C105,Odds!G:G,0)))</f>
        <v>1</v>
      </c>
      <c r="G105" s="183">
        <f>IF(C105="","",Picks!M105)</f>
        <v>1</v>
      </c>
      <c r="H105" s="184">
        <f t="shared" si="67"/>
        <v>1.625</v>
      </c>
      <c r="I105" s="194" t="str">
        <f t="shared" si="68"/>
        <v/>
      </c>
      <c r="X105" s="184">
        <f t="shared" si="69"/>
        <v>1.625</v>
      </c>
    </row>
    <row r="106" spans="2:24" ht="13.15" thickBot="1">
      <c r="B106" s="185"/>
      <c r="C106" s="185" t="str">
        <f>Picks!B106</f>
        <v>Sheff U</v>
      </c>
      <c r="D106" s="186">
        <f>Picks!C106</f>
        <v>7</v>
      </c>
      <c r="E106" s="186">
        <f>Picks!D106</f>
        <v>1.8333333333333335</v>
      </c>
      <c r="F106" s="185">
        <f>IF(C106="","",INDEX(Odds!K:K,MATCH(C106,Odds!G:G,0)))</f>
        <v>1</v>
      </c>
      <c r="G106" s="185">
        <f>IF(C106="","",Picks!M106)</f>
        <v>1</v>
      </c>
      <c r="H106" s="186">
        <f t="shared" si="67"/>
        <v>0.83333333333333348</v>
      </c>
      <c r="I106" s="194" t="str">
        <f t="shared" si="68"/>
        <v/>
      </c>
      <c r="X106" s="184">
        <f t="shared" si="69"/>
        <v>0.83333333333333348</v>
      </c>
    </row>
    <row r="107" spans="2:24">
      <c r="B107" s="184" t="str">
        <f>$V37</f>
        <v>Lennie Bow</v>
      </c>
      <c r="C107" s="183" t="str">
        <f>Picks!B107</f>
        <v>Shrewsbury</v>
      </c>
      <c r="D107" s="184">
        <f>Picks!C107</f>
        <v>7</v>
      </c>
      <c r="E107" s="184">
        <f>Picks!D107</f>
        <v>2.25</v>
      </c>
      <c r="F107" s="183">
        <f>IF(C107="","",INDEX(Odds!K:K,MATCH(C107,Odds!G:G,0)))</f>
        <v>1</v>
      </c>
      <c r="G107" s="183">
        <f>IF(C107="","",Picks!M107)</f>
        <v>1</v>
      </c>
      <c r="H107" s="184">
        <f t="shared" si="67"/>
        <v>1.25</v>
      </c>
      <c r="I107" s="194" t="str">
        <f t="shared" si="68"/>
        <v/>
      </c>
      <c r="X107" s="184">
        <f t="shared" si="69"/>
        <v>1.25</v>
      </c>
    </row>
    <row r="108" spans="2:24">
      <c r="B108" s="183"/>
      <c r="C108" s="183" t="str">
        <f>Picks!B108</f>
        <v>Mansfield</v>
      </c>
      <c r="D108" s="184">
        <f>Picks!C108</f>
        <v>7</v>
      </c>
      <c r="E108" s="184">
        <f>Picks!D108</f>
        <v>1.7</v>
      </c>
      <c r="F108" s="183">
        <f>IF(C108="","",INDEX(Odds!K:K,MATCH(C108,Odds!G:G,0)))</f>
        <v>1</v>
      </c>
      <c r="G108" s="183">
        <f>IF(C108="","",Picks!M108)</f>
        <v>1</v>
      </c>
      <c r="H108" s="184">
        <f t="shared" si="67"/>
        <v>0.7</v>
      </c>
      <c r="I108" s="194" t="str">
        <f t="shared" si="68"/>
        <v/>
      </c>
      <c r="X108" s="184">
        <f t="shared" si="69"/>
        <v>0.7</v>
      </c>
    </row>
    <row r="109" spans="2:24" ht="13.15" thickBot="1">
      <c r="B109" s="185"/>
      <c r="C109" s="185" t="str">
        <f>Picks!B109</f>
        <v>Stevenage</v>
      </c>
      <c r="D109" s="186">
        <f>Picks!C109</f>
        <v>7</v>
      </c>
      <c r="E109" s="186">
        <f>Picks!D109</f>
        <v>1.85</v>
      </c>
      <c r="F109" s="185">
        <f>IF(C109="","",INDEX(Odds!K:K,MATCH(C109,Odds!G:G,0)))</f>
        <v>1</v>
      </c>
      <c r="G109" s="185">
        <f>IF(C109="","",Picks!M109)</f>
        <v>0</v>
      </c>
      <c r="H109" s="186">
        <f t="shared" si="67"/>
        <v>0</v>
      </c>
      <c r="I109" s="194" t="str">
        <f t="shared" si="68"/>
        <v/>
      </c>
      <c r="X109" s="184">
        <f t="shared" si="69"/>
        <v>0.85000000000000009</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7"/>
        <v/>
      </c>
      <c r="I110" s="194" t="str">
        <f t="shared" si="68"/>
        <v/>
      </c>
      <c r="X110" s="184" t="e">
        <f t="shared" si="69"/>
        <v>#VALUE!</v>
      </c>
    </row>
    <row r="111" spans="2:24">
      <c r="B111" s="183"/>
      <c r="C111" s="183" t="str">
        <f>Picks!B111</f>
        <v/>
      </c>
      <c r="D111" s="184" t="str">
        <f>Picks!C111</f>
        <v/>
      </c>
      <c r="E111" s="184" t="str">
        <f>Picks!D111</f>
        <v/>
      </c>
      <c r="F111" s="183" t="str">
        <f>IF(C111="","",INDEX(Odds!K:K,MATCH(C111,Odds!G:G,0)))</f>
        <v/>
      </c>
      <c r="G111" s="183" t="str">
        <f>IF(C111="","",Picks!M111)</f>
        <v/>
      </c>
      <c r="H111" s="184" t="str">
        <f t="shared" si="67"/>
        <v/>
      </c>
      <c r="I111" s="194" t="str">
        <f t="shared" si="68"/>
        <v/>
      </c>
      <c r="X111" s="184" t="e">
        <f t="shared" si="69"/>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7"/>
        <v/>
      </c>
      <c r="I112" s="194" t="str">
        <f t="shared" si="68"/>
        <v/>
      </c>
      <c r="X112" s="184" t="e">
        <f t="shared" si="69"/>
        <v>#VALUE!</v>
      </c>
    </row>
    <row r="113" spans="2:24">
      <c r="B113" s="184" t="str">
        <f>$V39</f>
        <v>Mal Stott</v>
      </c>
      <c r="C113" s="183" t="str">
        <f>Picks!B113</f>
        <v>Charlton</v>
      </c>
      <c r="D113" s="184">
        <f>Picks!C113</f>
        <v>7</v>
      </c>
      <c r="E113" s="184">
        <f>Picks!D113</f>
        <v>2</v>
      </c>
      <c r="F113" s="183">
        <f>IF(C113="","",INDEX(Odds!K:K,MATCH(C113,Odds!G:G,0)))</f>
        <v>1</v>
      </c>
      <c r="G113" s="183">
        <f>IF(C113="","",Picks!M113)</f>
        <v>0</v>
      </c>
      <c r="H113" s="184">
        <f t="shared" si="67"/>
        <v>0</v>
      </c>
      <c r="I113" s="194" t="str">
        <f t="shared" si="68"/>
        <v/>
      </c>
      <c r="X113" s="184">
        <f t="shared" si="69"/>
        <v>1</v>
      </c>
    </row>
    <row r="114" spans="2:24">
      <c r="B114" s="183"/>
      <c r="C114" s="183" t="str">
        <f>Picks!B114</f>
        <v>Shrewsbury</v>
      </c>
      <c r="D114" s="184">
        <f>Picks!C114</f>
        <v>7</v>
      </c>
      <c r="E114" s="184">
        <f>Picks!D114</f>
        <v>2.25</v>
      </c>
      <c r="F114" s="183">
        <f>IF(C114="","",INDEX(Odds!K:K,MATCH(C114,Odds!G:G,0)))</f>
        <v>1</v>
      </c>
      <c r="G114" s="183">
        <f>IF(C114="","",Picks!M114)</f>
        <v>1</v>
      </c>
      <c r="H114" s="184">
        <f t="shared" si="67"/>
        <v>1.25</v>
      </c>
      <c r="I114" s="194" t="str">
        <f t="shared" si="68"/>
        <v/>
      </c>
      <c r="X114" s="184">
        <f t="shared" si="69"/>
        <v>1.25</v>
      </c>
    </row>
    <row r="115" spans="2:24" ht="13.15" thickBot="1">
      <c r="B115" s="185"/>
      <c r="C115" s="185" t="str">
        <f>Picks!B115</f>
        <v>Swindon</v>
      </c>
      <c r="D115" s="186">
        <f>Picks!C115</f>
        <v>7</v>
      </c>
      <c r="E115" s="186">
        <f>Picks!D115</f>
        <v>2.1</v>
      </c>
      <c r="F115" s="185">
        <f>IF(C115="","",INDEX(Odds!K:K,MATCH(C115,Odds!G:G,0)))</f>
        <v>1</v>
      </c>
      <c r="G115" s="185">
        <f>IF(C115="","",Picks!M115)</f>
        <v>0</v>
      </c>
      <c r="H115" s="186">
        <f t="shared" si="67"/>
        <v>0</v>
      </c>
      <c r="I115" s="194" t="str">
        <f t="shared" si="68"/>
        <v/>
      </c>
      <c r="X115" s="184">
        <f t="shared" si="69"/>
        <v>1.1000000000000001</v>
      </c>
    </row>
    <row r="116" spans="2:24">
      <c r="B116" s="184" t="str">
        <f>$V40</f>
        <v>Mark Bunn</v>
      </c>
      <c r="C116" s="183" t="str">
        <f>Picks!B116</f>
        <v>Barrow</v>
      </c>
      <c r="D116" s="184">
        <f>Picks!C116</f>
        <v>7</v>
      </c>
      <c r="E116" s="184">
        <f>Picks!D116</f>
        <v>2.2999999999999998</v>
      </c>
      <c r="F116" s="183">
        <f>IF(C116="","",INDEX(Odds!K:K,MATCH(C116,Odds!G:G,0)))</f>
        <v>1</v>
      </c>
      <c r="G116" s="183">
        <f>IF(C116="","",Picks!M116)</f>
        <v>0</v>
      </c>
      <c r="H116" s="184">
        <f t="shared" si="67"/>
        <v>0</v>
      </c>
      <c r="I116" s="194" t="str">
        <f t="shared" si="68"/>
        <v/>
      </c>
      <c r="X116" s="184">
        <f t="shared" si="69"/>
        <v>1.2999999999999998</v>
      </c>
    </row>
    <row r="117" spans="2:24">
      <c r="B117" s="183"/>
      <c r="C117" s="183" t="str">
        <f>Picks!B117</f>
        <v>Sutton</v>
      </c>
      <c r="D117" s="184">
        <f>Picks!C117</f>
        <v>7</v>
      </c>
      <c r="E117" s="184">
        <f>Picks!D117</f>
        <v>2.25</v>
      </c>
      <c r="F117" s="183">
        <f>IF(C117="","",INDEX(Odds!K:K,MATCH(C117,Odds!G:G,0)))</f>
        <v>1</v>
      </c>
      <c r="G117" s="183">
        <f>IF(C117="","",Picks!M117)</f>
        <v>0</v>
      </c>
      <c r="H117" s="184">
        <f t="shared" si="67"/>
        <v>0</v>
      </c>
      <c r="I117" s="194" t="str">
        <f t="shared" si="68"/>
        <v/>
      </c>
      <c r="X117" s="184">
        <f t="shared" si="69"/>
        <v>1.25</v>
      </c>
    </row>
    <row r="118" spans="2:24" ht="13.15" thickBot="1">
      <c r="B118" s="185"/>
      <c r="C118" s="185" t="str">
        <f>Picks!B118</f>
        <v>Northampton</v>
      </c>
      <c r="D118" s="186">
        <f>Picks!C118</f>
        <v>7</v>
      </c>
      <c r="E118" s="186">
        <f>Picks!D118</f>
        <v>3.1</v>
      </c>
      <c r="F118" s="185">
        <f>IF(C118="","",INDEX(Odds!K:K,MATCH(C118,Odds!G:G,0)))</f>
        <v>1</v>
      </c>
      <c r="G118" s="185">
        <f>IF(C118="","",Picks!M118)</f>
        <v>0</v>
      </c>
      <c r="H118" s="186">
        <f t="shared" si="67"/>
        <v>0</v>
      </c>
      <c r="I118" s="194" t="str">
        <f t="shared" ref="I118:I181" si="70">IF(V115="","",V115)</f>
        <v/>
      </c>
      <c r="X118" s="184">
        <f t="shared" si="69"/>
        <v>2.1</v>
      </c>
    </row>
    <row r="119" spans="2:24">
      <c r="B119" s="184" t="str">
        <f>$V41</f>
        <v>Mark Saunders</v>
      </c>
      <c r="C119" s="183" t="str">
        <f>Picks!B119</f>
        <v>Burnley</v>
      </c>
      <c r="D119" s="184">
        <f>Picks!C119</f>
        <v>7</v>
      </c>
      <c r="E119" s="184">
        <f>Picks!D119</f>
        <v>1.5</v>
      </c>
      <c r="F119" s="183">
        <f>IF(C119="","",INDEX(Odds!K:K,MATCH(C119,Odds!G:G,0)))</f>
        <v>1</v>
      </c>
      <c r="G119" s="183">
        <f>IF(C119="","",Picks!M119)</f>
        <v>1</v>
      </c>
      <c r="H119" s="184">
        <f t="shared" si="67"/>
        <v>0.5</v>
      </c>
      <c r="I119" s="194" t="str">
        <f t="shared" si="70"/>
        <v/>
      </c>
      <c r="X119" s="184">
        <f t="shared" si="69"/>
        <v>0.5</v>
      </c>
    </row>
    <row r="120" spans="2:24">
      <c r="B120" s="183"/>
      <c r="C120" s="183" t="str">
        <f>Picks!B120</f>
        <v>Sheff U</v>
      </c>
      <c r="D120" s="184">
        <f>Picks!C120</f>
        <v>7</v>
      </c>
      <c r="E120" s="184">
        <f>Picks!D120</f>
        <v>1.8333333333333335</v>
      </c>
      <c r="F120" s="183">
        <f>IF(C120="","",INDEX(Odds!K:K,MATCH(C120,Odds!G:G,0)))</f>
        <v>1</v>
      </c>
      <c r="G120" s="183">
        <f>IF(C120="","",Picks!M120)</f>
        <v>1</v>
      </c>
      <c r="H120" s="184">
        <f t="shared" si="67"/>
        <v>0.83333333333333348</v>
      </c>
      <c r="I120" s="194" t="str">
        <f t="shared" si="70"/>
        <v/>
      </c>
      <c r="X120" s="184">
        <f t="shared" si="69"/>
        <v>0.83333333333333348</v>
      </c>
    </row>
    <row r="121" spans="2:24" ht="13.15" thickBot="1">
      <c r="B121" s="185"/>
      <c r="C121" s="185" t="str">
        <f>Picks!B121</f>
        <v>Watford</v>
      </c>
      <c r="D121" s="186">
        <f>Picks!C121</f>
        <v>7</v>
      </c>
      <c r="E121" s="186">
        <f>Picks!D121</f>
        <v>2</v>
      </c>
      <c r="F121" s="185">
        <f>IF(C121="","",INDEX(Odds!K:K,MATCH(C121,Odds!G:G,0)))</f>
        <v>1</v>
      </c>
      <c r="G121" s="185">
        <f>IF(C121="","",Picks!M121)</f>
        <v>0</v>
      </c>
      <c r="H121" s="186">
        <f t="shared" si="67"/>
        <v>0</v>
      </c>
      <c r="I121" s="194" t="str">
        <f t="shared" si="70"/>
        <v/>
      </c>
      <c r="X121" s="184">
        <f t="shared" si="69"/>
        <v>1</v>
      </c>
    </row>
    <row r="122" spans="2:24">
      <c r="B122" s="184" t="str">
        <f>$V42</f>
        <v>Martin Molyneux</v>
      </c>
      <c r="C122" s="183" t="str">
        <f>Picks!B122</f>
        <v>Middlesbro</v>
      </c>
      <c r="D122" s="184">
        <f>Picks!C122</f>
        <v>7</v>
      </c>
      <c r="E122" s="184">
        <f>Picks!D122</f>
        <v>2.15</v>
      </c>
      <c r="F122" s="183">
        <f>IF(C122="","",INDEX(Odds!K:K,MATCH(C122,Odds!G:G,0)))</f>
        <v>1</v>
      </c>
      <c r="G122" s="183">
        <f>IF(C122="","",Picks!M122)</f>
        <v>1</v>
      </c>
      <c r="H122" s="184">
        <f t="shared" si="67"/>
        <v>1.1499999999999999</v>
      </c>
      <c r="I122" s="194" t="str">
        <f t="shared" si="70"/>
        <v/>
      </c>
      <c r="X122" s="184">
        <f t="shared" si="69"/>
        <v>1.1499999999999999</v>
      </c>
    </row>
    <row r="123" spans="2:24">
      <c r="B123" s="183"/>
      <c r="C123" s="183" t="str">
        <f>Picks!B123</f>
        <v>Sheff U</v>
      </c>
      <c r="D123" s="184">
        <f>Picks!C123</f>
        <v>7</v>
      </c>
      <c r="E123" s="184">
        <f>Picks!D123</f>
        <v>1.8333333333333335</v>
      </c>
      <c r="F123" s="183">
        <f>IF(C123="","",INDEX(Odds!K:K,MATCH(C123,Odds!G:G,0)))</f>
        <v>1</v>
      </c>
      <c r="G123" s="183">
        <f>IF(C123="","",Picks!M123)</f>
        <v>1</v>
      </c>
      <c r="H123" s="184">
        <f t="shared" si="67"/>
        <v>0.83333333333333348</v>
      </c>
      <c r="I123" s="194" t="str">
        <f t="shared" si="70"/>
        <v/>
      </c>
      <c r="X123" s="184">
        <f t="shared" si="69"/>
        <v>0.83333333333333348</v>
      </c>
    </row>
    <row r="124" spans="2:24" ht="13.15" thickBot="1">
      <c r="B124" s="185"/>
      <c r="C124" s="185" t="str">
        <f>Picks!B124</f>
        <v>Sunderland</v>
      </c>
      <c r="D124" s="186">
        <f>Picks!C124</f>
        <v>7</v>
      </c>
      <c r="E124" s="186">
        <f>Picks!D124</f>
        <v>1.9090909090909092</v>
      </c>
      <c r="F124" s="185">
        <f>IF(C124="","",INDEX(Odds!K:K,MATCH(C124,Odds!G:G,0)))</f>
        <v>1</v>
      </c>
      <c r="G124" s="185">
        <f>IF(C124="","",Picks!M124)</f>
        <v>1</v>
      </c>
      <c r="H124" s="186">
        <f t="shared" si="67"/>
        <v>0.90909090909090917</v>
      </c>
      <c r="I124" s="194" t="str">
        <f t="shared" si="70"/>
        <v/>
      </c>
      <c r="X124" s="184">
        <f t="shared" si="69"/>
        <v>0.90909090909090917</v>
      </c>
    </row>
    <row r="125" spans="2:24">
      <c r="B125" s="184" t="str">
        <f>$V43</f>
        <v>Martin Tarbuck</v>
      </c>
      <c r="C125" s="183" t="str">
        <f>Picks!B125</f>
        <v>Derby</v>
      </c>
      <c r="D125" s="184">
        <f>Picks!C125</f>
        <v>7</v>
      </c>
      <c r="E125" s="184">
        <f>Picks!D125</f>
        <v>2.2999999999999998</v>
      </c>
      <c r="F125" s="183">
        <f>IF(C125="","",INDEX(Odds!K:K,MATCH(C125,Odds!G:G,0)))</f>
        <v>1</v>
      </c>
      <c r="G125" s="183">
        <f>IF(C125="","",Picks!M125)</f>
        <v>0</v>
      </c>
      <c r="H125" s="184">
        <f t="shared" si="67"/>
        <v>0</v>
      </c>
      <c r="I125" s="194" t="str">
        <f t="shared" si="70"/>
        <v/>
      </c>
      <c r="X125" s="184">
        <f t="shared" si="69"/>
        <v>1.2999999999999998</v>
      </c>
    </row>
    <row r="126" spans="2:24">
      <c r="B126" s="183"/>
      <c r="C126" s="183" t="str">
        <f>Picks!B126</f>
        <v>Middlesbro</v>
      </c>
      <c r="D126" s="184">
        <f>Picks!C126</f>
        <v>7</v>
      </c>
      <c r="E126" s="184">
        <f>Picks!D126</f>
        <v>2.15</v>
      </c>
      <c r="F126" s="183">
        <f>IF(C126="","",INDEX(Odds!K:K,MATCH(C126,Odds!G:G,0)))</f>
        <v>1</v>
      </c>
      <c r="G126" s="183">
        <f>IF(C126="","",Picks!M126)</f>
        <v>1</v>
      </c>
      <c r="H126" s="184">
        <f t="shared" si="67"/>
        <v>1.1499999999999999</v>
      </c>
      <c r="I126" s="194" t="str">
        <f t="shared" si="70"/>
        <v/>
      </c>
      <c r="X126" s="184">
        <f t="shared" si="69"/>
        <v>1.1499999999999999</v>
      </c>
    </row>
    <row r="127" spans="2:24" ht="13.15" thickBot="1">
      <c r="B127" s="185"/>
      <c r="C127" s="185" t="str">
        <f>Picks!B127</f>
        <v>Orient</v>
      </c>
      <c r="D127" s="186">
        <f>Picks!C127</f>
        <v>7</v>
      </c>
      <c r="E127" s="186">
        <f>Picks!D127</f>
        <v>3.2</v>
      </c>
      <c r="F127" s="185">
        <f>IF(C127="","",INDEX(Odds!K:K,MATCH(C127,Odds!G:G,0)))</f>
        <v>1</v>
      </c>
      <c r="G127" s="185">
        <f>IF(C127="","",Picks!M127)</f>
        <v>0</v>
      </c>
      <c r="H127" s="186">
        <f t="shared" si="67"/>
        <v>0</v>
      </c>
      <c r="I127" s="194" t="str">
        <f t="shared" si="70"/>
        <v/>
      </c>
      <c r="X127" s="184">
        <f t="shared" si="69"/>
        <v>2.2000000000000002</v>
      </c>
    </row>
    <row r="128" spans="2:24">
      <c r="B128" s="184" t="str">
        <f>$V44</f>
        <v>Mike Penk</v>
      </c>
      <c r="C128" s="183" t="str">
        <f>Picks!B128</f>
        <v>Millwall</v>
      </c>
      <c r="D128" s="184">
        <f>Picks!C128</f>
        <v>7</v>
      </c>
      <c r="E128" s="184">
        <f>Picks!D128</f>
        <v>2.75</v>
      </c>
      <c r="F128" s="183">
        <f>IF(C128="","",INDEX(Odds!K:K,MATCH(C128,Odds!G:G,0)))</f>
        <v>1</v>
      </c>
      <c r="G128" s="183">
        <f>IF(C128="","",Picks!M128)</f>
        <v>1</v>
      </c>
      <c r="H128" s="184">
        <f t="shared" si="67"/>
        <v>1.75</v>
      </c>
      <c r="I128" s="194" t="str">
        <f t="shared" si="70"/>
        <v/>
      </c>
      <c r="X128" s="184">
        <f t="shared" si="69"/>
        <v>1.75</v>
      </c>
    </row>
    <row r="129" spans="2:24">
      <c r="B129" s="183"/>
      <c r="C129" s="183" t="str">
        <f>Picks!B129</f>
        <v>Sheff U</v>
      </c>
      <c r="D129" s="184">
        <f>Picks!C129</f>
        <v>7</v>
      </c>
      <c r="E129" s="184">
        <f>Picks!D129</f>
        <v>1.8333333333333335</v>
      </c>
      <c r="F129" s="183">
        <f>IF(C129="","",INDEX(Odds!K:K,MATCH(C129,Odds!G:G,0)))</f>
        <v>1</v>
      </c>
      <c r="G129" s="183">
        <f>IF(C129="","",Picks!M129)</f>
        <v>1</v>
      </c>
      <c r="H129" s="184">
        <f t="shared" si="67"/>
        <v>0.83333333333333348</v>
      </c>
      <c r="I129" s="194" t="str">
        <f t="shared" si="70"/>
        <v/>
      </c>
      <c r="X129" s="184">
        <f t="shared" si="69"/>
        <v>0.83333333333333348</v>
      </c>
    </row>
    <row r="130" spans="2:24" ht="13.15" thickBot="1">
      <c r="B130" s="185"/>
      <c r="C130" s="185" t="str">
        <f>Picks!B130</f>
        <v>Plymouth</v>
      </c>
      <c r="D130" s="186">
        <f>Picks!C130</f>
        <v>7</v>
      </c>
      <c r="E130" s="186">
        <f>Picks!D130</f>
        <v>2.0499999999999998</v>
      </c>
      <c r="F130" s="185">
        <f>IF(C130="","",INDEX(Odds!K:K,MATCH(C130,Odds!G:G,0)))</f>
        <v>1</v>
      </c>
      <c r="G130" s="185">
        <f>IF(C130="","",Picks!M130)</f>
        <v>1</v>
      </c>
      <c r="H130" s="186">
        <f t="shared" si="67"/>
        <v>1.0499999999999998</v>
      </c>
      <c r="I130" s="194" t="str">
        <f t="shared" si="70"/>
        <v/>
      </c>
      <c r="X130" s="184">
        <f t="shared" si="69"/>
        <v>1.0499999999999998</v>
      </c>
    </row>
    <row r="131" spans="2:24">
      <c r="B131" s="184" t="str">
        <f>$V45</f>
        <v>Mo Sudell</v>
      </c>
      <c r="C131" s="183" t="str">
        <f>Picks!B131</f>
        <v>Stevenage</v>
      </c>
      <c r="D131" s="184">
        <f>Picks!C131</f>
        <v>7</v>
      </c>
      <c r="E131" s="184">
        <f>Picks!D131</f>
        <v>1.85</v>
      </c>
      <c r="F131" s="183">
        <f>IF(C131="","",INDEX(Odds!K:K,MATCH(C131,Odds!G:G,0)))</f>
        <v>1</v>
      </c>
      <c r="G131" s="183">
        <f>IF(C131="","",Picks!M131)</f>
        <v>0</v>
      </c>
      <c r="H131" s="184">
        <f t="shared" ref="H131:H175" si="71">IF(C131="","",+((E131-1)*G131*F131*A$2))</f>
        <v>0</v>
      </c>
      <c r="I131" s="194" t="str">
        <f t="shared" si="70"/>
        <v/>
      </c>
      <c r="X131" s="184">
        <f t="shared" ref="X131:X184" si="72">+((E131-1)*F131*A$2)</f>
        <v>0.85000000000000009</v>
      </c>
    </row>
    <row r="132" spans="2:24">
      <c r="B132" s="183"/>
      <c r="C132" s="183" t="str">
        <f>Picks!B132</f>
        <v>Morecambe</v>
      </c>
      <c r="D132" s="184">
        <f>Picks!C132</f>
        <v>7</v>
      </c>
      <c r="E132" s="184">
        <f>Picks!D132</f>
        <v>2.4</v>
      </c>
      <c r="F132" s="183">
        <f>IF(C132="","",INDEX(Odds!K:K,MATCH(C132,Odds!G:G,0)))</f>
        <v>1</v>
      </c>
      <c r="G132" s="183">
        <f>IF(C132="","",Picks!M132)</f>
        <v>0</v>
      </c>
      <c r="H132" s="184">
        <f t="shared" si="71"/>
        <v>0</v>
      </c>
      <c r="I132" s="194" t="str">
        <f t="shared" si="70"/>
        <v/>
      </c>
      <c r="X132" s="184">
        <f t="shared" si="72"/>
        <v>1.4</v>
      </c>
    </row>
    <row r="133" spans="2:24" ht="13.15" thickBot="1">
      <c r="B133" s="185"/>
      <c r="C133" s="185" t="str">
        <f>Picks!B133</f>
        <v>Charlton</v>
      </c>
      <c r="D133" s="186">
        <f>Picks!C133</f>
        <v>7</v>
      </c>
      <c r="E133" s="186">
        <f>Picks!D133</f>
        <v>2</v>
      </c>
      <c r="F133" s="185">
        <f>IF(C133="","",INDEX(Odds!K:K,MATCH(C133,Odds!G:G,0)))</f>
        <v>1</v>
      </c>
      <c r="G133" s="185">
        <f>IF(C133="","",Picks!M133)</f>
        <v>0</v>
      </c>
      <c r="H133" s="186">
        <f t="shared" si="71"/>
        <v>0</v>
      </c>
      <c r="I133" s="194" t="str">
        <f t="shared" si="70"/>
        <v/>
      </c>
      <c r="X133" s="184">
        <f t="shared" si="72"/>
        <v>1</v>
      </c>
    </row>
    <row r="134" spans="2:24">
      <c r="B134" s="184" t="str">
        <f>$V46</f>
        <v>Nick Blocksidge</v>
      </c>
      <c r="C134" s="183" t="str">
        <f>Picks!B134</f>
        <v/>
      </c>
      <c r="D134" s="184" t="str">
        <f>Picks!C134</f>
        <v/>
      </c>
      <c r="E134" s="184" t="str">
        <f>Picks!D134</f>
        <v/>
      </c>
      <c r="F134" s="183" t="str">
        <f>IF(C134="","",INDEX(Odds!K:K,MATCH(C134,Odds!G:G,0)))</f>
        <v/>
      </c>
      <c r="G134" s="183" t="str">
        <f>IF(C134="","",Picks!M134)</f>
        <v/>
      </c>
      <c r="H134" s="184" t="str">
        <f t="shared" si="71"/>
        <v/>
      </c>
      <c r="I134" s="194" t="str">
        <f t="shared" si="70"/>
        <v/>
      </c>
      <c r="X134" s="184" t="e">
        <f t="shared" si="72"/>
        <v>#VALUE!</v>
      </c>
    </row>
    <row r="135" spans="2:24">
      <c r="B135" s="183"/>
      <c r="C135" s="183" t="str">
        <f>Picks!B135</f>
        <v/>
      </c>
      <c r="D135" s="184" t="str">
        <f>Picks!C135</f>
        <v/>
      </c>
      <c r="E135" s="184" t="str">
        <f>Picks!D135</f>
        <v/>
      </c>
      <c r="F135" s="183" t="str">
        <f>IF(C135="","",INDEX(Odds!K:K,MATCH(C135,Odds!G:G,0)))</f>
        <v/>
      </c>
      <c r="G135" s="183" t="str">
        <f>IF(C135="","",Picks!M135)</f>
        <v/>
      </c>
      <c r="H135" s="184" t="str">
        <f t="shared" si="71"/>
        <v/>
      </c>
      <c r="I135" s="194" t="str">
        <f t="shared" si="70"/>
        <v/>
      </c>
      <c r="X135" s="184" t="e">
        <f t="shared" si="72"/>
        <v>#VALUE!</v>
      </c>
    </row>
    <row r="136" spans="2:24" ht="13.15" thickBot="1">
      <c r="B136" s="185"/>
      <c r="C136" s="185" t="str">
        <f>Picks!B136</f>
        <v/>
      </c>
      <c r="D136" s="186" t="str">
        <f>Picks!C136</f>
        <v/>
      </c>
      <c r="E136" s="186" t="str">
        <f>Picks!D136</f>
        <v/>
      </c>
      <c r="F136" s="185" t="str">
        <f>IF(C136="","",INDEX(Odds!K:K,MATCH(C136,Odds!G:G,0)))</f>
        <v/>
      </c>
      <c r="G136" s="185" t="str">
        <f>IF(C136="","",Picks!M136)</f>
        <v/>
      </c>
      <c r="H136" s="186" t="str">
        <f t="shared" si="71"/>
        <v/>
      </c>
      <c r="I136" s="194" t="str">
        <f t="shared" si="70"/>
        <v/>
      </c>
      <c r="X136" s="184" t="e">
        <f t="shared" si="72"/>
        <v>#VALUE!</v>
      </c>
    </row>
    <row r="137" spans="2:24">
      <c r="B137" s="184" t="str">
        <f>$V47</f>
        <v>Nigel Heyes</v>
      </c>
      <c r="C137" s="183" t="str">
        <f>Picks!B137</f>
        <v>Sunderland</v>
      </c>
      <c r="D137" s="184">
        <f>Picks!C137</f>
        <v>7</v>
      </c>
      <c r="E137" s="184">
        <f>Picks!D137</f>
        <v>1.9090909090909092</v>
      </c>
      <c r="F137" s="183">
        <f>IF(C137="","",INDEX(Odds!K:K,MATCH(C137,Odds!G:G,0)))</f>
        <v>1</v>
      </c>
      <c r="G137" s="183">
        <f>IF(C137="","",Picks!M137)</f>
        <v>1</v>
      </c>
      <c r="H137" s="184">
        <f t="shared" si="71"/>
        <v>0.90909090909090917</v>
      </c>
      <c r="I137" s="194" t="str">
        <f t="shared" si="70"/>
        <v/>
      </c>
      <c r="X137" s="184">
        <f t="shared" si="72"/>
        <v>0.90909090909090917</v>
      </c>
    </row>
    <row r="138" spans="2:24">
      <c r="B138" s="183"/>
      <c r="C138" s="183" t="str">
        <f>Picks!B138</f>
        <v>Morecambe</v>
      </c>
      <c r="D138" s="184">
        <f>Picks!C138</f>
        <v>7</v>
      </c>
      <c r="E138" s="184">
        <f>Picks!D138</f>
        <v>2.4</v>
      </c>
      <c r="F138" s="183">
        <f>IF(C138="","",INDEX(Odds!K:K,MATCH(C138,Odds!G:G,0)))</f>
        <v>1</v>
      </c>
      <c r="G138" s="183">
        <f>IF(C138="","",Picks!M138)</f>
        <v>0</v>
      </c>
      <c r="H138" s="184">
        <f t="shared" si="71"/>
        <v>0</v>
      </c>
      <c r="I138" s="194" t="str">
        <f t="shared" si="70"/>
        <v/>
      </c>
      <c r="X138" s="184">
        <f t="shared" si="72"/>
        <v>1.4</v>
      </c>
    </row>
    <row r="139" spans="2:24" ht="13.15" thickBot="1">
      <c r="B139" s="185"/>
      <c r="C139" s="185" t="str">
        <f>Picks!B139</f>
        <v>Shrewsbury</v>
      </c>
      <c r="D139" s="186">
        <f>Picks!C139</f>
        <v>7</v>
      </c>
      <c r="E139" s="186">
        <f>Picks!D139</f>
        <v>2.25</v>
      </c>
      <c r="F139" s="185">
        <f>IF(C139="","",INDEX(Odds!K:K,MATCH(C139,Odds!G:G,0)))</f>
        <v>1</v>
      </c>
      <c r="G139" s="185">
        <f>IF(C139="","",Picks!M139)</f>
        <v>1</v>
      </c>
      <c r="H139" s="186">
        <f t="shared" si="71"/>
        <v>1.25</v>
      </c>
      <c r="I139" s="194" t="str">
        <f t="shared" si="70"/>
        <v/>
      </c>
      <c r="X139" s="184">
        <f t="shared" si="72"/>
        <v>1.25</v>
      </c>
    </row>
    <row r="140" spans="2:24">
      <c r="B140" s="184" t="str">
        <f>$V48</f>
        <v>Paul Adderley</v>
      </c>
      <c r="C140" s="183" t="str">
        <f>Picks!B140</f>
        <v>Sheff U</v>
      </c>
      <c r="D140" s="184">
        <f>Picks!C140</f>
        <v>7</v>
      </c>
      <c r="E140" s="184">
        <f>Picks!D140</f>
        <v>1.8333333333333335</v>
      </c>
      <c r="F140" s="183">
        <f>IF(C140="","",INDEX(Odds!K:K,MATCH(C140,Odds!G:G,0)))</f>
        <v>1</v>
      </c>
      <c r="G140" s="183">
        <f>IF(C140="","",Picks!M140)</f>
        <v>1</v>
      </c>
      <c r="H140" s="184">
        <f t="shared" si="71"/>
        <v>0.83333333333333348</v>
      </c>
      <c r="I140" s="194" t="str">
        <f t="shared" si="70"/>
        <v/>
      </c>
      <c r="X140" s="184">
        <f t="shared" si="72"/>
        <v>0.83333333333333348</v>
      </c>
    </row>
    <row r="141" spans="2:24">
      <c r="B141" s="183"/>
      <c r="C141" s="183" t="str">
        <f>Picks!B141</f>
        <v>Watford</v>
      </c>
      <c r="D141" s="184">
        <f>Picks!C141</f>
        <v>7</v>
      </c>
      <c r="E141" s="184">
        <f>Picks!D141</f>
        <v>2</v>
      </c>
      <c r="F141" s="183">
        <f>IF(C141="","",INDEX(Odds!K:K,MATCH(C141,Odds!G:G,0)))</f>
        <v>1</v>
      </c>
      <c r="G141" s="183">
        <f>IF(C141="","",Picks!M141)</f>
        <v>0</v>
      </c>
      <c r="H141" s="184">
        <f t="shared" si="71"/>
        <v>0</v>
      </c>
      <c r="I141" s="194" t="str">
        <f t="shared" si="70"/>
        <v/>
      </c>
      <c r="X141" s="184">
        <f t="shared" si="72"/>
        <v>1</v>
      </c>
    </row>
    <row r="142" spans="2:24" ht="13.15" thickBot="1">
      <c r="B142" s="185"/>
      <c r="C142" s="185" t="str">
        <f>Picks!B142</f>
        <v>Sunderland</v>
      </c>
      <c r="D142" s="186">
        <f>Picks!C142</f>
        <v>7</v>
      </c>
      <c r="E142" s="186">
        <f>Picks!D142</f>
        <v>1.9090909090909092</v>
      </c>
      <c r="F142" s="185">
        <f>IF(C142="","",INDEX(Odds!K:K,MATCH(C142,Odds!G:G,0)))</f>
        <v>1</v>
      </c>
      <c r="G142" s="185">
        <f>IF(C142="","",Picks!M142)</f>
        <v>1</v>
      </c>
      <c r="H142" s="186">
        <f t="shared" si="71"/>
        <v>0.90909090909090917</v>
      </c>
      <c r="I142" s="194" t="str">
        <f t="shared" si="70"/>
        <v/>
      </c>
      <c r="X142" s="184">
        <f t="shared" si="72"/>
        <v>0.90909090909090917</v>
      </c>
    </row>
    <row r="143" spans="2:24">
      <c r="B143" s="184" t="str">
        <f>$V49</f>
        <v>Paul Allen</v>
      </c>
      <c r="C143" s="183" t="str">
        <f>Picks!B143</f>
        <v>Southampton draw</v>
      </c>
      <c r="D143" s="184">
        <f>Picks!C143</f>
        <v>7</v>
      </c>
      <c r="E143" s="184">
        <f>Picks!D143</f>
        <v>3.1</v>
      </c>
      <c r="F143" s="183">
        <f>IF(C143="","",INDEX(Odds!K:K,MATCH(C143,Odds!G:G,0)))</f>
        <v>1</v>
      </c>
      <c r="G143" s="183">
        <f>IF(C143="","",Picks!M143)</f>
        <v>0</v>
      </c>
      <c r="H143" s="184">
        <f t="shared" si="71"/>
        <v>0</v>
      </c>
      <c r="I143" s="194" t="str">
        <f t="shared" si="70"/>
        <v/>
      </c>
      <c r="X143" s="184">
        <f t="shared" si="72"/>
        <v>2.1</v>
      </c>
    </row>
    <row r="144" spans="2:24">
      <c r="B144" s="183"/>
      <c r="C144" s="183" t="str">
        <f>Picks!B144</f>
        <v>West Ham draw</v>
      </c>
      <c r="D144" s="184">
        <f>Picks!C144</f>
        <v>7</v>
      </c>
      <c r="E144" s="184">
        <f>Picks!D144</f>
        <v>3.2</v>
      </c>
      <c r="F144" s="183">
        <f>IF(C144="","",INDEX(Odds!K:K,MATCH(C144,Odds!G:G,0)))</f>
        <v>1</v>
      </c>
      <c r="G144" s="183">
        <f>IF(C144="","",Picks!M144)</f>
        <v>1</v>
      </c>
      <c r="H144" s="184">
        <f t="shared" si="71"/>
        <v>2.2000000000000002</v>
      </c>
      <c r="I144" s="194" t="str">
        <f t="shared" si="70"/>
        <v/>
      </c>
      <c r="X144" s="184">
        <f t="shared" si="72"/>
        <v>2.2000000000000002</v>
      </c>
    </row>
    <row r="145" spans="2:24" ht="13.15" thickBot="1">
      <c r="B145" s="185"/>
      <c r="C145" s="185" t="str">
        <f>Picks!B145</f>
        <v>Palace draw</v>
      </c>
      <c r="D145" s="186">
        <f>Picks!C145</f>
        <v>7</v>
      </c>
      <c r="E145" s="186">
        <f>Picks!D145</f>
        <v>3.3</v>
      </c>
      <c r="F145" s="185">
        <f>IF(C145="","",INDEX(Odds!K:K,MATCH(C145,Odds!G:G,0)))</f>
        <v>1</v>
      </c>
      <c r="G145" s="185">
        <f>IF(C145="","",Picks!M145)</f>
        <v>1</v>
      </c>
      <c r="H145" s="186">
        <f t="shared" si="71"/>
        <v>2.2999999999999998</v>
      </c>
      <c r="I145" s="194" t="str">
        <f t="shared" si="70"/>
        <v/>
      </c>
      <c r="X145" s="184">
        <f t="shared" si="72"/>
        <v>2.2999999999999998</v>
      </c>
    </row>
    <row r="146" spans="2:24">
      <c r="B146" s="184" t="str">
        <f>$V50</f>
        <v>Paul Barnes</v>
      </c>
      <c r="C146" s="183" t="str">
        <f>Picks!B146</f>
        <v>Wolves</v>
      </c>
      <c r="D146" s="184">
        <f>Picks!C146</f>
        <v>7</v>
      </c>
      <c r="E146" s="184">
        <f>Picks!D146</f>
        <v>2.625</v>
      </c>
      <c r="F146" s="183">
        <f>IF(C146="","",INDEX(Odds!K:K,MATCH(C146,Odds!G:G,0)))</f>
        <v>1</v>
      </c>
      <c r="G146" s="183">
        <f>IF(C146="","",Picks!M146)</f>
        <v>1</v>
      </c>
      <c r="H146" s="184">
        <f t="shared" si="71"/>
        <v>1.625</v>
      </c>
      <c r="I146" s="194" t="str">
        <f t="shared" si="70"/>
        <v/>
      </c>
      <c r="X146" s="184">
        <f t="shared" si="72"/>
        <v>1.625</v>
      </c>
    </row>
    <row r="147" spans="2:24">
      <c r="B147" s="183"/>
      <c r="C147" s="183" t="str">
        <f>Picks!B147</f>
        <v>West Ham</v>
      </c>
      <c r="D147" s="184">
        <f>Picks!C147</f>
        <v>7</v>
      </c>
      <c r="E147" s="184">
        <f>Picks!D147</f>
        <v>3.3</v>
      </c>
      <c r="F147" s="183">
        <f>IF(C147="","",INDEX(Odds!K:K,MATCH(C147,Odds!G:G,0)))</f>
        <v>1</v>
      </c>
      <c r="G147" s="183">
        <f>IF(C147="","",Picks!M147)</f>
        <v>0</v>
      </c>
      <c r="H147" s="184">
        <f t="shared" si="71"/>
        <v>0</v>
      </c>
      <c r="I147" s="194" t="str">
        <f t="shared" si="70"/>
        <v/>
      </c>
      <c r="X147" s="184">
        <f t="shared" si="72"/>
        <v>2.2999999999999998</v>
      </c>
    </row>
    <row r="148" spans="2:24" ht="13.15" thickBot="1">
      <c r="B148" s="185"/>
      <c r="C148" s="185" t="str">
        <f>Picks!B148</f>
        <v>Man U</v>
      </c>
      <c r="D148" s="186">
        <f>Picks!C148</f>
        <v>1</v>
      </c>
      <c r="E148" s="186">
        <f>Picks!D148</f>
        <v>1.75</v>
      </c>
      <c r="F148" s="185">
        <f>IF(C148="","",INDEX(Odds!K:K,MATCH(C148,Odds!G:G,0)))</f>
        <v>1</v>
      </c>
      <c r="G148" s="185">
        <f>IF(C148="","",Picks!M148)</f>
        <v>1</v>
      </c>
      <c r="H148" s="186">
        <f t="shared" si="71"/>
        <v>0.75</v>
      </c>
      <c r="I148" s="194" t="str">
        <f t="shared" si="70"/>
        <v/>
      </c>
      <c r="X148" s="184">
        <f t="shared" si="72"/>
        <v>0.75</v>
      </c>
    </row>
    <row r="149" spans="2:24">
      <c r="B149" s="184" t="str">
        <f>$V51</f>
        <v>Paul England</v>
      </c>
      <c r="C149" s="183" t="str">
        <f>Picks!B149</f>
        <v>Swindon</v>
      </c>
      <c r="D149" s="184">
        <f>Picks!C149</f>
        <v>7</v>
      </c>
      <c r="E149" s="184">
        <f>Picks!D149</f>
        <v>2.1</v>
      </c>
      <c r="F149" s="183">
        <f>IF(C149="","",INDEX(Odds!K:K,MATCH(C149,Odds!G:G,0)))</f>
        <v>1</v>
      </c>
      <c r="G149" s="183">
        <f>IF(C149="","",Picks!M149)</f>
        <v>0</v>
      </c>
      <c r="H149" s="184">
        <f t="shared" si="71"/>
        <v>0</v>
      </c>
      <c r="I149" s="194" t="str">
        <f t="shared" si="70"/>
        <v/>
      </c>
      <c r="X149" s="184">
        <f t="shared" si="72"/>
        <v>1.1000000000000001</v>
      </c>
    </row>
    <row r="150" spans="2:24">
      <c r="B150" s="183"/>
      <c r="C150" s="183" t="str">
        <f>Picks!B150</f>
        <v>Mansfield</v>
      </c>
      <c r="D150" s="184">
        <f>Picks!C150</f>
        <v>7</v>
      </c>
      <c r="E150" s="184">
        <f>Picks!D150</f>
        <v>1.7</v>
      </c>
      <c r="F150" s="183">
        <f>IF(C150="","",INDEX(Odds!K:K,MATCH(C150,Odds!G:G,0)))</f>
        <v>1</v>
      </c>
      <c r="G150" s="183">
        <f>IF(C150="","",Picks!M150)</f>
        <v>1</v>
      </c>
      <c r="H150" s="184">
        <f t="shared" si="71"/>
        <v>0.7</v>
      </c>
      <c r="I150" s="194" t="str">
        <f t="shared" si="70"/>
        <v/>
      </c>
      <c r="X150" s="184">
        <f t="shared" si="72"/>
        <v>0.7</v>
      </c>
    </row>
    <row r="151" spans="2:24" ht="13.15" thickBot="1">
      <c r="B151" s="185"/>
      <c r="C151" s="185" t="str">
        <f>Picks!B151</f>
        <v>Barnsley</v>
      </c>
      <c r="D151" s="186">
        <f>Picks!C151</f>
        <v>7</v>
      </c>
      <c r="E151" s="186">
        <f>Picks!D151</f>
        <v>1.5</v>
      </c>
      <c r="F151" s="185">
        <f>IF(C151="","",INDEX(Odds!K:K,MATCH(C151,Odds!G:G,0)))</f>
        <v>1</v>
      </c>
      <c r="G151" s="185">
        <f>IF(C151="","",Picks!M151)</f>
        <v>1</v>
      </c>
      <c r="H151" s="186">
        <f t="shared" si="71"/>
        <v>0.5</v>
      </c>
      <c r="I151" s="194" t="str">
        <f t="shared" si="70"/>
        <v/>
      </c>
      <c r="X151" s="184">
        <f t="shared" si="72"/>
        <v>0.5</v>
      </c>
    </row>
    <row r="152" spans="2:24">
      <c r="B152" s="184" t="str">
        <f>$V52</f>
        <v>Paul Fairhurst</v>
      </c>
      <c r="C152" s="183" t="str">
        <f>Picks!B152</f>
        <v>Bristol C</v>
      </c>
      <c r="D152" s="184">
        <f>Picks!C152</f>
        <v>7</v>
      </c>
      <c r="E152" s="184">
        <f>Picks!D152</f>
        <v>3</v>
      </c>
      <c r="F152" s="183">
        <f>IF(C152="","",INDEX(Odds!K:K,MATCH(C152,Odds!G:G,0)))</f>
        <v>1</v>
      </c>
      <c r="G152" s="183">
        <f>IF(C152="","",Picks!M152)</f>
        <v>1</v>
      </c>
      <c r="H152" s="184">
        <f t="shared" si="71"/>
        <v>2</v>
      </c>
      <c r="I152" s="194" t="str">
        <f t="shared" si="70"/>
        <v/>
      </c>
      <c r="X152" s="184">
        <f t="shared" si="72"/>
        <v>2</v>
      </c>
    </row>
    <row r="153" spans="2:24">
      <c r="B153" s="183"/>
      <c r="C153" s="183" t="str">
        <f>Picks!B153</f>
        <v>Burnley draw</v>
      </c>
      <c r="D153" s="184">
        <f>Picks!C153</f>
        <v>7</v>
      </c>
      <c r="E153" s="184">
        <f>Picks!D153</f>
        <v>3.9</v>
      </c>
      <c r="F153" s="183">
        <f>IF(C153="","",INDEX(Odds!K:K,MATCH(C153,Odds!G:G,0)))</f>
        <v>1</v>
      </c>
      <c r="G153" s="183">
        <f>IF(C153="","",Picks!M153)</f>
        <v>0</v>
      </c>
      <c r="H153" s="184">
        <f t="shared" si="71"/>
        <v>0</v>
      </c>
      <c r="I153" s="194" t="str">
        <f t="shared" si="70"/>
        <v/>
      </c>
      <c r="X153" s="184">
        <f t="shared" si="72"/>
        <v>2.9</v>
      </c>
    </row>
    <row r="154" spans="2:24" ht="13.15" thickBot="1">
      <c r="B154" s="185"/>
      <c r="C154" s="185" t="str">
        <f>Picks!B154</f>
        <v>Sunderland</v>
      </c>
      <c r="D154" s="186">
        <f>Picks!C154</f>
        <v>7</v>
      </c>
      <c r="E154" s="186">
        <f>Picks!D154</f>
        <v>1.9090909090909092</v>
      </c>
      <c r="F154" s="185">
        <f>IF(C154="","",INDEX(Odds!K:K,MATCH(C154,Odds!G:G,0)))</f>
        <v>1</v>
      </c>
      <c r="G154" s="185">
        <f>IF(C154="","",Picks!M154)</f>
        <v>1</v>
      </c>
      <c r="H154" s="186">
        <f t="shared" si="71"/>
        <v>0.90909090909090917</v>
      </c>
      <c r="I154" s="194" t="str">
        <f t="shared" si="70"/>
        <v/>
      </c>
      <c r="X154" s="184">
        <f t="shared" si="72"/>
        <v>0.90909090909090917</v>
      </c>
    </row>
    <row r="155" spans="2:24">
      <c r="B155" s="184" t="str">
        <f>$V53</f>
        <v>Paul Fiddler</v>
      </c>
      <c r="C155" s="183" t="str">
        <f>Picks!B155</f>
        <v>Wigan</v>
      </c>
      <c r="D155" s="184">
        <f>Picks!C155</f>
        <v>7</v>
      </c>
      <c r="E155" s="184">
        <f>Picks!D155</f>
        <v>2.375</v>
      </c>
      <c r="F155" s="183">
        <f>IF(C155="","",INDEX(Odds!K:K,MATCH(C155,Odds!G:G,0)))</f>
        <v>1</v>
      </c>
      <c r="G155" s="183">
        <f>IF(C155="","",Picks!M155)</f>
        <v>1</v>
      </c>
      <c r="H155" s="184">
        <f t="shared" si="71"/>
        <v>1.375</v>
      </c>
      <c r="I155" s="194" t="str">
        <f t="shared" si="70"/>
        <v/>
      </c>
      <c r="X155" s="184">
        <f t="shared" si="72"/>
        <v>1.375</v>
      </c>
    </row>
    <row r="156" spans="2:24">
      <c r="B156" s="183"/>
      <c r="C156" s="183" t="str">
        <f>Picks!B156</f>
        <v>Barnsley</v>
      </c>
      <c r="D156" s="184">
        <f>Picks!C156</f>
        <v>7</v>
      </c>
      <c r="E156" s="184">
        <f>Picks!D156</f>
        <v>1.5</v>
      </c>
      <c r="F156" s="183">
        <f>IF(C156="","",INDEX(Odds!K:K,MATCH(C156,Odds!G:G,0)))</f>
        <v>1</v>
      </c>
      <c r="G156" s="183">
        <f>IF(C156="","",Picks!M156)</f>
        <v>1</v>
      </c>
      <c r="H156" s="184">
        <f t="shared" si="71"/>
        <v>0.5</v>
      </c>
      <c r="I156" s="194" t="str">
        <f t="shared" si="70"/>
        <v/>
      </c>
      <c r="X156" s="184">
        <f t="shared" si="72"/>
        <v>0.5</v>
      </c>
    </row>
    <row r="157" spans="2:24" ht="13.15" thickBot="1">
      <c r="B157" s="185"/>
      <c r="C157" s="185" t="str">
        <f>Picks!B157</f>
        <v>Newcastle</v>
      </c>
      <c r="D157" s="186">
        <f>Picks!C157</f>
        <v>7</v>
      </c>
      <c r="E157" s="186">
        <f>Picks!D157</f>
        <v>1.5</v>
      </c>
      <c r="F157" s="185">
        <f>IF(C157="","",INDEX(Odds!K:K,MATCH(C157,Odds!G:G,0)))</f>
        <v>1</v>
      </c>
      <c r="G157" s="185">
        <f>IF(C157="","",Picks!M157)</f>
        <v>0</v>
      </c>
      <c r="H157" s="186">
        <f t="shared" si="71"/>
        <v>0</v>
      </c>
      <c r="I157" s="194" t="str">
        <f t="shared" si="70"/>
        <v/>
      </c>
      <c r="X157" s="184">
        <f t="shared" si="72"/>
        <v>0.5</v>
      </c>
    </row>
    <row r="158" spans="2:24">
      <c r="B158" s="184" t="str">
        <f>$V54</f>
        <v>Pete Baron</v>
      </c>
      <c r="C158" s="183" t="str">
        <f>Picks!B158</f>
        <v>Wolves</v>
      </c>
      <c r="D158" s="184">
        <f>Picks!C158</f>
        <v>7</v>
      </c>
      <c r="E158" s="184">
        <f>Picks!D158</f>
        <v>2.625</v>
      </c>
      <c r="F158" s="183">
        <f>IF(C158="","",INDEX(Odds!K:K,MATCH(C158,Odds!G:G,0)))</f>
        <v>1</v>
      </c>
      <c r="G158" s="183">
        <f>IF(C158="","",Picks!M158)</f>
        <v>1</v>
      </c>
      <c r="H158" s="184">
        <f t="shared" si="71"/>
        <v>1.625</v>
      </c>
      <c r="I158" s="194" t="str">
        <f t="shared" si="70"/>
        <v/>
      </c>
      <c r="X158" s="184">
        <f t="shared" si="72"/>
        <v>1.625</v>
      </c>
    </row>
    <row r="159" spans="2:24">
      <c r="B159" s="183"/>
      <c r="C159" s="183" t="str">
        <f>Picks!B159</f>
        <v>Millwall</v>
      </c>
      <c r="D159" s="184">
        <f>Picks!C159</f>
        <v>7</v>
      </c>
      <c r="E159" s="184">
        <f>Picks!D159</f>
        <v>2.75</v>
      </c>
      <c r="F159" s="183">
        <f>IF(C159="","",INDEX(Odds!K:K,MATCH(C159,Odds!G:G,0)))</f>
        <v>1</v>
      </c>
      <c r="G159" s="183">
        <f>IF(C159="","",Picks!M159)</f>
        <v>1</v>
      </c>
      <c r="H159" s="184">
        <f t="shared" si="71"/>
        <v>1.75</v>
      </c>
      <c r="I159" s="194" t="str">
        <f t="shared" si="70"/>
        <v/>
      </c>
      <c r="X159" s="184">
        <f t="shared" si="72"/>
        <v>1.75</v>
      </c>
    </row>
    <row r="160" spans="2:24" ht="13.15" thickBot="1">
      <c r="B160" s="185"/>
      <c r="C160" s="185" t="str">
        <f>Picks!B160</f>
        <v>Ipswich draw</v>
      </c>
      <c r="D160" s="186">
        <f>Picks!C160</f>
        <v>7</v>
      </c>
      <c r="E160" s="186">
        <f>Picks!D160</f>
        <v>3.3</v>
      </c>
      <c r="F160" s="185">
        <f>IF(C160="","",INDEX(Odds!K:K,MATCH(C160,Odds!G:G,0)))</f>
        <v>1</v>
      </c>
      <c r="G160" s="185">
        <f>IF(C160="","",Picks!M160)</f>
        <v>1</v>
      </c>
      <c r="H160" s="186">
        <f t="shared" si="71"/>
        <v>2.2999999999999998</v>
      </c>
      <c r="I160" s="194" t="str">
        <f t="shared" si="70"/>
        <v/>
      </c>
      <c r="X160" s="184">
        <f t="shared" si="72"/>
        <v>2.2999999999999998</v>
      </c>
    </row>
    <row r="161" spans="2:24">
      <c r="B161" s="184" t="str">
        <f>$V55</f>
        <v>Phil Miller</v>
      </c>
      <c r="C161" s="183" t="str">
        <f>Picks!B161</f>
        <v/>
      </c>
      <c r="D161" s="184" t="str">
        <f>Picks!C161</f>
        <v/>
      </c>
      <c r="E161" s="184" t="str">
        <f>Picks!D161</f>
        <v/>
      </c>
      <c r="F161" s="183" t="str">
        <f>IF(C161="","",INDEX(Odds!K:K,MATCH(C161,Odds!G:G,0)))</f>
        <v/>
      </c>
      <c r="G161" s="183" t="str">
        <f>IF(C161="","",Picks!M161)</f>
        <v/>
      </c>
      <c r="H161" s="184" t="str">
        <f t="shared" si="71"/>
        <v/>
      </c>
      <c r="I161" s="194" t="str">
        <f t="shared" si="70"/>
        <v/>
      </c>
      <c r="X161" s="184" t="e">
        <f t="shared" si="72"/>
        <v>#VALUE!</v>
      </c>
    </row>
    <row r="162" spans="2:24">
      <c r="B162" s="183"/>
      <c r="C162" s="183" t="str">
        <f>Picks!B162</f>
        <v/>
      </c>
      <c r="D162" s="184" t="str">
        <f>Picks!C162</f>
        <v/>
      </c>
      <c r="E162" s="184" t="str">
        <f>Picks!D162</f>
        <v/>
      </c>
      <c r="F162" s="183" t="str">
        <f>IF(C162="","",INDEX(Odds!K:K,MATCH(C162,Odds!G:G,0)))</f>
        <v/>
      </c>
      <c r="G162" s="183" t="str">
        <f>IF(C162="","",Picks!M162)</f>
        <v/>
      </c>
      <c r="H162" s="184" t="str">
        <f t="shared" si="71"/>
        <v/>
      </c>
      <c r="I162" s="194" t="str">
        <f t="shared" si="70"/>
        <v/>
      </c>
      <c r="X162" s="184" t="e">
        <f t="shared" si="72"/>
        <v>#VALUE!</v>
      </c>
    </row>
    <row r="163" spans="2:24" ht="13.15" thickBot="1">
      <c r="B163" s="185"/>
      <c r="C163" s="185" t="str">
        <f>Picks!B163</f>
        <v/>
      </c>
      <c r="D163" s="186" t="str">
        <f>Picks!C163</f>
        <v/>
      </c>
      <c r="E163" s="186" t="str">
        <f>Picks!D163</f>
        <v/>
      </c>
      <c r="F163" s="185" t="str">
        <f>IF(C163="","",INDEX(Odds!K:K,MATCH(C163,Odds!G:G,0)))</f>
        <v/>
      </c>
      <c r="G163" s="185" t="str">
        <f>IF(C163="","",Picks!M163)</f>
        <v/>
      </c>
      <c r="H163" s="186" t="str">
        <f t="shared" si="71"/>
        <v/>
      </c>
      <c r="I163" s="194" t="str">
        <f t="shared" si="70"/>
        <v/>
      </c>
      <c r="X163" s="184" t="e">
        <f t="shared" si="72"/>
        <v>#VALUE!</v>
      </c>
    </row>
    <row r="164" spans="2:24">
      <c r="B164" s="184" t="str">
        <f>$V56</f>
        <v>Rob England</v>
      </c>
      <c r="C164" s="183" t="str">
        <f>Picks!B164</f>
        <v>Blackpool</v>
      </c>
      <c r="D164" s="184">
        <f>Picks!C164</f>
        <v>7</v>
      </c>
      <c r="E164" s="184">
        <f>Picks!D164</f>
        <v>2.15</v>
      </c>
      <c r="F164" s="183">
        <f>IF(C164="","",INDEX(Odds!K:K,MATCH(C164,Odds!G:G,0)))</f>
        <v>1</v>
      </c>
      <c r="G164" s="183">
        <f>IF(C164="","",Picks!M164)</f>
        <v>0</v>
      </c>
      <c r="H164" s="184">
        <f t="shared" si="71"/>
        <v>0</v>
      </c>
      <c r="I164" s="194" t="str">
        <f t="shared" si="70"/>
        <v/>
      </c>
      <c r="X164" s="184">
        <f t="shared" si="72"/>
        <v>1.1499999999999999</v>
      </c>
    </row>
    <row r="165" spans="2:24">
      <c r="B165" s="183"/>
      <c r="C165" s="183" t="str">
        <f>Picks!B165</f>
        <v>Ipswich</v>
      </c>
      <c r="D165" s="184">
        <f>Picks!C165</f>
        <v>7</v>
      </c>
      <c r="E165" s="184">
        <f>Picks!D165</f>
        <v>2.1</v>
      </c>
      <c r="F165" s="183">
        <f>IF(C165="","",INDEX(Odds!K:K,MATCH(C165,Odds!G:G,0)))</f>
        <v>1</v>
      </c>
      <c r="G165" s="183">
        <f>IF(C165="","",Picks!M165)</f>
        <v>0</v>
      </c>
      <c r="H165" s="184">
        <f t="shared" si="71"/>
        <v>0</v>
      </c>
      <c r="I165" s="194" t="str">
        <f t="shared" si="70"/>
        <v/>
      </c>
      <c r="X165" s="184">
        <f t="shared" si="72"/>
        <v>1.1000000000000001</v>
      </c>
    </row>
    <row r="166" spans="2:24" ht="13.15" thickBot="1">
      <c r="B166" s="185"/>
      <c r="C166" s="185" t="str">
        <f>Picks!B166</f>
        <v>Man C</v>
      </c>
      <c r="D166" s="186">
        <f>Picks!C166</f>
        <v>1</v>
      </c>
      <c r="E166" s="186">
        <f>Picks!D166</f>
        <v>1.2222222222222223</v>
      </c>
      <c r="F166" s="185">
        <f>IF(C166="","",INDEX(Odds!K:K,MATCH(C166,Odds!G:G,0)))</f>
        <v>1</v>
      </c>
      <c r="G166" s="185">
        <f>IF(C166="","",Picks!M166)</f>
        <v>1</v>
      </c>
      <c r="H166" s="186">
        <f t="shared" si="71"/>
        <v>0.22222222222222232</v>
      </c>
      <c r="I166" s="194" t="str">
        <f t="shared" si="70"/>
        <v/>
      </c>
      <c r="X166" s="184">
        <f t="shared" si="72"/>
        <v>0.22222222222222232</v>
      </c>
    </row>
    <row r="167" spans="2:24">
      <c r="B167" s="184" t="str">
        <f>$V57</f>
        <v>Sally Williams</v>
      </c>
      <c r="C167" s="183" t="str">
        <f>Picks!B167</f>
        <v>Wigan</v>
      </c>
      <c r="D167" s="184">
        <f>Picks!C167</f>
        <v>7</v>
      </c>
      <c r="E167" s="184">
        <f>Picks!D167</f>
        <v>2.375</v>
      </c>
      <c r="F167" s="183">
        <f>IF(C167="","",INDEX(Odds!K:K,MATCH(C167,Odds!G:G,0)))</f>
        <v>1</v>
      </c>
      <c r="G167" s="183">
        <f>IF(C167="","",Picks!M167)</f>
        <v>1</v>
      </c>
      <c r="H167" s="184">
        <f t="shared" si="71"/>
        <v>1.375</v>
      </c>
      <c r="I167" s="194" t="str">
        <f t="shared" si="70"/>
        <v/>
      </c>
      <c r="X167" s="184">
        <f t="shared" si="72"/>
        <v>1.375</v>
      </c>
    </row>
    <row r="168" spans="2:24">
      <c r="B168" s="183"/>
      <c r="C168" s="183" t="str">
        <f>Picks!B168</f>
        <v>Bolton</v>
      </c>
      <c r="D168" s="184">
        <f>Picks!C168</f>
        <v>7</v>
      </c>
      <c r="E168" s="184">
        <f>Picks!D168</f>
        <v>3</v>
      </c>
      <c r="F168" s="183">
        <f>IF(C168="","",INDEX(Odds!K:K,MATCH(C168,Odds!G:G,0)))</f>
        <v>1</v>
      </c>
      <c r="G168" s="183">
        <f>IF(C168="","",Picks!M168)</f>
        <v>1</v>
      </c>
      <c r="H168" s="184">
        <f t="shared" si="71"/>
        <v>2</v>
      </c>
      <c r="I168" s="194" t="str">
        <f t="shared" si="70"/>
        <v/>
      </c>
      <c r="X168" s="184">
        <f t="shared" si="72"/>
        <v>2</v>
      </c>
    </row>
    <row r="169" spans="2:24" ht="13.15" thickBot="1">
      <c r="B169" s="185"/>
      <c r="C169" s="185" t="str">
        <f>Picks!B169</f>
        <v>Salford</v>
      </c>
      <c r="D169" s="186">
        <f>Picks!C169</f>
        <v>7</v>
      </c>
      <c r="E169" s="186">
        <f>Picks!D169</f>
        <v>3.1</v>
      </c>
      <c r="F169" s="185">
        <f>IF(C169="","",INDEX(Odds!K:K,MATCH(C169,Odds!G:G,0)))</f>
        <v>1</v>
      </c>
      <c r="G169" s="185">
        <f>IF(C169="","",Picks!M169)</f>
        <v>0</v>
      </c>
      <c r="H169" s="186">
        <f t="shared" si="71"/>
        <v>0</v>
      </c>
      <c r="I169" s="194" t="str">
        <f t="shared" si="70"/>
        <v/>
      </c>
      <c r="X169" s="184">
        <f t="shared" si="72"/>
        <v>2.1</v>
      </c>
    </row>
    <row r="170" spans="2:24">
      <c r="B170" s="184" t="str">
        <f>$V58</f>
        <v>Simon Greenhalgh</v>
      </c>
      <c r="C170" s="183" t="str">
        <f>Picks!B170</f>
        <v>Sheff W</v>
      </c>
      <c r="D170" s="184">
        <f>Picks!C170</f>
        <v>7</v>
      </c>
      <c r="E170" s="184">
        <f>Picks!D170</f>
        <v>3.4</v>
      </c>
      <c r="F170" s="183">
        <f>IF(C170="","",INDEX(Odds!K:K,MATCH(C170,Odds!G:G,0)))</f>
        <v>1</v>
      </c>
      <c r="G170" s="183">
        <f>IF(C170="","",Picks!M170)</f>
        <v>0</v>
      </c>
      <c r="H170" s="184">
        <f t="shared" si="71"/>
        <v>0</v>
      </c>
      <c r="I170" s="194" t="str">
        <f t="shared" si="70"/>
        <v/>
      </c>
      <c r="X170" s="184">
        <f t="shared" si="72"/>
        <v>2.4</v>
      </c>
    </row>
    <row r="171" spans="2:24">
      <c r="B171" s="183"/>
      <c r="C171" s="183" t="str">
        <f>Picks!B171</f>
        <v>Bradford</v>
      </c>
      <c r="D171" s="184">
        <f>Picks!C171</f>
        <v>7</v>
      </c>
      <c r="E171" s="184">
        <f>Picks!D171</f>
        <v>4.2</v>
      </c>
      <c r="F171" s="183">
        <f>IF(C171="","",INDEX(Odds!K:K,MATCH(C171,Odds!G:G,0)))</f>
        <v>1</v>
      </c>
      <c r="G171" s="183">
        <f>IF(C171="","",Picks!M171)</f>
        <v>1</v>
      </c>
      <c r="H171" s="184">
        <f t="shared" si="71"/>
        <v>3.2</v>
      </c>
      <c r="I171" s="194" t="str">
        <f t="shared" si="70"/>
        <v/>
      </c>
      <c r="X171" s="184">
        <f t="shared" si="72"/>
        <v>3.2</v>
      </c>
    </row>
    <row r="172" spans="2:24" ht="13.15" thickBot="1">
      <c r="B172" s="185"/>
      <c r="C172" s="185" t="str">
        <f>Picks!B172</f>
        <v>Salford</v>
      </c>
      <c r="D172" s="186">
        <f>Picks!C172</f>
        <v>7</v>
      </c>
      <c r="E172" s="186">
        <f>Picks!D172</f>
        <v>3.1</v>
      </c>
      <c r="F172" s="185">
        <f>IF(C172="","",INDEX(Odds!K:K,MATCH(C172,Odds!G:G,0)))</f>
        <v>1</v>
      </c>
      <c r="G172" s="183">
        <f>IF(C172="","",Picks!M172)</f>
        <v>0</v>
      </c>
      <c r="H172" s="186">
        <f t="shared" si="71"/>
        <v>0</v>
      </c>
      <c r="I172" s="194" t="str">
        <f t="shared" si="70"/>
        <v/>
      </c>
      <c r="X172" s="184">
        <f t="shared" si="72"/>
        <v>2.1</v>
      </c>
    </row>
    <row r="173" spans="2:24">
      <c r="B173" s="184" t="str">
        <f>$V59</f>
        <v>Stephen Barr</v>
      </c>
      <c r="C173" s="183" t="str">
        <f>Picks!B173</f>
        <v>Middlesbro</v>
      </c>
      <c r="D173" s="184">
        <f>Picks!C173</f>
        <v>7</v>
      </c>
      <c r="E173" s="184">
        <f>Picks!D173</f>
        <v>2.15</v>
      </c>
      <c r="F173" s="183">
        <f>IF(C173="","",INDEX(Odds!K:K,MATCH(C173,Odds!G:G,0)))</f>
        <v>1</v>
      </c>
      <c r="G173" s="617">
        <f>IF(C173="","",Picks!M173)</f>
        <v>1</v>
      </c>
      <c r="H173" s="184">
        <f t="shared" si="71"/>
        <v>1.1499999999999999</v>
      </c>
      <c r="I173" s="194" t="str">
        <f t="shared" si="70"/>
        <v/>
      </c>
      <c r="X173" s="184">
        <f t="shared" si="72"/>
        <v>1.1499999999999999</v>
      </c>
    </row>
    <row r="174" spans="2:24">
      <c r="B174" s="183"/>
      <c r="C174" s="183" t="str">
        <f>Picks!B174</f>
        <v>West Brom</v>
      </c>
      <c r="D174" s="184">
        <f>Picks!C174</f>
        <v>6</v>
      </c>
      <c r="E174" s="184">
        <f>Picks!D174</f>
        <v>2.0499999999999998</v>
      </c>
      <c r="F174" s="183">
        <f>IF(C174="","",INDEX(Odds!K:K,MATCH(C174,Odds!G:G,0)))</f>
        <v>1</v>
      </c>
      <c r="G174" s="183">
        <f>IF(C174="","",Picks!M174)</f>
        <v>0</v>
      </c>
      <c r="H174" s="184">
        <f t="shared" si="71"/>
        <v>0</v>
      </c>
      <c r="I174" s="194" t="str">
        <f t="shared" si="70"/>
        <v/>
      </c>
      <c r="X174" s="184">
        <f t="shared" si="72"/>
        <v>1.0499999999999998</v>
      </c>
    </row>
    <row r="175" spans="2:24" ht="13.15" thickBot="1">
      <c r="B175" s="185"/>
      <c r="C175" s="185" t="str">
        <f>Picks!B175</f>
        <v>Shrewsbury</v>
      </c>
      <c r="D175" s="186">
        <f>Picks!C175</f>
        <v>7</v>
      </c>
      <c r="E175" s="186">
        <f>Picks!D175</f>
        <v>2.25</v>
      </c>
      <c r="F175" s="185">
        <f>IF(C175="","",INDEX(Odds!K:K,MATCH(C175,Odds!G:G,0)))</f>
        <v>1</v>
      </c>
      <c r="G175" s="185">
        <f>IF(C175="","",Picks!M175)</f>
        <v>1</v>
      </c>
      <c r="H175" s="186">
        <f t="shared" si="71"/>
        <v>1.25</v>
      </c>
      <c r="I175" s="194" t="str">
        <f t="shared" si="70"/>
        <v/>
      </c>
      <c r="X175" s="184">
        <f t="shared" si="72"/>
        <v>1.25</v>
      </c>
    </row>
    <row r="176" spans="2:24">
      <c r="B176" s="184" t="str">
        <f>$V60</f>
        <v>Steve Carter</v>
      </c>
      <c r="C176" s="183" t="str">
        <f>Picks!B176</f>
        <v>Charlton</v>
      </c>
      <c r="D176" s="184">
        <f>Picks!C176</f>
        <v>7</v>
      </c>
      <c r="E176" s="184">
        <f>Picks!D176</f>
        <v>2</v>
      </c>
      <c r="F176" s="183">
        <f>IF(C176="","",INDEX(Odds!K:K,MATCH(C176,Odds!G:G,0)))</f>
        <v>1</v>
      </c>
      <c r="G176" s="617">
        <f>IF(C176="","",Picks!M176)</f>
        <v>0</v>
      </c>
      <c r="H176" s="184">
        <f t="shared" ref="H176:H178" si="73">IF(C176="","",+((E176-1)*G176*F176*A$2))</f>
        <v>0</v>
      </c>
      <c r="I176" s="194" t="str">
        <f t="shared" si="70"/>
        <v/>
      </c>
      <c r="X176" s="184">
        <f t="shared" si="72"/>
        <v>1</v>
      </c>
    </row>
    <row r="177" spans="2:25">
      <c r="B177" s="183"/>
      <c r="C177" s="183" t="str">
        <f>Picks!B177</f>
        <v>Morecambe</v>
      </c>
      <c r="D177" s="184">
        <f>Picks!C177</f>
        <v>7</v>
      </c>
      <c r="E177" s="184">
        <f>Picks!D177</f>
        <v>2.4</v>
      </c>
      <c r="F177" s="183">
        <f>IF(C177="","",INDEX(Odds!K:K,MATCH(C177,Odds!G:G,0)))</f>
        <v>1</v>
      </c>
      <c r="G177" s="183">
        <f>IF(C177="","",Picks!M177)</f>
        <v>0</v>
      </c>
      <c r="H177" s="184">
        <f t="shared" si="73"/>
        <v>0</v>
      </c>
      <c r="I177" s="194" t="str">
        <f t="shared" si="70"/>
        <v/>
      </c>
      <c r="X177" s="184">
        <f t="shared" si="72"/>
        <v>1.4</v>
      </c>
    </row>
    <row r="178" spans="2:25" ht="13.15" thickBot="1">
      <c r="B178" s="185"/>
      <c r="C178" s="185" t="str">
        <f>Picks!B178</f>
        <v>Shrewsbury</v>
      </c>
      <c r="D178" s="186">
        <f>Picks!C178</f>
        <v>7</v>
      </c>
      <c r="E178" s="186">
        <f>Picks!D178</f>
        <v>2.25</v>
      </c>
      <c r="F178" s="185">
        <f>IF(C178="","",INDEX(Odds!K:K,MATCH(C178,Odds!G:G,0)))</f>
        <v>1</v>
      </c>
      <c r="G178" s="185">
        <f>IF(C178="","",Picks!M178)</f>
        <v>1</v>
      </c>
      <c r="H178" s="186">
        <f t="shared" si="73"/>
        <v>1.25</v>
      </c>
      <c r="I178" s="194" t="str">
        <f t="shared" si="70"/>
        <v/>
      </c>
      <c r="X178" s="184">
        <f t="shared" si="72"/>
        <v>1.25</v>
      </c>
    </row>
    <row r="179" spans="2:25">
      <c r="B179" s="184" t="str">
        <f>$V61</f>
        <v>Tom Robinson</v>
      </c>
      <c r="C179" s="183" t="str">
        <f>Picks!B179</f>
        <v>Mansfield</v>
      </c>
      <c r="D179" s="184">
        <f>Picks!C179</f>
        <v>7</v>
      </c>
      <c r="E179" s="184">
        <f>Picks!D179</f>
        <v>1.7</v>
      </c>
      <c r="F179" s="183">
        <f>IF(C179="","",INDEX(Odds!K:K,MATCH(C179,Odds!G:G,0)))</f>
        <v>1</v>
      </c>
      <c r="G179" s="617">
        <f>IF(C179="","",Picks!M179)</f>
        <v>1</v>
      </c>
      <c r="H179" s="184">
        <f t="shared" ref="H179:H184" si="74">IF(C179="","",+((E179-1)*G179*F179*A$2))</f>
        <v>0.7</v>
      </c>
      <c r="I179" s="194" t="str">
        <f t="shared" si="70"/>
        <v/>
      </c>
      <c r="X179" s="184">
        <f t="shared" si="72"/>
        <v>0.7</v>
      </c>
    </row>
    <row r="180" spans="2:25">
      <c r="B180" s="183"/>
      <c r="C180" s="183" t="str">
        <f>Picks!B180</f>
        <v>Northampton</v>
      </c>
      <c r="D180" s="184">
        <f>Picks!C180</f>
        <v>7</v>
      </c>
      <c r="E180" s="184">
        <f>Picks!D180</f>
        <v>3.1</v>
      </c>
      <c r="F180" s="183">
        <f>IF(C180="","",INDEX(Odds!K:K,MATCH(C180,Odds!G:G,0)))</f>
        <v>1</v>
      </c>
      <c r="G180" s="183">
        <f>IF(C180="","",Picks!M180)</f>
        <v>0</v>
      </c>
      <c r="H180" s="184">
        <f t="shared" si="74"/>
        <v>0</v>
      </c>
      <c r="I180" s="194" t="str">
        <f t="shared" si="70"/>
        <v/>
      </c>
      <c r="X180" s="184">
        <f t="shared" si="72"/>
        <v>2.1</v>
      </c>
    </row>
    <row r="181" spans="2:25" ht="13.15" thickBot="1">
      <c r="B181" s="185"/>
      <c r="C181" s="185" t="str">
        <f>Picks!B181</f>
        <v>Palace draw</v>
      </c>
      <c r="D181" s="186">
        <f>Picks!C181</f>
        <v>7</v>
      </c>
      <c r="E181" s="186">
        <f>Picks!D181</f>
        <v>3.3</v>
      </c>
      <c r="F181" s="185">
        <f>IF(C181="","",INDEX(Odds!K:K,MATCH(C181,Odds!G:G,0)))</f>
        <v>1</v>
      </c>
      <c r="G181" s="185">
        <f>IF(C181="","",Picks!M181)</f>
        <v>1</v>
      </c>
      <c r="H181" s="186">
        <f t="shared" si="74"/>
        <v>2.2999999999999998</v>
      </c>
      <c r="I181" s="194" t="str">
        <f t="shared" si="70"/>
        <v/>
      </c>
      <c r="X181" s="184">
        <f t="shared" si="72"/>
        <v>2.2999999999999998</v>
      </c>
    </row>
    <row r="182" spans="2:25">
      <c r="B182" s="184" t="str">
        <f>$V62</f>
        <v>Vinny Topping</v>
      </c>
      <c r="C182" s="183" t="str">
        <f>Picks!B182</f>
        <v>Sheff U</v>
      </c>
      <c r="D182" s="184">
        <f>Picks!C182</f>
        <v>7</v>
      </c>
      <c r="E182" s="184">
        <f>Picks!D182</f>
        <v>1.8333333333333335</v>
      </c>
      <c r="F182" s="183">
        <f>IF(C182="","",INDEX(Odds!K:K,MATCH(C182,Odds!G:G,0)))</f>
        <v>1</v>
      </c>
      <c r="G182" s="617">
        <f>IF(C182="","",Picks!M182)</f>
        <v>1</v>
      </c>
      <c r="H182" s="184">
        <f t="shared" si="74"/>
        <v>0.83333333333333348</v>
      </c>
      <c r="I182" s="194" t="str">
        <f t="shared" ref="I182:I189" si="75">IF(V179="","",V179)</f>
        <v/>
      </c>
      <c r="X182" s="184">
        <f t="shared" si="72"/>
        <v>0.83333333333333348</v>
      </c>
    </row>
    <row r="183" spans="2:25">
      <c r="B183" s="183"/>
      <c r="C183" s="183" t="str">
        <f>Picks!B183</f>
        <v>Wigan</v>
      </c>
      <c r="D183" s="184">
        <f>Picks!C183</f>
        <v>7</v>
      </c>
      <c r="E183" s="184">
        <f>Picks!D183</f>
        <v>2.375</v>
      </c>
      <c r="F183" s="183">
        <f>IF(C183="","",INDEX(Odds!K:K,MATCH(C183,Odds!G:G,0)))</f>
        <v>1</v>
      </c>
      <c r="G183" s="183">
        <f>IF(C183="","",Picks!M183)</f>
        <v>1</v>
      </c>
      <c r="H183" s="184">
        <f t="shared" si="74"/>
        <v>1.375</v>
      </c>
      <c r="I183" s="194" t="str">
        <f t="shared" si="75"/>
        <v/>
      </c>
      <c r="X183" s="184">
        <f t="shared" si="72"/>
        <v>1.375</v>
      </c>
    </row>
    <row r="184" spans="2:25" ht="13.15" thickBot="1">
      <c r="B184" s="185"/>
      <c r="C184" s="185" t="str">
        <f>Picks!B184</f>
        <v>Carlisle</v>
      </c>
      <c r="D184" s="186">
        <f>Picks!C184</f>
        <v>7</v>
      </c>
      <c r="E184" s="186">
        <f>Picks!D184</f>
        <v>2.5</v>
      </c>
      <c r="F184" s="185">
        <f>IF(C184="","",INDEX(Odds!K:K,MATCH(C184,Odds!G:G,0)))</f>
        <v>1</v>
      </c>
      <c r="G184" s="185">
        <f>IF(C184="","",Picks!M184)</f>
        <v>0</v>
      </c>
      <c r="H184" s="186">
        <f t="shared" si="74"/>
        <v>0</v>
      </c>
      <c r="I184" s="194" t="str">
        <f t="shared" si="75"/>
        <v/>
      </c>
      <c r="X184" s="184">
        <f t="shared" si="72"/>
        <v>1.5</v>
      </c>
    </row>
    <row r="185" spans="2:25">
      <c r="I185" s="194" t="str">
        <f t="shared" si="75"/>
        <v/>
      </c>
    </row>
    <row r="186" spans="2:25">
      <c r="I186" s="194" t="str">
        <f t="shared" si="75"/>
        <v/>
      </c>
      <c r="Y186" s="10" t="s">
        <v>187</v>
      </c>
    </row>
    <row r="187" spans="2:25">
      <c r="I187" s="194" t="str">
        <f t="shared" si="75"/>
        <v/>
      </c>
    </row>
    <row r="188" spans="2:25">
      <c r="I188" s="194" t="str">
        <f t="shared" si="75"/>
        <v/>
      </c>
    </row>
    <row r="189" spans="2:25">
      <c r="I189" s="194" t="str">
        <f t="shared" si="75"/>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351</v>
      </c>
    </row>
    <row r="3" spans="1:2">
      <c r="A3" s="335" t="s">
        <v>147</v>
      </c>
      <c r="B3" s="336"/>
    </row>
    <row r="4" spans="1:2">
      <c r="A4" s="335" t="s">
        <v>127</v>
      </c>
      <c r="B4" s="336" t="s">
        <v>145</v>
      </c>
    </row>
    <row r="5" spans="1:2">
      <c r="A5" s="461">
        <v>3</v>
      </c>
      <c r="B5" s="740">
        <v>7</v>
      </c>
    </row>
    <row r="6" spans="1:2">
      <c r="A6" s="462">
        <v>2</v>
      </c>
      <c r="B6" s="741">
        <v>24</v>
      </c>
    </row>
    <row r="7" spans="1:2">
      <c r="A7" s="462">
        <v>1</v>
      </c>
      <c r="B7" s="741">
        <v>18</v>
      </c>
    </row>
    <row r="8" spans="1:2">
      <c r="A8" s="462">
        <v>0</v>
      </c>
      <c r="B8" s="741">
        <v>11</v>
      </c>
    </row>
    <row r="9" spans="1:2">
      <c r="A9" s="463" t="s">
        <v>146</v>
      </c>
      <c r="B9" s="742">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J8" activePane="bottomRight" state="frozen"/>
      <selection pane="topRight" activeCell="H1" sqref="H1"/>
      <selection pane="bottomLeft" activeCell="A2" sqref="A2"/>
      <selection pane="bottomRight" activeCell="N1" sqref="N1:R6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7" t="s">
        <v>428</v>
      </c>
      <c r="B1" s="627">
        <v>61</v>
      </c>
      <c r="C1" s="628"/>
      <c r="D1" s="628"/>
      <c r="E1" s="140"/>
      <c r="F1" s="629" t="s">
        <v>131</v>
      </c>
      <c r="G1" s="375" t="s">
        <v>132</v>
      </c>
      <c r="H1" s="630"/>
      <c r="I1" s="635" t="str">
        <f>IF($B$14="","",$B$14)</f>
        <v/>
      </c>
      <c r="J1" s="631" t="str">
        <f>IF($A$14="","",$A$14)</f>
        <v>Preliminary Round</v>
      </c>
      <c r="K1" s="630"/>
      <c r="L1" s="630"/>
      <c r="M1" s="632" t="s">
        <v>28</v>
      </c>
      <c r="N1" s="630"/>
      <c r="O1" s="635">
        <f>IF($C$15="","",$C$15)</f>
        <v>44961</v>
      </c>
      <c r="P1" s="631" t="str">
        <f>IF($A$15="","",$A$15)</f>
        <v>Round 1</v>
      </c>
      <c r="Q1" s="630"/>
      <c r="R1" s="630"/>
      <c r="S1" s="633" t="s">
        <v>28</v>
      </c>
      <c r="T1" s="630"/>
      <c r="U1" s="635">
        <f>IF($C$16="","",$C$16)</f>
        <v>44975</v>
      </c>
      <c r="V1" s="631" t="str">
        <f>IF($A$16="","",$A$16)</f>
        <v>Round 2</v>
      </c>
      <c r="W1" s="630"/>
      <c r="X1" s="630"/>
      <c r="Y1" s="633" t="s">
        <v>28</v>
      </c>
      <c r="Z1" s="630"/>
      <c r="AA1" s="635">
        <f>IF($C$17="","",$C$17)</f>
        <v>44996</v>
      </c>
      <c r="AB1" s="631" t="str">
        <f>IF($A$17="","",$A$17)</f>
        <v>Round 3</v>
      </c>
      <c r="AC1" s="630"/>
      <c r="AD1" s="630"/>
      <c r="AE1" s="633" t="s">
        <v>28</v>
      </c>
      <c r="AF1" s="140"/>
      <c r="AG1" s="635">
        <f>IF($C$18="","",$C$18)</f>
        <v>45010</v>
      </c>
      <c r="AH1" s="631" t="str">
        <f>IF($A$18="","",$A$18)</f>
        <v>Quarter Final</v>
      </c>
      <c r="AI1" s="630"/>
      <c r="AJ1" s="630"/>
      <c r="AK1" s="634"/>
      <c r="AL1" s="140"/>
      <c r="AM1" s="635">
        <f>IF($C$19="","",$C$19)</f>
        <v>45024</v>
      </c>
      <c r="AN1" s="631" t="str">
        <f>IF($A$19="","",$A$19)</f>
        <v>Semi-Final</v>
      </c>
      <c r="AO1" s="637"/>
      <c r="AP1" s="630"/>
      <c r="AQ1" s="634"/>
      <c r="AR1" s="140"/>
      <c r="AS1" s="635">
        <f>IF($C$20="","",$C$20)</f>
        <v>45038</v>
      </c>
      <c r="AT1" s="631" t="str">
        <f>IF($A$20="","",$A$20)</f>
        <v>Final</v>
      </c>
      <c r="AU1" s="630"/>
      <c r="AV1" s="630"/>
      <c r="AW1" s="634"/>
      <c r="AX1" s="140"/>
      <c r="AY1" s="140"/>
      <c r="AZ1" s="140"/>
      <c r="BA1" s="140"/>
      <c r="BB1" s="140"/>
      <c r="BC1" s="140"/>
      <c r="BD1" s="140"/>
      <c r="BE1" s="140"/>
      <c r="BF1" s="140"/>
    </row>
    <row r="2" spans="1:58">
      <c r="A2" s="58" t="s">
        <v>385</v>
      </c>
      <c r="B2" s="58">
        <v>6</v>
      </c>
      <c r="C2" s="78"/>
      <c r="D2" s="78"/>
      <c r="E2" s="77"/>
      <c r="F2" s="66">
        <v>1</v>
      </c>
      <c r="G2" s="67" t="s">
        <v>516</v>
      </c>
      <c r="H2" s="59"/>
      <c r="I2" s="85">
        <v>1</v>
      </c>
      <c r="J2" s="72"/>
      <c r="K2" s="73"/>
      <c r="L2" s="74" t="str">
        <f>IF(K2="","",IF(K2=K3,"R",""))</f>
        <v/>
      </c>
      <c r="M2" s="76" t="e">
        <f>INDEX(Results!T:T,MATCH(J2,Results!V:V,0))</f>
        <v>#N/A</v>
      </c>
      <c r="N2" s="59"/>
      <c r="O2" s="682">
        <v>1</v>
      </c>
      <c r="P2" s="593" t="s">
        <v>516</v>
      </c>
      <c r="Q2" s="73">
        <v>21.12</v>
      </c>
      <c r="R2" s="82" t="str">
        <f>IF(Q2="","",IF(Q2=Q3,"R",""))</f>
        <v/>
      </c>
      <c r="S2" s="79">
        <f>INDEX(Results!T:T,MATCH(P2,Results!V:V,0))</f>
        <v>36.263124999999995</v>
      </c>
      <c r="T2" s="59"/>
      <c r="U2" s="61">
        <v>1</v>
      </c>
      <c r="V2" s="69" t="str">
        <f>IF(Q2=Q3,"Await earlier tie",IF(Q2&lt;Q3,P3,P2))</f>
        <v>Alan Bond</v>
      </c>
      <c r="W2" s="73"/>
      <c r="X2" s="82" t="str">
        <f>IF(W2="","",IF(W2=W3,"R",""))</f>
        <v/>
      </c>
      <c r="Y2" s="79">
        <f>INDEX(Results!T:T,MATCH(V2,Results!V:V,0))</f>
        <v>36.263124999999995</v>
      </c>
      <c r="Z2" s="59"/>
      <c r="AA2" s="61">
        <v>1</v>
      </c>
      <c r="AB2" s="69" t="str">
        <f>IF(W2=W3,"Await earlier tie",IF(W2&lt;W3,V3,V2))</f>
        <v>Await earlier tie</v>
      </c>
      <c r="AC2" s="92"/>
      <c r="AD2" s="74" t="str">
        <f>IF(AC2="","",IF(AC2=AC3,"R",""))</f>
        <v/>
      </c>
      <c r="AE2" s="79" t="e">
        <f>INDEX(Results!T:T,MATCH(AB2,Results!V:V,0))</f>
        <v>#N/A</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307</v>
      </c>
      <c r="H3" s="59"/>
      <c r="I3" s="84"/>
      <c r="J3" s="72"/>
      <c r="K3" s="73"/>
      <c r="L3" s="75"/>
      <c r="M3" s="76" t="e">
        <f>INDEX(Results!T:T,MATCH(J3,Results!V:V,0))</f>
        <v>#N/A</v>
      </c>
      <c r="N3" s="59"/>
      <c r="O3" s="683"/>
      <c r="P3" s="593" t="s">
        <v>307</v>
      </c>
      <c r="Q3" s="73">
        <v>-3</v>
      </c>
      <c r="R3" s="62"/>
      <c r="S3" s="79">
        <f>INDEX(Results!T:T,MATCH(P3,Results!V:V,0))</f>
        <v>-5.25</v>
      </c>
      <c r="T3" s="59"/>
      <c r="U3" s="64"/>
      <c r="V3" s="69" t="str">
        <f>IF(Q4=Q5,"Await earlier tie",IF(Q4&lt;Q5,P5,P4))</f>
        <v>John Ronan</v>
      </c>
      <c r="W3" s="73"/>
      <c r="X3" s="65"/>
      <c r="Y3" s="79">
        <f>INDEX(Results!T:T,MATCH(V3,Results!V:V,0))</f>
        <v>1.2925000000000004</v>
      </c>
      <c r="Z3" s="59"/>
      <c r="AA3" s="64"/>
      <c r="AB3" s="69" t="str">
        <f>IF(W4=W5,"Await earlier tie",IF(W4&lt;W5,V5,V4))</f>
        <v>Await earlier tie</v>
      </c>
      <c r="AC3" s="92"/>
      <c r="AD3" s="65"/>
      <c r="AE3" s="79" t="e">
        <f>INDEX(Results!T:T,MATCH(AB3,Results!V:V,0))</f>
        <v>#N/A</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3</v>
      </c>
      <c r="C4" s="78"/>
      <c r="D4" s="78"/>
      <c r="E4" s="77"/>
      <c r="F4" s="66">
        <v>3</v>
      </c>
      <c r="G4" s="67" t="s">
        <v>323</v>
      </c>
      <c r="H4" s="59"/>
      <c r="I4" s="85">
        <v>2</v>
      </c>
      <c r="J4" s="72"/>
      <c r="K4" s="73"/>
      <c r="L4" s="74" t="str">
        <f>IF(K4="","",IF(K4=K5,"R",""))</f>
        <v/>
      </c>
      <c r="M4" s="76" t="e">
        <f>INDEX(Results!T:T,MATCH(J4,Results!V:V,0))</f>
        <v>#N/A</v>
      </c>
      <c r="N4" s="59"/>
      <c r="O4" s="83">
        <v>2</v>
      </c>
      <c r="P4" s="593" t="s">
        <v>323</v>
      </c>
      <c r="Q4" s="73">
        <v>-5.25</v>
      </c>
      <c r="R4" s="82" t="str">
        <f>IF(Q4="","",IF(Q4=Q5,"R",""))</f>
        <v/>
      </c>
      <c r="S4" s="79">
        <f>INDEX(Results!T:T,MATCH(P4,Results!V:V,0))</f>
        <v>3.6099999999999994</v>
      </c>
      <c r="T4" s="59"/>
      <c r="U4" s="61">
        <v>2</v>
      </c>
      <c r="V4" s="69" t="str">
        <f>IF(Q6=Q7,"Await earlier tie",IF(Q6&lt;Q7,P7,P6))</f>
        <v>Dan Gibbard</v>
      </c>
      <c r="W4" s="73"/>
      <c r="X4" s="82" t="str">
        <f>IF(W4="","",IF(W4=W5,"R",""))</f>
        <v/>
      </c>
      <c r="Y4" s="79">
        <f>INDEX(Results!T:T,MATCH(V4,Results!V:V,0))</f>
        <v>12.606060606060606</v>
      </c>
      <c r="Z4" s="59"/>
      <c r="AA4" s="61">
        <v>2</v>
      </c>
      <c r="AB4" s="69" t="str">
        <f>IF(W6=W7,"Await earlier tie",IF(W6&lt;W7,V7,V6))</f>
        <v>Await earlier tie</v>
      </c>
      <c r="AC4" s="92"/>
      <c r="AD4" s="74" t="str">
        <f>IF(AC4="","",IF(AC4=AC5,"R",""))</f>
        <v/>
      </c>
      <c r="AE4" s="79" t="e">
        <f>INDEX(Results!T:T,MATCH(AB4,Results!V:V,0))</f>
        <v>#N/A</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372</v>
      </c>
      <c r="H5" s="59"/>
      <c r="I5" s="84"/>
      <c r="J5" s="72"/>
      <c r="K5" s="73"/>
      <c r="L5" s="75"/>
      <c r="M5" s="76" t="e">
        <f>INDEX(Results!T:T,MATCH(J5,Results!V:V,0))</f>
        <v>#N/A</v>
      </c>
      <c r="N5" s="59"/>
      <c r="O5" s="84"/>
      <c r="P5" s="593" t="s">
        <v>372</v>
      </c>
      <c r="Q5" s="73">
        <v>-4.8</v>
      </c>
      <c r="R5" s="62"/>
      <c r="S5" s="79">
        <f>INDEX(Results!T:T,MATCH(P5,Results!V:V,0))</f>
        <v>1.2925000000000004</v>
      </c>
      <c r="T5" s="59"/>
      <c r="U5" s="64"/>
      <c r="V5" s="69" t="str">
        <f>IF(Q9=Q8,"Await earlier tie",IF(Q8&lt;Q9,P9,P8))</f>
        <v>Kei Lok Ma</v>
      </c>
      <c r="W5" s="73"/>
      <c r="X5" s="65"/>
      <c r="Y5" s="79">
        <f>INDEX(Results!T:T,MATCH(V5,Results!V:V,0))</f>
        <v>0.92500000000000071</v>
      </c>
      <c r="Z5" s="59"/>
      <c r="AA5" s="64"/>
      <c r="AB5" s="69" t="str">
        <f>IF(W8=W9,"Await earlier tie",IF(W8&lt;W9,V9,V8))</f>
        <v>Await earlier tie</v>
      </c>
      <c r="AC5" s="92"/>
      <c r="AD5" s="65"/>
      <c r="AE5" s="79" t="e">
        <f>INDEX(Results!T:T,MATCH(AB5,Results!V:V,0))</f>
        <v>#N/A</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453</v>
      </c>
      <c r="B6" s="58">
        <f>(B1-B4)/2</f>
        <v>29</v>
      </c>
      <c r="C6" s="78"/>
      <c r="D6" s="78"/>
      <c r="E6" s="77"/>
      <c r="F6" s="66">
        <v>5</v>
      </c>
      <c r="G6" s="67" t="s">
        <v>368</v>
      </c>
      <c r="H6" s="59"/>
      <c r="I6" s="85">
        <v>3</v>
      </c>
      <c r="J6" s="72"/>
      <c r="K6" s="73"/>
      <c r="L6" s="74" t="str">
        <f>IF(K6="","",IF(K6=K7,"R",""))</f>
        <v/>
      </c>
      <c r="M6" s="76" t="e">
        <f>INDEX(Results!T:T,MATCH(J6,Results!V:V,0))</f>
        <v>#N/A</v>
      </c>
      <c r="N6" s="59"/>
      <c r="O6" s="85">
        <v>3</v>
      </c>
      <c r="P6" s="593" t="s">
        <v>368</v>
      </c>
      <c r="Q6" s="73">
        <v>-5.25</v>
      </c>
      <c r="R6" s="82" t="str">
        <f>IF(Q6="","",IF(Q6=Q7,"R",""))</f>
        <v/>
      </c>
      <c r="S6" s="79">
        <f>INDEX(Results!T:T,MATCH(P6,Results!V:V,0))</f>
        <v>-0.125</v>
      </c>
      <c r="T6" s="59"/>
      <c r="U6" s="61">
        <v>3</v>
      </c>
      <c r="V6" s="69" t="str">
        <f>IF(Q10=Q11,"Await earlier tie",IF(Q10&lt;Q11,P11,P10))</f>
        <v>Barry Birchall</v>
      </c>
      <c r="W6" s="73"/>
      <c r="X6" s="82" t="str">
        <f>IF(W6="","",IF(W6=W7,"R",""))</f>
        <v/>
      </c>
      <c r="Y6" s="79">
        <f>INDEX(Results!T:T,MATCH(V6,Results!V:V,0))</f>
        <v>-7</v>
      </c>
      <c r="Z6" s="59"/>
      <c r="AA6" s="61">
        <v>3</v>
      </c>
      <c r="AB6" s="69" t="str">
        <f>IF(W10=W11,"Await earlier tie",IF(W10&lt;W11,V11,V10))</f>
        <v>Await earlier tie</v>
      </c>
      <c r="AC6" s="92"/>
      <c r="AD6" s="74" t="str">
        <f>IF(AC6="","",IF(AC6=AC7,"R",""))</f>
        <v/>
      </c>
      <c r="AE6" s="79" t="e">
        <f>INDEX(Results!T:T,MATCH(AB6,Results!V:V,0))</f>
        <v>#N/A</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519</v>
      </c>
      <c r="H7" s="59"/>
      <c r="I7" s="84"/>
      <c r="J7" s="72"/>
      <c r="K7" s="73"/>
      <c r="L7" s="75"/>
      <c r="M7" s="76" t="e">
        <f>INDEX(Results!T:T,MATCH(J7,Results!V:V,0))</f>
        <v>#N/A</v>
      </c>
      <c r="N7" s="59"/>
      <c r="O7" s="84"/>
      <c r="P7" s="593" t="s">
        <v>519</v>
      </c>
      <c r="Q7" s="73">
        <v>-4.3</v>
      </c>
      <c r="R7" s="62"/>
      <c r="S7" s="79">
        <f>INDEX(Results!T:T,MATCH(P7,Results!V:V,0))</f>
        <v>12.606060606060606</v>
      </c>
      <c r="T7" s="59"/>
      <c r="U7" s="64"/>
      <c r="V7" s="69" t="str">
        <f>IF(Q12=Q13,"Await earlier tie",IF(Q12&lt;Q13,P13,P12))</f>
        <v>Paul Adderley</v>
      </c>
      <c r="W7" s="73"/>
      <c r="X7" s="65"/>
      <c r="Y7" s="79">
        <f>INDEX(Results!T:T,MATCH(V7,Results!V:V,0))</f>
        <v>0.2424242424242431</v>
      </c>
      <c r="Z7" s="59"/>
      <c r="AA7" s="64"/>
      <c r="AB7" s="69" t="str">
        <f>IF(W12=W13,"Await earlier tie",IF(W12&lt;W13,V13,V12))</f>
        <v>Await earlier tie</v>
      </c>
      <c r="AC7" s="92"/>
      <c r="AD7" s="65"/>
      <c r="AE7" s="79" t="e">
        <f>INDEX(Results!T:T,MATCH(AB7,Results!V:V,0))</f>
        <v>#N/A</v>
      </c>
      <c r="AF7" s="77"/>
      <c r="AG7" s="64"/>
      <c r="AH7" s="69" t="str">
        <f>IF(AC12=AC13,"Await earlier tie",IF(AC12&lt;AC13,AB13,AB12))</f>
        <v>Await earlier tie</v>
      </c>
      <c r="AI7" s="92"/>
      <c r="AJ7" s="65"/>
      <c r="AK7" s="79" t="e">
        <f>INDEX(Results!T:T,MATCH(AH7,Results!V:V,0))</f>
        <v>#N/A</v>
      </c>
      <c r="AL7" s="77"/>
      <c r="AM7" s="60" t="s">
        <v>144</v>
      </c>
      <c r="AN7" s="59"/>
      <c r="AO7" s="59"/>
      <c r="AP7" s="59"/>
      <c r="AQ7" s="81"/>
      <c r="AR7" s="77"/>
      <c r="AS7" s="682"/>
      <c r="AT7" s="609"/>
      <c r="AU7" s="610"/>
      <c r="AV7" s="82" t="str">
        <f>IF(AU7="","",IF(AU7=AU8,"R",""))</f>
        <v/>
      </c>
      <c r="AW7" s="80"/>
      <c r="AX7" s="77"/>
      <c r="AY7" s="77"/>
      <c r="AZ7" s="77"/>
      <c r="BA7" s="77"/>
      <c r="BB7" s="77"/>
      <c r="BC7" s="77"/>
      <c r="BD7" s="77"/>
      <c r="BE7" s="77"/>
      <c r="BF7" s="77"/>
    </row>
    <row r="8" spans="1:58">
      <c r="A8" s="58" t="s">
        <v>130</v>
      </c>
      <c r="B8" s="58" t="s">
        <v>129</v>
      </c>
      <c r="C8" s="78"/>
      <c r="D8" s="78"/>
      <c r="E8" s="77"/>
      <c r="F8" s="66">
        <v>7</v>
      </c>
      <c r="G8" s="67" t="s">
        <v>279</v>
      </c>
      <c r="H8" s="59"/>
      <c r="I8" s="85">
        <v>4</v>
      </c>
      <c r="J8" s="72"/>
      <c r="K8" s="73"/>
      <c r="L8" s="74" t="str">
        <f>IF(K8="","",IF(K8=K9,"R",""))</f>
        <v/>
      </c>
      <c r="M8" s="76" t="e">
        <f>INDEX(Results!T:T,MATCH(J8,Results!V:V,0))</f>
        <v>#N/A</v>
      </c>
      <c r="N8" s="59"/>
      <c r="O8" s="85">
        <v>4</v>
      </c>
      <c r="P8" s="593" t="s">
        <v>279</v>
      </c>
      <c r="Q8" s="73">
        <v>-5.7</v>
      </c>
      <c r="R8" s="82" t="str">
        <f>IF(Q8="","",IF(Q8=Q9,"R",""))</f>
        <v/>
      </c>
      <c r="S8" s="79">
        <f>INDEX(Results!T:T,MATCH(P8,Results!V:V,0))</f>
        <v>10.059999999999999</v>
      </c>
      <c r="T8" s="59"/>
      <c r="U8" s="61">
        <v>4</v>
      </c>
      <c r="V8" s="69" t="str">
        <f>IF(Q14=Q15,"Await earlier tie",IF(Q14&lt;Q15,P15,P14))</f>
        <v>Martin Tarbuck</v>
      </c>
      <c r="W8" s="73"/>
      <c r="X8" s="82" t="str">
        <f>IF(W8="","",IF(W8=W9,"R",""))</f>
        <v/>
      </c>
      <c r="Y8" s="79">
        <f>INDEX(Results!T:T,MATCH(V8,Results!V:V,0))</f>
        <v>-4.8499999999999996</v>
      </c>
      <c r="Z8" s="59"/>
      <c r="AA8" s="61">
        <v>4</v>
      </c>
      <c r="AB8" s="69" t="str">
        <f>IF(W14=W15,"Await earlier tie",IF(W14&lt;W15,V15,V14))</f>
        <v>Await earlier tie</v>
      </c>
      <c r="AC8" s="92"/>
      <c r="AD8" s="74" t="str">
        <f>IF(AC8="","",IF(AC8=AC9,"R",""))</f>
        <v/>
      </c>
      <c r="AE8" s="79" t="e">
        <f>INDEX(Results!T:T,MATCH(AB8,Results!V:V,0))</f>
        <v>#N/A</v>
      </c>
      <c r="AF8" s="77"/>
      <c r="AG8" s="61">
        <v>4</v>
      </c>
      <c r="AH8" s="69" t="str">
        <f>IF(AC14=AC15,"Await earlier tie",IF(AC14&lt;AC15,AB15,AB14))</f>
        <v>Await earlier tie</v>
      </c>
      <c r="AI8" s="92"/>
      <c r="AJ8" s="74" t="str">
        <f>IF(AI8="","",IF(AI8=AI9,"R",""))</f>
        <v/>
      </c>
      <c r="AK8" s="79" t="e">
        <f>INDEX(Results!T:T,MATCH(AH8,Results!V:V,0))</f>
        <v>#N/A</v>
      </c>
      <c r="AL8" s="77"/>
      <c r="AM8" s="682"/>
      <c r="AN8" s="69"/>
      <c r="AO8" s="92"/>
      <c r="AP8" s="82" t="str">
        <f>IF(AO8="","",IF(AO8=AO9,"R",""))</f>
        <v/>
      </c>
      <c r="AQ8" s="81"/>
      <c r="AR8" s="77"/>
      <c r="AS8" s="683"/>
      <c r="AT8" s="609"/>
      <c r="AU8" s="610"/>
      <c r="AV8" s="62"/>
      <c r="AW8" s="80"/>
      <c r="AX8" s="77"/>
      <c r="AY8" s="77"/>
      <c r="AZ8" s="77"/>
      <c r="BA8" s="77"/>
      <c r="BB8" s="77"/>
      <c r="BC8" s="77"/>
      <c r="BD8" s="77"/>
      <c r="BE8" s="77"/>
      <c r="BF8" s="77"/>
    </row>
    <row r="9" spans="1:58">
      <c r="A9" s="77"/>
      <c r="B9" s="77"/>
      <c r="C9" s="78"/>
      <c r="D9" s="78"/>
      <c r="E9" s="77"/>
      <c r="F9" s="66">
        <v>8</v>
      </c>
      <c r="G9" s="67" t="s">
        <v>294</v>
      </c>
      <c r="H9" s="59"/>
      <c r="I9" s="84"/>
      <c r="J9" s="72"/>
      <c r="K9" s="73"/>
      <c r="L9" s="75"/>
      <c r="M9" s="76" t="e">
        <f>INDEX(Results!T:T,MATCH(J9,Results!V:V,0))</f>
        <v>#N/A</v>
      </c>
      <c r="N9" s="59"/>
      <c r="O9" s="84"/>
      <c r="P9" s="593" t="s">
        <v>294</v>
      </c>
      <c r="Q9" s="73">
        <v>-5.666666666666667</v>
      </c>
      <c r="R9" s="62"/>
      <c r="S9" s="79">
        <f>INDEX(Results!T:T,MATCH(P9,Results!V:V,0))</f>
        <v>0.92500000000000071</v>
      </c>
      <c r="T9" s="59"/>
      <c r="U9" s="64"/>
      <c r="V9" s="69" t="str">
        <f>IF(Q16=Q17,"Await earlier tie",IF(Q16&lt;Q17,P17,P16))</f>
        <v>Paul Fairhurst</v>
      </c>
      <c r="W9" s="73"/>
      <c r="X9" s="65"/>
      <c r="Y9" s="79">
        <f>INDEX(Results!T:T,MATCH(V9,Results!V:V,0))</f>
        <v>3.6363636363636367</v>
      </c>
      <c r="Z9" s="59"/>
      <c r="AA9" s="64"/>
      <c r="AB9" s="69" t="str">
        <f>IF(W16=W17,"Await earlier tie",IF(W16&lt;W17,V17,V16))</f>
        <v>Await earlier tie</v>
      </c>
      <c r="AC9" s="92"/>
      <c r="AD9" s="65"/>
      <c r="AE9" s="79" t="e">
        <f>INDEX(Results!T:T,MATCH(AB9,Results!V:V,0))</f>
        <v>#N/A</v>
      </c>
      <c r="AF9" s="77"/>
      <c r="AG9" s="68"/>
      <c r="AH9" s="69" t="str">
        <f>IF(AC16=AC17,"Await earlier tie",IF(AC16&lt;AC17,AB17,AB16))</f>
        <v>Await earlier tie</v>
      </c>
      <c r="AI9" s="92"/>
      <c r="AJ9" s="62"/>
      <c r="AK9" s="79" t="e">
        <f>INDEX(Results!T:T,MATCH(AH9,Results!V:V,0))</f>
        <v>#N/A</v>
      </c>
      <c r="AL9" s="77"/>
      <c r="AM9" s="683"/>
      <c r="AN9" s="69"/>
      <c r="AO9" s="92"/>
      <c r="AP9" s="62"/>
      <c r="AQ9" s="81"/>
      <c r="AR9" s="77"/>
      <c r="AS9" s="83"/>
      <c r="AT9" s="609"/>
      <c r="AU9" s="610"/>
      <c r="AV9" s="82" t="str">
        <f>IF(AU9="","",IF(AU9=AU10,"R",""))</f>
        <v/>
      </c>
      <c r="AW9" s="80"/>
      <c r="AX9" s="77"/>
      <c r="AY9" s="77"/>
      <c r="AZ9" s="77"/>
      <c r="BA9" s="77"/>
      <c r="BB9" s="77"/>
      <c r="BC9" s="77"/>
      <c r="BD9" s="77"/>
      <c r="BE9" s="77"/>
      <c r="BF9" s="77"/>
    </row>
    <row r="10" spans="1:58">
      <c r="A10" s="77"/>
      <c r="B10" s="77"/>
      <c r="C10" s="78"/>
      <c r="D10" s="78"/>
      <c r="E10" s="77"/>
      <c r="F10" s="66">
        <v>9</v>
      </c>
      <c r="G10" s="67" t="s">
        <v>567</v>
      </c>
      <c r="H10" s="59"/>
      <c r="I10" s="85">
        <v>5</v>
      </c>
      <c r="J10" s="72"/>
      <c r="K10" s="73"/>
      <c r="L10" s="74" t="str">
        <f>IF(K10="","",IF(K10=K11,"R",""))</f>
        <v/>
      </c>
      <c r="M10" s="76" t="e">
        <f>INDEX(Results!T:T,MATCH(J10,Results!V:V,0))</f>
        <v>#N/A</v>
      </c>
      <c r="N10" s="59"/>
      <c r="O10" s="85">
        <v>5</v>
      </c>
      <c r="P10" s="593" t="s">
        <v>567</v>
      </c>
      <c r="Q10" s="73">
        <v>-7</v>
      </c>
      <c r="R10" s="82" t="str">
        <f>IF(Q10="","",IF(Q10=Q11,"R",""))</f>
        <v/>
      </c>
      <c r="S10" s="79">
        <f>INDEX(Results!T:T,MATCH(P10,Results!V:V,0))</f>
        <v>3.1111111111111107</v>
      </c>
      <c r="T10" s="59"/>
      <c r="U10" s="61">
        <v>5</v>
      </c>
      <c r="V10" s="69" t="str">
        <f>IF(Q18=Q19,"Await earlier tie",IF(Q18&lt;Q19,P19,P18))</f>
        <v>Mark Saunders</v>
      </c>
      <c r="W10" s="73"/>
      <c r="X10" s="82" t="str">
        <f>IF(W10="","",IF(W10=W11,"R",""))</f>
        <v/>
      </c>
      <c r="Y10" s="79">
        <f>INDEX(Results!T:T,MATCH(V10,Results!V:V,0))</f>
        <v>-0.91666666666666607</v>
      </c>
      <c r="Z10" s="59"/>
      <c r="AA10" s="61">
        <v>5</v>
      </c>
      <c r="AB10" s="69" t="str">
        <f>IF(W18=W19,"Await earlier tie",IF(W18&lt;W19,V19,V18))</f>
        <v>Await earlier tie</v>
      </c>
      <c r="AC10" s="92"/>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609"/>
      <c r="AU10" s="610"/>
      <c r="AV10" s="62"/>
      <c r="AW10" s="80"/>
      <c r="AX10" s="77"/>
      <c r="AY10" s="77"/>
      <c r="AZ10" s="77"/>
      <c r="BA10" s="77"/>
      <c r="BB10" s="77"/>
      <c r="BC10" s="77"/>
      <c r="BD10" s="77"/>
      <c r="BE10" s="77"/>
      <c r="BF10" s="77"/>
    </row>
    <row r="11" spans="1:58">
      <c r="A11" s="86" t="s">
        <v>148</v>
      </c>
      <c r="B11" s="77"/>
      <c r="C11" s="78"/>
      <c r="D11" s="78"/>
      <c r="E11" s="77"/>
      <c r="F11" s="66">
        <v>10</v>
      </c>
      <c r="G11" s="67" t="s">
        <v>281</v>
      </c>
      <c r="H11" s="59"/>
      <c r="I11" s="84"/>
      <c r="J11" s="72"/>
      <c r="K11" s="73"/>
      <c r="L11" s="75"/>
      <c r="M11" s="76" t="e">
        <f>INDEX(Results!T:T,MATCH(J11,Results!V:V,0))</f>
        <v>#N/A</v>
      </c>
      <c r="N11" s="59"/>
      <c r="O11" s="84"/>
      <c r="P11" s="593" t="s">
        <v>281</v>
      </c>
      <c r="Q11" s="73">
        <v>-2.5636363636363626</v>
      </c>
      <c r="R11" s="62"/>
      <c r="S11" s="79">
        <f>INDEX(Results!T:T,MATCH(P11,Results!V:V,0))</f>
        <v>-7</v>
      </c>
      <c r="T11" s="59"/>
      <c r="U11" s="64"/>
      <c r="V11" s="69" t="str">
        <f>IF(Q20=Q21,"Await earlier tie",IF(Q20&lt;Q21,P21,P20))</f>
        <v>Graham Miller</v>
      </c>
      <c r="W11" s="73"/>
      <c r="X11" s="65"/>
      <c r="Y11" s="79">
        <f>INDEX(Results!T:T,MATCH(V11,Results!V:V,0))</f>
        <v>-4.625</v>
      </c>
      <c r="Z11" s="59"/>
      <c r="AA11" s="64"/>
      <c r="AB11" s="69" t="str">
        <f>IF(W20=W21,"Await earlier tie",IF(W20&lt;W21,V21,V20))</f>
        <v>Await earlier tie</v>
      </c>
      <c r="AC11" s="92"/>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283</v>
      </c>
      <c r="H12" s="59"/>
      <c r="I12" s="85">
        <v>6</v>
      </c>
      <c r="J12" s="72"/>
      <c r="K12" s="73"/>
      <c r="L12" s="74" t="str">
        <f>IF(K12="","",IF(K12=K13,"R",""))</f>
        <v/>
      </c>
      <c r="M12" s="76" t="e">
        <f>INDEX(Results!T:T,MATCH(J12,Results!V:V,0))</f>
        <v>#N/A</v>
      </c>
      <c r="N12" s="59"/>
      <c r="O12" s="85">
        <v>6</v>
      </c>
      <c r="P12" s="593" t="s">
        <v>283</v>
      </c>
      <c r="Q12" s="73">
        <v>-5.0909090909090908</v>
      </c>
      <c r="R12" s="82" t="str">
        <f>IF(Q12="","",IF(Q12=Q13,"R",""))</f>
        <v/>
      </c>
      <c r="S12" s="79">
        <f>INDEX(Results!T:T,MATCH(P12,Results!V:V,0))</f>
        <v>0.4375</v>
      </c>
      <c r="T12" s="59"/>
      <c r="U12" s="61">
        <v>6</v>
      </c>
      <c r="V12" s="69" t="str">
        <f>IF(Q22=Q23,"Await earlier tie",IF(Q22&lt;Q23,P23,P22))</f>
        <v>Ben Rosser</v>
      </c>
      <c r="W12" s="73"/>
      <c r="X12" s="82" t="str">
        <f>IF(W12="","",IF(W12=W13,"R",""))</f>
        <v/>
      </c>
      <c r="Y12" s="79">
        <f>INDEX(Results!T:T,MATCH(V12,Results!V:V,0))</f>
        <v>10.919999999999998</v>
      </c>
      <c r="Z12" s="59"/>
      <c r="AA12" s="61">
        <v>6</v>
      </c>
      <c r="AB12" s="69" t="str">
        <f>IF(W22=W23,"Await earlier tie",IF(W22&lt;W23,V23,V22))</f>
        <v>Await earlier tie</v>
      </c>
      <c r="AC12" s="92"/>
      <c r="AD12" s="74" t="str">
        <f>IF(AC12="","",IF(AC12=AC13,"R",""))</f>
        <v/>
      </c>
      <c r="AE12" s="79" t="e">
        <f>INDEX(Results!T:T,MATCH(AB12,Results!V:V,0))</f>
        <v>#N/A</v>
      </c>
      <c r="AF12" s="77"/>
      <c r="AG12" s="60" t="s">
        <v>523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458</v>
      </c>
      <c r="C13" s="512" t="s">
        <v>30</v>
      </c>
      <c r="D13" s="513" t="s">
        <v>496</v>
      </c>
      <c r="E13" s="77"/>
      <c r="F13" s="66">
        <v>12</v>
      </c>
      <c r="G13" s="67" t="s">
        <v>289</v>
      </c>
      <c r="H13" s="59"/>
      <c r="I13" s="84"/>
      <c r="J13" s="72"/>
      <c r="K13" s="73"/>
      <c r="L13" s="75"/>
      <c r="M13" s="76" t="e">
        <f>INDEX(Results!T:T,MATCH(J13,Results!V:V,0))</f>
        <v>#N/A</v>
      </c>
      <c r="N13" s="59"/>
      <c r="O13" s="84"/>
      <c r="P13" s="593" t="s">
        <v>289</v>
      </c>
      <c r="Q13" s="73">
        <v>-2.25</v>
      </c>
      <c r="R13" s="62"/>
      <c r="S13" s="79">
        <f>INDEX(Results!T:T,MATCH(P13,Results!V:V,0))</f>
        <v>0.2424242424242431</v>
      </c>
      <c r="T13" s="59"/>
      <c r="U13" s="64"/>
      <c r="V13" s="69" t="str">
        <f>IF(Q24=Q25,"Await earlier tie",IF(Q24&lt;Q25,P25,P24))</f>
        <v>Sally Williams</v>
      </c>
      <c r="W13" s="73"/>
      <c r="X13" s="65"/>
      <c r="Y13" s="79">
        <f>INDEX(Results!T:T,MATCH(V13,Results!V:V,0))</f>
        <v>5.5</v>
      </c>
      <c r="Z13" s="59"/>
      <c r="AA13" s="64"/>
      <c r="AB13" s="69" t="str">
        <f>IF(W24=W25,"Await earlier tie",IF(W24&lt;W25,V25,V24))</f>
        <v>Await earlier tie</v>
      </c>
      <c r="AC13" s="92"/>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454</v>
      </c>
      <c r="B14" s="358"/>
      <c r="C14" s="512" t="str">
        <f>IF(B14="","",INDEX(Diary!B:B,MATCH(B14,Diary!C:C,0)))</f>
        <v/>
      </c>
      <c r="D14" s="358"/>
      <c r="E14" s="77"/>
      <c r="F14" s="66">
        <v>13</v>
      </c>
      <c r="G14" s="67" t="s">
        <v>373</v>
      </c>
      <c r="H14" s="59"/>
      <c r="I14" s="85">
        <v>7</v>
      </c>
      <c r="J14" s="72"/>
      <c r="K14" s="73"/>
      <c r="L14" s="74" t="str">
        <f>IF(K14="","",IF(K14=K15,"R",""))</f>
        <v/>
      </c>
      <c r="M14" s="76" t="e">
        <f>INDEX(Results!T:T,MATCH(J14,Results!V:V,0))</f>
        <v>#N/A</v>
      </c>
      <c r="N14" s="59"/>
      <c r="O14" s="85">
        <v>7</v>
      </c>
      <c r="P14" s="593" t="s">
        <v>373</v>
      </c>
      <c r="Q14" s="73">
        <v>-5.0909090909090908</v>
      </c>
      <c r="R14" s="82" t="str">
        <f>IF(Q14="","",IF(Q14=Q15,"R",""))</f>
        <v/>
      </c>
      <c r="S14" s="79" t="e">
        <f>INDEX(Results!T:T,MATCH(P14,Results!V:V,0))</f>
        <v>#VALUE!</v>
      </c>
      <c r="T14" s="59"/>
      <c r="U14" s="61">
        <v>7</v>
      </c>
      <c r="V14" s="69" t="str">
        <f>IF(Q26=Q27,"Await earlier tie",IF(Q26&lt;Q27,P27,P26))</f>
        <v>Chris Luck</v>
      </c>
      <c r="W14" s="73"/>
      <c r="X14" s="82" t="str">
        <f>IF(W14="","",IF(W14=W15,"R",""))</f>
        <v/>
      </c>
      <c r="Y14" s="79">
        <f>INDEX(Results!T:T,MATCH(V14,Results!V:V,0))</f>
        <v>-4.8499999999999996</v>
      </c>
      <c r="Z14" s="59"/>
      <c r="AA14" s="61">
        <v>7</v>
      </c>
      <c r="AB14" s="69" t="str">
        <f>IF(W26=W27,"Await earlier tie",IF(W26&lt;W27,V27,V26))</f>
        <v>Await earlier tie</v>
      </c>
      <c r="AC14" s="92"/>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455</v>
      </c>
      <c r="B15" s="626">
        <v>5</v>
      </c>
      <c r="C15" s="512">
        <f>IF(B15="","",INDEX(Diary!B:B,MATCH(B15,Diary!C:C,0)))</f>
        <v>44961</v>
      </c>
      <c r="D15" s="358"/>
      <c r="E15" s="77"/>
      <c r="F15" s="66">
        <v>14</v>
      </c>
      <c r="G15" s="67" t="s">
        <v>374</v>
      </c>
      <c r="H15" s="59"/>
      <c r="I15" s="84"/>
      <c r="J15" s="72"/>
      <c r="K15" s="73"/>
      <c r="L15" s="75"/>
      <c r="M15" s="76" t="e">
        <f>INDEX(Results!T:T,MATCH(J15,Results!V:V,0))</f>
        <v>#N/A</v>
      </c>
      <c r="N15" s="59"/>
      <c r="O15" s="84"/>
      <c r="P15" s="593" t="s">
        <v>374</v>
      </c>
      <c r="Q15" s="73">
        <v>-2.25</v>
      </c>
      <c r="R15" s="62"/>
      <c r="S15" s="79">
        <f>INDEX(Results!T:T,MATCH(P15,Results!V:V,0))</f>
        <v>-4.8499999999999996</v>
      </c>
      <c r="T15" s="59"/>
      <c r="U15" s="64"/>
      <c r="V15" s="69" t="str">
        <f>IF(Q28=Q29,"Await earlier tie",IF(Q28&lt;Q29,P29,P28))</f>
        <v>Lennie Bow</v>
      </c>
      <c r="W15" s="73"/>
      <c r="X15" s="65"/>
      <c r="Y15" s="79">
        <f>INDEX(Results!T:T,MATCH(V15,Results!V:V,0))</f>
        <v>0.77500000000000036</v>
      </c>
      <c r="Z15" s="59"/>
      <c r="AA15" s="64"/>
      <c r="AB15" s="69" t="str">
        <f>IF(W28=W29,"Await earlier tie",IF(W28&lt;W29,V29,V28))</f>
        <v>Await earlier tie</v>
      </c>
      <c r="AC15" s="92"/>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312</v>
      </c>
      <c r="H16" s="59"/>
      <c r="I16" s="85">
        <v>8</v>
      </c>
      <c r="J16" s="72"/>
      <c r="K16" s="73"/>
      <c r="L16" s="74" t="str">
        <f>IF(K16="","",IF(K16=K17,"R",""))</f>
        <v/>
      </c>
      <c r="M16" s="76" t="e">
        <f>INDEX(Results!T:T,MATCH(J16,Results!V:V,0))</f>
        <v>#N/A</v>
      </c>
      <c r="N16" s="59"/>
      <c r="O16" s="85">
        <v>8</v>
      </c>
      <c r="P16" s="593" t="s">
        <v>312</v>
      </c>
      <c r="Q16" s="73">
        <v>-2.8</v>
      </c>
      <c r="R16" s="82" t="str">
        <f>IF(Q16="","",IF(Q16=Q17,"R",""))</f>
        <v/>
      </c>
      <c r="S16" s="79">
        <f>INDEX(Results!T:T,MATCH(P16,Results!V:V,0))</f>
        <v>50.453125</v>
      </c>
      <c r="T16" s="59"/>
      <c r="U16" s="61">
        <v>8</v>
      </c>
      <c r="V16" s="69" t="str">
        <f>IF(Q30=Q31,"Await earlier tie",IF(Q30&lt;Q31,P31,P30))</f>
        <v>Phil Miller</v>
      </c>
      <c r="W16" s="73"/>
      <c r="X16" s="82" t="str">
        <f>IF(W16="","",IF(W16=W17,"R",""))</f>
        <v/>
      </c>
      <c r="Y16" s="79" t="e">
        <f>INDEX(Results!T:T,MATCH(V16,Results!V:V,0))</f>
        <v>#VALUE!</v>
      </c>
      <c r="Z16" s="59"/>
      <c r="AA16" s="61">
        <v>8</v>
      </c>
      <c r="AB16" s="69" t="str">
        <f>IF(W30=W31,"Await earlier tie",IF(W30&lt;W31,V31,V30))</f>
        <v>Await earlier tie</v>
      </c>
      <c r="AC16" s="92"/>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456</v>
      </c>
      <c r="B17" s="358">
        <v>11</v>
      </c>
      <c r="C17" s="512">
        <f>IF(B17="","",INDEX(Diary!B:B,MATCH(B17,Diary!C:C,0)))</f>
        <v>44996</v>
      </c>
      <c r="D17" s="358" t="s">
        <v>529</v>
      </c>
      <c r="E17" s="77"/>
      <c r="F17" s="66">
        <v>16</v>
      </c>
      <c r="G17" s="67" t="s">
        <v>304</v>
      </c>
      <c r="H17" s="59"/>
      <c r="I17" s="84"/>
      <c r="J17" s="72"/>
      <c r="K17" s="73"/>
      <c r="L17" s="75"/>
      <c r="M17" s="76" t="e">
        <f>INDEX(Results!T:T,MATCH(J17,Results!V:V,0))</f>
        <v>#N/A</v>
      </c>
      <c r="N17" s="59"/>
      <c r="O17" s="84"/>
      <c r="P17" s="593" t="s">
        <v>304</v>
      </c>
      <c r="Q17" s="73">
        <v>11.475000000000001</v>
      </c>
      <c r="R17" s="62"/>
      <c r="S17" s="79">
        <f>INDEX(Results!T:T,MATCH(P17,Results!V:V,0))</f>
        <v>3.6363636363636367</v>
      </c>
      <c r="T17" s="59"/>
      <c r="U17" s="64"/>
      <c r="V17" s="69" t="str">
        <f>IF(Q32=Q33,"Await earlier tie",IF(Q32&lt;Q33,P33,P32))</f>
        <v>Alick Rocca</v>
      </c>
      <c r="W17" s="73"/>
      <c r="X17" s="65"/>
      <c r="Y17" s="79">
        <f>INDEX(Results!T:T,MATCH(V17,Results!V:V,0))</f>
        <v>-3.8</v>
      </c>
      <c r="Z17" s="59"/>
      <c r="AA17" s="68"/>
      <c r="AB17" s="69" t="str">
        <f>IF(W32=W33,"Await earlier tie",IF(W32&lt;W33,V33,V32))</f>
        <v>Await earlier tie</v>
      </c>
      <c r="AC17" s="92"/>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457</v>
      </c>
      <c r="B18" s="358">
        <v>14</v>
      </c>
      <c r="C18" s="512">
        <f>IF(B18="","",INDEX(Diary!B:B,MATCH(B18,Diary!C:C,0)))</f>
        <v>45010</v>
      </c>
      <c r="D18" s="358"/>
      <c r="E18" s="77"/>
      <c r="F18" s="66">
        <v>17</v>
      </c>
      <c r="G18" s="67" t="s">
        <v>286</v>
      </c>
      <c r="H18" s="59"/>
      <c r="I18" s="85">
        <v>9</v>
      </c>
      <c r="J18" s="72"/>
      <c r="K18" s="73"/>
      <c r="L18" s="74" t="str">
        <f>IF(K18="","",IF(K18=K19,"R",""))</f>
        <v/>
      </c>
      <c r="M18" s="76" t="e">
        <f>INDEX(Results!T:T,MATCH(J18,Results!V:V,0))</f>
        <v>#N/A</v>
      </c>
      <c r="N18" s="59"/>
      <c r="O18" s="85">
        <v>9</v>
      </c>
      <c r="P18" s="593" t="s">
        <v>286</v>
      </c>
      <c r="Q18" s="73">
        <v>-7</v>
      </c>
      <c r="R18" s="82" t="str">
        <f>IF(Q18="","",IF(Q18=Q19,"R",""))</f>
        <v/>
      </c>
      <c r="S18" s="79">
        <f>INDEX(Results!T:T,MATCH(P18,Results!V:V,0))</f>
        <v>-0.91666666666666607</v>
      </c>
      <c r="T18" s="59"/>
      <c r="U18" s="61">
        <v>9</v>
      </c>
      <c r="V18" s="69" t="str">
        <f>IF(Q34=Q35,"Await earlier tie",IF(Q34&lt;Q35,P35,P34))</f>
        <v>Martin Molyneux</v>
      </c>
      <c r="W18" s="73"/>
      <c r="X18" s="82" t="str">
        <f>IF(W18="","",IF(W18=W19,"R",""))</f>
        <v/>
      </c>
      <c r="Y18" s="79">
        <f>INDEX(Results!T:T,MATCH(V18,Results!V:V,0))</f>
        <v>17.963636363636361</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529</v>
      </c>
      <c r="E19" s="77"/>
      <c r="F19" s="66">
        <v>18</v>
      </c>
      <c r="G19" s="67" t="s">
        <v>366</v>
      </c>
      <c r="H19" s="59"/>
      <c r="I19" s="84"/>
      <c r="J19" s="72"/>
      <c r="K19" s="73"/>
      <c r="L19" s="75"/>
      <c r="M19" s="76" t="e">
        <f>INDEX(Results!T:T,MATCH(J19,Results!V:V,0))</f>
        <v>#N/A</v>
      </c>
      <c r="N19" s="59"/>
      <c r="O19" s="84"/>
      <c r="P19" s="593" t="s">
        <v>366</v>
      </c>
      <c r="Q19" s="73">
        <v>-10</v>
      </c>
      <c r="R19" s="62"/>
      <c r="S19" s="79" t="e">
        <f>INDEX(Results!T:T,MATCH(P19,Results!V:V,0))</f>
        <v>#VALUE!</v>
      </c>
      <c r="T19" s="59"/>
      <c r="U19" s="64"/>
      <c r="V19" s="69" t="str">
        <f>IF(Q36=Q37,"Await earlier tie",IF(Q36&lt;Q37,P37,P36))</f>
        <v>Vinny Topping</v>
      </c>
      <c r="W19" s="73"/>
      <c r="X19" s="65"/>
      <c r="Y19" s="79">
        <f>INDEX(Results!T:T,MATCH(V19,Results!V:V,0))</f>
        <v>1.5625</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517</v>
      </c>
      <c r="H20" s="59"/>
      <c r="I20" s="85">
        <v>10</v>
      </c>
      <c r="J20" s="72"/>
      <c r="K20" s="73"/>
      <c r="L20" s="74" t="str">
        <f>IF(K20="","",IF(K20=K21,"R",""))</f>
        <v/>
      </c>
      <c r="M20" s="76" t="e">
        <f>INDEX(Results!T:T,MATCH(J20,Results!V:V,0))</f>
        <v>#N/A</v>
      </c>
      <c r="N20" s="59"/>
      <c r="O20" s="85">
        <v>10</v>
      </c>
      <c r="P20" s="593" t="s">
        <v>517</v>
      </c>
      <c r="Q20" s="73">
        <v>-10</v>
      </c>
      <c r="R20" s="82" t="str">
        <f>IF(Q20="","",IF(Q20=Q21,"R",""))</f>
        <v/>
      </c>
      <c r="S20" s="79">
        <f>INDEX(Results!T:T,MATCH(P20,Results!V:V,0))</f>
        <v>-7</v>
      </c>
      <c r="T20" s="59"/>
      <c r="U20" s="61">
        <v>10</v>
      </c>
      <c r="V20" s="69" t="str">
        <f>IF(Q38=Q39,"Await earlier tie",IF(Q38&lt;Q39,P39,P38))</f>
        <v>Gerard Ventom</v>
      </c>
      <c r="W20" s="73"/>
      <c r="X20" s="82" t="str">
        <f>IF(W20="","",IF(W20=W21,"R",""))</f>
        <v/>
      </c>
      <c r="Y20" s="79">
        <f>INDEX(Results!T:T,MATCH(V20,Results!V:V,0))</f>
        <v>-4.625</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284</v>
      </c>
      <c r="H21" s="59"/>
      <c r="I21" s="84"/>
      <c r="J21" s="72"/>
      <c r="K21" s="73"/>
      <c r="L21" s="75"/>
      <c r="M21" s="76" t="e">
        <f>INDEX(Results!T:T,MATCH(J21,Results!V:V,0))</f>
        <v>#N/A</v>
      </c>
      <c r="N21" s="59"/>
      <c r="O21" s="84"/>
      <c r="P21" s="593" t="s">
        <v>284</v>
      </c>
      <c r="Q21" s="73">
        <v>2.4000000000000004</v>
      </c>
      <c r="R21" s="62"/>
      <c r="S21" s="79">
        <f>INDEX(Results!T:T,MATCH(P21,Results!V:V,0))</f>
        <v>-4.625</v>
      </c>
      <c r="T21" s="59"/>
      <c r="U21" s="64"/>
      <c r="V21" s="69" t="str">
        <f>IF(Q40=Q41,"Await earlier tie",IF(Q40&lt;Q41,P41,P40))</f>
        <v>Rob England</v>
      </c>
      <c r="W21" s="73"/>
      <c r="X21" s="65"/>
      <c r="Y21" s="79">
        <f>INDEX(Results!T:T,MATCH(V21,Results!V:V,0))</f>
        <v>-5.7777777777777777</v>
      </c>
      <c r="Z21" s="59"/>
      <c r="AA21" s="60" t="s">
        <v>523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367</v>
      </c>
      <c r="H22" s="59"/>
      <c r="I22" s="85">
        <v>11</v>
      </c>
      <c r="J22" s="72"/>
      <c r="K22" s="73"/>
      <c r="L22" s="74" t="str">
        <f>IF(K22="","",IF(K22=K23,"R",""))</f>
        <v/>
      </c>
      <c r="M22" s="76" t="e">
        <f>INDEX(Results!T:T,MATCH(J22,Results!V:V,0))</f>
        <v>#N/A</v>
      </c>
      <c r="N22" s="59"/>
      <c r="O22" s="85">
        <v>11</v>
      </c>
      <c r="P22" s="593" t="s">
        <v>367</v>
      </c>
      <c r="Q22" s="73">
        <v>5.8181818181818183</v>
      </c>
      <c r="R22" s="82" t="str">
        <f>IF(Q22="","",IF(Q22=Q23,"R",""))</f>
        <v/>
      </c>
      <c r="S22" s="79">
        <f>INDEX(Results!T:T,MATCH(P22,Results!V:V,0))</f>
        <v>10.919999999999998</v>
      </c>
      <c r="T22" s="59"/>
      <c r="U22" s="61">
        <v>11</v>
      </c>
      <c r="V22" s="69" t="str">
        <f>IF(Q42=Q43,"Await earlier tie",IF(Q42&lt;Q43,P43,P42))</f>
        <v>Chris Griffin</v>
      </c>
      <c r="W22" s="73"/>
      <c r="X22" s="82" t="str">
        <f>IF(W22="","",IF(W22=W23,"R",""))</f>
        <v/>
      </c>
      <c r="Y22" s="79">
        <f>INDEX(Results!T:T,MATCH(V22,Results!V:V,0))</f>
        <v>8.1616161616161627</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520</v>
      </c>
      <c r="H23" s="59"/>
      <c r="I23" s="84"/>
      <c r="J23" s="72"/>
      <c r="K23" s="73"/>
      <c r="L23" s="75"/>
      <c r="M23" s="76" t="e">
        <f>INDEX(Results!T:T,MATCH(J23,Results!V:V,0))</f>
        <v>#N/A</v>
      </c>
      <c r="N23" s="59"/>
      <c r="O23" s="84"/>
      <c r="P23" s="593" t="s">
        <v>520</v>
      </c>
      <c r="Q23" s="73">
        <v>-7</v>
      </c>
      <c r="R23" s="62"/>
      <c r="S23" s="79">
        <f>INDEX(Results!T:T,MATCH(P23,Results!V:V,0))</f>
        <v>-0.91666666666666607</v>
      </c>
      <c r="T23" s="59"/>
      <c r="U23" s="64"/>
      <c r="V23" s="69" t="str">
        <f>IF(Q44=Q45,"Await earlier tie",IF(Q44&lt;Q45,P45,P44))</f>
        <v>Steve Carter</v>
      </c>
      <c r="W23" s="73"/>
      <c r="X23" s="65"/>
      <c r="Y23" s="79">
        <f>INDEX(Results!T:T,MATCH(V23,Results!V:V,0))</f>
        <v>-4.75</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295</v>
      </c>
      <c r="H24" s="59"/>
      <c r="I24" s="85">
        <v>12</v>
      </c>
      <c r="J24" s="72"/>
      <c r="K24" s="73"/>
      <c r="L24" s="74" t="str">
        <f>IF(K24="","",IF(K24=K25,"R",""))</f>
        <v/>
      </c>
      <c r="M24" s="76" t="e">
        <f>INDEX(Results!T:T,MATCH(J24,Results!V:V,0))</f>
        <v>#N/A</v>
      </c>
      <c r="N24" s="59"/>
      <c r="O24" s="85">
        <v>12</v>
      </c>
      <c r="P24" s="593" t="s">
        <v>295</v>
      </c>
      <c r="Q24" s="73">
        <v>-7</v>
      </c>
      <c r="R24" s="82" t="str">
        <f>IF(Q24="","",IF(Q24=Q25,"R",""))</f>
        <v/>
      </c>
      <c r="S24" s="79">
        <f>INDEX(Results!T:T,MATCH(P24,Results!V:V,0))</f>
        <v>24.40625</v>
      </c>
      <c r="T24" s="59"/>
      <c r="U24" s="61">
        <v>12</v>
      </c>
      <c r="V24" s="69" t="str">
        <f>IF(Q46=Q47,"Await earlier tie",IF(Q46&lt;Q47,P47,P46))</f>
        <v>Kevin Carter</v>
      </c>
      <c r="W24" s="73"/>
      <c r="X24" s="82" t="str">
        <f>IF(W24="","",IF(W24=W25,"R",""))</f>
        <v/>
      </c>
      <c r="Y24" s="79">
        <f>INDEX(Results!T:T,MATCH(V24,Results!V:V,0))</f>
        <v>2.2708333333333339</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288</v>
      </c>
      <c r="H25" s="59"/>
      <c r="I25" s="84"/>
      <c r="J25" s="72"/>
      <c r="K25" s="73"/>
      <c r="L25" s="75"/>
      <c r="M25" s="76" t="e">
        <f>INDEX(Results!T:T,MATCH(J25,Results!V:V,0))</f>
        <v>#N/A</v>
      </c>
      <c r="N25" s="59"/>
      <c r="O25" s="84"/>
      <c r="P25" s="593" t="s">
        <v>288</v>
      </c>
      <c r="Q25" s="73">
        <v>-4.3</v>
      </c>
      <c r="R25" s="62"/>
      <c r="S25" s="79">
        <f>INDEX(Results!T:T,MATCH(P25,Results!V:V,0))</f>
        <v>5.5</v>
      </c>
      <c r="T25" s="59"/>
      <c r="U25" s="64"/>
      <c r="V25" s="69" t="str">
        <f>IF(Q48=Q49,"Await earlier tie",IF(Q48&lt;Q49,P49,P48))</f>
        <v>Alan White</v>
      </c>
      <c r="W25" s="73"/>
      <c r="X25" s="65"/>
      <c r="Y25" s="79">
        <f>INDEX(Results!T:T,MATCH(V25,Results!V:V,0))</f>
        <v>-4.75</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301</v>
      </c>
      <c r="H26" s="59"/>
      <c r="I26" s="85">
        <v>13</v>
      </c>
      <c r="J26" s="72"/>
      <c r="K26" s="73"/>
      <c r="L26" s="74" t="str">
        <f>IF(K26="","",IF(K26=K27,"R",""))</f>
        <v/>
      </c>
      <c r="M26" s="76" t="e">
        <f>INDEX(Results!T:T,MATCH(J26,Results!V:V,0))</f>
        <v>#N/A</v>
      </c>
      <c r="N26" s="59"/>
      <c r="O26" s="85">
        <v>13</v>
      </c>
      <c r="P26" s="593" t="s">
        <v>301</v>
      </c>
      <c r="Q26" s="73">
        <v>0.125</v>
      </c>
      <c r="R26" s="82" t="str">
        <f>IF(Q26="","",IF(Q26=Q27,"R",""))</f>
        <v/>
      </c>
      <c r="S26" s="79">
        <f>INDEX(Results!T:T,MATCH(P26,Results!V:V,0))</f>
        <v>36.625</v>
      </c>
      <c r="T26" s="59"/>
      <c r="U26" s="61">
        <v>13</v>
      </c>
      <c r="V26" s="69" t="str">
        <f>IF(Q50=Q51,"Await earlier tie",IF(Q50&lt;Q51,P51,P50))</f>
        <v>Nigel Heyes</v>
      </c>
      <c r="W26" s="73"/>
      <c r="X26" s="82" t="str">
        <f>IF(W26="","",IF(W26=W27,"R",""))</f>
        <v/>
      </c>
      <c r="Y26" s="79">
        <f>INDEX(Results!T:T,MATCH(V26,Results!V:V,0))</f>
        <v>1.454545454545455</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314</v>
      </c>
      <c r="H27" s="59"/>
      <c r="I27" s="84"/>
      <c r="J27" s="72"/>
      <c r="K27" s="73"/>
      <c r="L27" s="75"/>
      <c r="M27" s="76" t="e">
        <f>INDEX(Results!T:T,MATCH(J27,Results!V:V,0))</f>
        <v>#N/A</v>
      </c>
      <c r="N27" s="59"/>
      <c r="O27" s="84"/>
      <c r="P27" s="593" t="s">
        <v>314</v>
      </c>
      <c r="Q27" s="73">
        <v>2.4000000000000004</v>
      </c>
      <c r="R27" s="62"/>
      <c r="S27" s="79">
        <f>INDEX(Results!T:T,MATCH(P27,Results!V:V,0))</f>
        <v>-4.8499999999999996</v>
      </c>
      <c r="T27" s="59"/>
      <c r="U27" s="64"/>
      <c r="V27" s="69" t="str">
        <f>IF(Q52=Q53,"Await earlier tie",IF(Q52&lt;Q53,P53,P52))</f>
        <v>Mark Bunn</v>
      </c>
      <c r="W27" s="73"/>
      <c r="X27" s="65"/>
      <c r="Y27" s="79">
        <f>INDEX(Results!T:T,MATCH(V27,Results!V:V,0))</f>
        <v>-7</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443</v>
      </c>
      <c r="H28" s="59"/>
      <c r="I28" s="85">
        <v>14</v>
      </c>
      <c r="J28" s="72"/>
      <c r="K28" s="73"/>
      <c r="L28" s="74" t="str">
        <f>IF(K28="","",IF(K28=K29,"R",""))</f>
        <v/>
      </c>
      <c r="M28" s="76" t="e">
        <f>INDEX(Results!T:T,MATCH(J28,Results!V:V,0))</f>
        <v>#N/A</v>
      </c>
      <c r="N28" s="59"/>
      <c r="O28" s="85">
        <v>14</v>
      </c>
      <c r="P28" s="593" t="s">
        <v>443</v>
      </c>
      <c r="Q28" s="73">
        <v>-5.05</v>
      </c>
      <c r="R28" s="82" t="str">
        <f>IF(Q28="","",IF(Q28=Q29,"R",""))</f>
        <v/>
      </c>
      <c r="S28" s="79">
        <f>INDEX(Results!T:T,MATCH(P28,Results!V:V,0))</f>
        <v>-5.2</v>
      </c>
      <c r="T28" s="59"/>
      <c r="U28" s="61">
        <v>14</v>
      </c>
      <c r="V28" s="69" t="str">
        <f>IF(Q54=Q55,"Await earlier tie",IF(Q54&lt;Q55,P55,P54))</f>
        <v>Chris Bow</v>
      </c>
      <c r="W28" s="73"/>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290</v>
      </c>
      <c r="H29" s="59"/>
      <c r="I29" s="84"/>
      <c r="J29" s="72"/>
      <c r="K29" s="73"/>
      <c r="L29" s="75"/>
      <c r="M29" s="76" t="e">
        <f>INDEX(Results!T:T,MATCH(J29,Results!V:V,0))</f>
        <v>#N/A</v>
      </c>
      <c r="N29" s="59"/>
      <c r="O29" s="84"/>
      <c r="P29" s="593" t="s">
        <v>290</v>
      </c>
      <c r="Q29" s="73">
        <v>-2.25</v>
      </c>
      <c r="R29" s="62"/>
      <c r="S29" s="79">
        <f>INDEX(Results!T:T,MATCH(P29,Results!V:V,0))</f>
        <v>0.77500000000000036</v>
      </c>
      <c r="T29" s="59"/>
      <c r="U29" s="64"/>
      <c r="V29" s="69" t="str">
        <f>IF(Q56=Q57,"Await earlier tie",IF(Q56&lt;Q57,P57,P56))</f>
        <v>Mo Sudell</v>
      </c>
      <c r="W29" s="73"/>
      <c r="X29" s="65"/>
      <c r="Y29" s="79">
        <f>INDEX(Results!T:T,MATCH(V29,Results!V:V,0))</f>
        <v>-7</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324</v>
      </c>
      <c r="H30" s="59"/>
      <c r="I30" s="85">
        <v>15</v>
      </c>
      <c r="J30" s="72"/>
      <c r="K30" s="73"/>
      <c r="L30" s="74" t="str">
        <f>IF(K30="","",IF(K30=K31,"R",""))</f>
        <v/>
      </c>
      <c r="M30" s="76" t="e">
        <f>INDEX(Results!T:T,MATCH(J30,Results!V:V,0))</f>
        <v>#N/A</v>
      </c>
      <c r="N30" s="59"/>
      <c r="O30" s="85">
        <v>15</v>
      </c>
      <c r="P30" s="593" t="s">
        <v>324</v>
      </c>
      <c r="Q30" s="73">
        <v>-10</v>
      </c>
      <c r="R30" s="82" t="str">
        <f>IF(Q30="","",IF(Q30=Q31,"R",""))</f>
        <v/>
      </c>
      <c r="S30" s="79" t="e">
        <f>INDEX(Results!T:T,MATCH(P30,Results!V:V,0))</f>
        <v>#VALUE!</v>
      </c>
      <c r="T30" s="59"/>
      <c r="U30" s="61">
        <v>15</v>
      </c>
      <c r="V30" s="69" t="str">
        <f>IF(Q58=Q59,"Await earlier tie",IF(Q58&lt;Q59,P59,P58))</f>
        <v>Mal Stott</v>
      </c>
      <c r="W30" s="73"/>
      <c r="X30" s="82" t="str">
        <f>IF(W30="","",IF(W30=W31,"R",""))</f>
        <v/>
      </c>
      <c r="Y30" s="79">
        <f>INDEX(Results!T:T,MATCH(V30,Results!V:V,0))</f>
        <v>-4.75</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315</v>
      </c>
      <c r="H31" s="59"/>
      <c r="I31" s="84"/>
      <c r="J31" s="72"/>
      <c r="K31" s="73"/>
      <c r="L31" s="75"/>
      <c r="M31" s="76" t="e">
        <f>INDEX(Results!T:T,MATCH(J31,Results!V:V,0))</f>
        <v>#N/A</v>
      </c>
      <c r="N31" s="59"/>
      <c r="O31" s="84"/>
      <c r="P31" s="593" t="s">
        <v>315</v>
      </c>
      <c r="Q31" s="73">
        <v>-0.72727272727272663</v>
      </c>
      <c r="R31" s="62"/>
      <c r="S31" s="79" t="e">
        <f>INDEX(Results!T:T,MATCH(P31,Results!V:V,0))</f>
        <v>#VALUE!</v>
      </c>
      <c r="T31" s="59"/>
      <c r="U31" s="64"/>
      <c r="V31" s="69" t="str">
        <f>IF(Q60=Q61,"Await earlier tie",IF(Q60&lt;Q61,P61,P60))</f>
        <v>Stephen Barr</v>
      </c>
      <c r="W31" s="73"/>
      <c r="X31" s="65"/>
      <c r="Y31" s="79">
        <f>INDEX(Results!T:T,MATCH(V31,Results!V:V,0))</f>
        <v>2.2375000000000007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316</v>
      </c>
      <c r="H32" s="59"/>
      <c r="I32" s="85">
        <v>16</v>
      </c>
      <c r="J32" s="72"/>
      <c r="K32" s="73"/>
      <c r="L32" s="74" t="str">
        <f>IF(K32="","",IF(K32=K33,"R",""))</f>
        <v/>
      </c>
      <c r="M32" s="76" t="e">
        <f>INDEX(Results!T:T,MATCH(J32,Results!V:V,0))</f>
        <v>#N/A</v>
      </c>
      <c r="N32" s="59"/>
      <c r="O32" s="85">
        <v>16</v>
      </c>
      <c r="P32" s="593" t="s">
        <v>316</v>
      </c>
      <c r="Q32" s="73">
        <v>-3.75</v>
      </c>
      <c r="R32" s="82" t="str">
        <f>IF(Q32="","",IF(Q32=Q33,"R",""))</f>
        <v/>
      </c>
      <c r="S32" s="79">
        <f>INDEX(Results!T:T,MATCH(P32,Results!V:V,0))</f>
        <v>-3.8</v>
      </c>
      <c r="T32" s="59"/>
      <c r="U32" s="61">
        <v>16</v>
      </c>
      <c r="V32" s="69" t="str">
        <f>IF(Q62=Q63,"Await earlier tie",IF(Q62&lt;Q63,P63,P62))</f>
        <v>Alan Rogers</v>
      </c>
      <c r="W32" s="73"/>
      <c r="X32" s="82" t="str">
        <f>IF(W32="","",IF(W32=W33,"R",""))</f>
        <v/>
      </c>
      <c r="Y32" s="79">
        <f>INDEX(Results!T:T,MATCH(V32,Results!V:V,0))</f>
        <v>-7</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369</v>
      </c>
      <c r="H33" s="59"/>
      <c r="I33" s="84"/>
      <c r="J33" s="72"/>
      <c r="K33" s="73"/>
      <c r="L33" s="75"/>
      <c r="M33" s="76" t="e">
        <f>INDEX(Results!T:T,MATCH(J33,Results!V:V,0))</f>
        <v>#N/A</v>
      </c>
      <c r="N33" s="59"/>
      <c r="O33" s="84"/>
      <c r="P33" s="593" t="s">
        <v>369</v>
      </c>
      <c r="Q33" s="73">
        <v>-4.3</v>
      </c>
      <c r="R33" s="62"/>
      <c r="S33" s="79">
        <f>INDEX(Results!T:T,MATCH(P33,Results!V:V,0))</f>
        <v>1.0625</v>
      </c>
      <c r="T33" s="59"/>
      <c r="U33" s="68"/>
      <c r="V33" s="69" t="str">
        <f>IF(Q64=Q65,"Await earlier tie",IF(Q64&lt;Q65,P65,P64))</f>
        <v>Andy Charleston</v>
      </c>
      <c r="W33" s="73"/>
      <c r="X33" s="62"/>
      <c r="Y33" s="79">
        <f>INDEX(Results!T:T,MATCH(V33,Results!V:V,0))</f>
        <v>-4.625</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375</v>
      </c>
      <c r="H34" s="59"/>
      <c r="I34" s="85">
        <v>17</v>
      </c>
      <c r="J34" s="72"/>
      <c r="K34" s="73"/>
      <c r="L34" s="74" t="str">
        <f>IF(K34="","",IF(K34=K35,"R",""))</f>
        <v/>
      </c>
      <c r="M34" s="76" t="e">
        <f>INDEX(Results!T:T,MATCH(J34,Results!V:V,0))</f>
        <v>#N/A</v>
      </c>
      <c r="N34" s="59"/>
      <c r="O34" s="85">
        <v>17</v>
      </c>
      <c r="P34" s="593" t="s">
        <v>375</v>
      </c>
      <c r="Q34" s="73">
        <v>-3.8</v>
      </c>
      <c r="R34" s="82" t="str">
        <f>IF(Q34="","",IF(Q34=Q35,"R",""))</f>
        <v/>
      </c>
      <c r="S34" s="79">
        <f>INDEX(Results!T:T,MATCH(P34,Results!V:V,0))</f>
        <v>1.96875</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285</v>
      </c>
      <c r="H35" s="59"/>
      <c r="I35" s="84"/>
      <c r="J35" s="72"/>
      <c r="K35" s="73"/>
      <c r="L35" s="75"/>
      <c r="M35" s="76" t="e">
        <f>INDEX(Results!T:T,MATCH(J35,Results!V:V,0))</f>
        <v>#N/A</v>
      </c>
      <c r="N35" s="59"/>
      <c r="O35" s="84"/>
      <c r="P35" s="593" t="s">
        <v>285</v>
      </c>
      <c r="Q35" s="73">
        <v>-0.47750000000000004</v>
      </c>
      <c r="R35" s="62"/>
      <c r="S35" s="79">
        <f>INDEX(Results!T:T,MATCH(P35,Results!V:V,0))</f>
        <v>17.963636363636361</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299</v>
      </c>
      <c r="H36" s="59"/>
      <c r="I36" s="85">
        <v>18</v>
      </c>
      <c r="J36" s="72"/>
      <c r="K36" s="73"/>
      <c r="L36" s="74" t="str">
        <f>IF(K36="","",IF(K36=K37,"R",""))</f>
        <v/>
      </c>
      <c r="M36" s="76" t="e">
        <f>INDEX(Results!T:T,MATCH(J36,Results!V:V,0))</f>
        <v>#N/A</v>
      </c>
      <c r="N36" s="59"/>
      <c r="O36" s="85">
        <v>18</v>
      </c>
      <c r="P36" s="593" t="s">
        <v>299</v>
      </c>
      <c r="Q36" s="73">
        <v>32.799999999999997</v>
      </c>
      <c r="R36" s="82" t="str">
        <f>IF(Q36="","",IF(Q36=Q37,"R",""))</f>
        <v/>
      </c>
      <c r="S36" s="79">
        <f>INDEX(Results!T:T,MATCH(P36,Results!V:V,0))</f>
        <v>1.5625</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376</v>
      </c>
      <c r="H37" s="59"/>
      <c r="I37" s="84"/>
      <c r="J37" s="72"/>
      <c r="K37" s="73"/>
      <c r="L37" s="75"/>
      <c r="M37" s="76" t="e">
        <f>INDEX(Results!T:T,MATCH(J37,Results!V:V,0))</f>
        <v>#N/A</v>
      </c>
      <c r="N37" s="59"/>
      <c r="O37" s="84"/>
      <c r="P37" s="593" t="s">
        <v>376</v>
      </c>
      <c r="Q37" s="73">
        <v>12.5</v>
      </c>
      <c r="R37" s="62"/>
      <c r="S37" s="79">
        <f>INDEX(Results!T:T,MATCH(P37,Results!V:V,0))</f>
        <v>-3.8</v>
      </c>
      <c r="T37" s="59"/>
      <c r="U37" s="58" t="s">
        <v>431</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371</v>
      </c>
      <c r="H38" s="59"/>
      <c r="I38" s="85">
        <v>19</v>
      </c>
      <c r="J38" s="72"/>
      <c r="K38" s="73"/>
      <c r="L38" s="74" t="str">
        <f>IF(K38="","",IF(K38=K39,"R",""))</f>
        <v/>
      </c>
      <c r="M38" s="76" t="e">
        <f>INDEX(Results!T:T,MATCH(J38,Results!V:V,0))</f>
        <v>#N/A</v>
      </c>
      <c r="N38" s="59"/>
      <c r="O38" s="85">
        <v>19</v>
      </c>
      <c r="P38" s="593" t="s">
        <v>371</v>
      </c>
      <c r="Q38" s="73">
        <v>41.875</v>
      </c>
      <c r="R38" s="82" t="str">
        <f>IF(Q38="","",IF(Q38=Q39,"R",""))</f>
        <v/>
      </c>
      <c r="S38" s="79">
        <f>INDEX(Results!T:T,MATCH(P38,Results!V:V,0))</f>
        <v>-4.625</v>
      </c>
      <c r="T38" s="59"/>
      <c r="U38" s="61">
        <v>6</v>
      </c>
      <c r="V38" s="63"/>
      <c r="W38" s="73"/>
      <c r="X38" s="82" t="s">
        <v>538</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518</v>
      </c>
      <c r="H39" s="59"/>
      <c r="I39" s="84"/>
      <c r="J39" s="72"/>
      <c r="K39" s="73"/>
      <c r="L39" s="75"/>
      <c r="M39" s="76" t="e">
        <f>INDEX(Results!T:T,MATCH(J39,Results!V:V,0))</f>
        <v>#N/A</v>
      </c>
      <c r="N39" s="59"/>
      <c r="O39" s="84"/>
      <c r="P39" s="593" t="s">
        <v>518</v>
      </c>
      <c r="Q39" s="73">
        <v>-7</v>
      </c>
      <c r="R39" s="62"/>
      <c r="S39" s="79">
        <f>INDEX(Results!T:T,MATCH(P39,Results!V:V,0))</f>
        <v>-3.75</v>
      </c>
      <c r="T39" s="59"/>
      <c r="U39" s="64"/>
      <c r="V39" s="63"/>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303</v>
      </c>
      <c r="H40" s="59"/>
      <c r="I40" s="85">
        <v>20</v>
      </c>
      <c r="J40" s="72"/>
      <c r="K40" s="73"/>
      <c r="L40" s="74" t="str">
        <f>IF(K40="","",IF(K40=K41,"R",""))</f>
        <v/>
      </c>
      <c r="M40" s="76" t="e">
        <f>INDEX(Results!T:T,MATCH(J40,Results!V:V,0))</f>
        <v>#N/A</v>
      </c>
      <c r="N40" s="59"/>
      <c r="O40" s="85">
        <v>20</v>
      </c>
      <c r="P40" s="593" t="s">
        <v>303</v>
      </c>
      <c r="Q40" s="73">
        <v>-5.0909090909090908</v>
      </c>
      <c r="R40" s="82" t="str">
        <f>IF(Q40="","",IF(Q40=Q41,"R",""))</f>
        <v/>
      </c>
      <c r="S40" s="79">
        <f>INDEX(Results!T:T,MATCH(P40,Results!V:V,0))</f>
        <v>-5.7777777777777777</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300</v>
      </c>
      <c r="H41" s="59"/>
      <c r="I41" s="84"/>
      <c r="J41" s="72"/>
      <c r="K41" s="73"/>
      <c r="L41" s="75"/>
      <c r="M41" s="76" t="e">
        <f>INDEX(Results!T:T,MATCH(J41,Results!V:V,0))</f>
        <v>#N/A</v>
      </c>
      <c r="N41" s="59"/>
      <c r="O41" s="84"/>
      <c r="P41" s="593" t="s">
        <v>300</v>
      </c>
      <c r="Q41" s="73">
        <v>-10</v>
      </c>
      <c r="R41" s="62"/>
      <c r="S41" s="79">
        <f>INDEX(Results!T:T,MATCH(P41,Results!V:V,0))</f>
        <v>1.96875</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306</v>
      </c>
      <c r="H42" s="59"/>
      <c r="I42" s="85">
        <v>21</v>
      </c>
      <c r="J42" s="72"/>
      <c r="K42" s="73"/>
      <c r="L42" s="74" t="str">
        <f>IF(K42="","",IF(K42=K43,"R",""))</f>
        <v/>
      </c>
      <c r="M42" s="76" t="e">
        <f>INDEX(Results!T:T,MATCH(J42,Results!V:V,0))</f>
        <v>#N/A</v>
      </c>
      <c r="N42" s="59"/>
      <c r="O42" s="85">
        <v>21</v>
      </c>
      <c r="P42" s="593" t="s">
        <v>306</v>
      </c>
      <c r="Q42" s="73">
        <v>6.7600000000000016</v>
      </c>
      <c r="R42" s="82" t="str">
        <f>IF(Q42="","",IF(Q42=Q43,"R",""))</f>
        <v/>
      </c>
      <c r="S42" s="79">
        <f>INDEX(Results!T:T,MATCH(P42,Results!V:V,0))</f>
        <v>8.1616161616161627</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305</v>
      </c>
      <c r="H43" s="59"/>
      <c r="I43" s="84"/>
      <c r="J43" s="72"/>
      <c r="K43" s="73"/>
      <c r="L43" s="75"/>
      <c r="M43" s="76" t="e">
        <f>INDEX(Results!T:T,MATCH(J43,Results!V:V,0))</f>
        <v>#N/A</v>
      </c>
      <c r="N43" s="59"/>
      <c r="O43" s="84"/>
      <c r="P43" s="593" t="s">
        <v>305</v>
      </c>
      <c r="Q43" s="73">
        <v>-7</v>
      </c>
      <c r="R43" s="62"/>
      <c r="S43" s="79">
        <f>INDEX(Results!T:T,MATCH(P43,Results!V:V,0))</f>
        <v>-2.8</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282</v>
      </c>
      <c r="H44" s="59"/>
      <c r="I44" s="85">
        <v>22</v>
      </c>
      <c r="J44" s="72"/>
      <c r="K44" s="73"/>
      <c r="L44" s="74" t="str">
        <f t="shared" ref="L44:L72" si="0">IF(K44="","",IF(K44=K45,"R",""))</f>
        <v/>
      </c>
      <c r="M44" s="76" t="e">
        <f>INDEX(Results!T:T,MATCH(J44,Results!V:V,0))</f>
        <v>#N/A</v>
      </c>
      <c r="N44" s="59"/>
      <c r="O44" s="85">
        <v>22</v>
      </c>
      <c r="P44" s="593" t="s">
        <v>282</v>
      </c>
      <c r="Q44" s="73">
        <v>22.254545454545458</v>
      </c>
      <c r="R44" s="82" t="str">
        <f>IF(Q44="","",IF(Q44=Q45,"R",""))</f>
        <v/>
      </c>
      <c r="S44" s="79">
        <f>INDEX(Results!T:T,MATCH(P44,Results!V:V,0))</f>
        <v>-4.75</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296</v>
      </c>
      <c r="H45" s="59"/>
      <c r="I45" s="84"/>
      <c r="J45" s="72"/>
      <c r="K45" s="73"/>
      <c r="L45" s="75"/>
      <c r="M45" s="76" t="e">
        <f>INDEX(Results!T:T,MATCH(J45,Results!V:V,0))</f>
        <v>#N/A</v>
      </c>
      <c r="N45" s="59"/>
      <c r="O45" s="84"/>
      <c r="P45" s="593" t="s">
        <v>296</v>
      </c>
      <c r="Q45" s="73">
        <v>-4.75</v>
      </c>
      <c r="R45" s="62"/>
      <c r="S45" s="79" t="e">
        <f>INDEX(Results!T:T,MATCH(P45,Results!V:V,0))</f>
        <v>#VALUE!</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302</v>
      </c>
      <c r="H46" s="59"/>
      <c r="I46" s="85">
        <v>23</v>
      </c>
      <c r="J46" s="72"/>
      <c r="K46" s="73"/>
      <c r="L46" s="74" t="str">
        <f t="shared" si="0"/>
        <v/>
      </c>
      <c r="M46" s="76" t="e">
        <f>INDEX(Results!T:T,MATCH(J46,Results!V:V,0))</f>
        <v>#N/A</v>
      </c>
      <c r="N46" s="59"/>
      <c r="O46" s="85">
        <v>23</v>
      </c>
      <c r="P46" s="593" t="s">
        <v>302</v>
      </c>
      <c r="Q46" s="73">
        <v>2.7636363636363654</v>
      </c>
      <c r="R46" s="82" t="str">
        <f>IF(Q46="","",IF(Q46=Q47,"R",""))</f>
        <v/>
      </c>
      <c r="S46" s="79">
        <f>INDEX(Results!T:T,MATCH(P46,Results!V:V,0))</f>
        <v>2.2708333333333339</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311</v>
      </c>
      <c r="H47" s="59"/>
      <c r="I47" s="84"/>
      <c r="J47" s="72"/>
      <c r="K47" s="73"/>
      <c r="L47" s="75"/>
      <c r="M47" s="76" t="e">
        <f>INDEX(Results!T:T,MATCH(J47,Results!V:V,0))</f>
        <v>#N/A</v>
      </c>
      <c r="N47" s="59"/>
      <c r="O47" s="84"/>
      <c r="P47" s="593" t="s">
        <v>311</v>
      </c>
      <c r="Q47" s="73">
        <v>-7</v>
      </c>
      <c r="R47" s="62"/>
      <c r="S47" s="79">
        <f>INDEX(Results!T:T,MATCH(P47,Results!V:V,0))</f>
        <v>11.40625</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444</v>
      </c>
      <c r="H48" s="59"/>
      <c r="I48" s="85">
        <v>24</v>
      </c>
      <c r="J48" s="72"/>
      <c r="K48" s="73"/>
      <c r="L48" s="74" t="str">
        <f t="shared" si="0"/>
        <v/>
      </c>
      <c r="M48" s="76" t="e">
        <f>INDEX(Results!T:T,MATCH(J48,Results!V:V,0))</f>
        <v>#N/A</v>
      </c>
      <c r="N48" s="59"/>
      <c r="O48" s="85">
        <v>24</v>
      </c>
      <c r="P48" s="593" t="s">
        <v>444</v>
      </c>
      <c r="Q48" s="73">
        <v>0.58181818181818201</v>
      </c>
      <c r="R48" s="82" t="str">
        <f>IF(Q48="","",IF(Q48=Q49,"R",""))</f>
        <v/>
      </c>
      <c r="S48" s="79">
        <f>INDEX(Results!T:T,MATCH(P48,Results!V:V,0))</f>
        <v>-4.75</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310</v>
      </c>
      <c r="H49" s="59"/>
      <c r="I49" s="84"/>
      <c r="J49" s="72"/>
      <c r="K49" s="73"/>
      <c r="L49" s="75"/>
      <c r="M49" s="76" t="e">
        <f>INDEX(Results!T:T,MATCH(J49,Results!V:V,0))</f>
        <v>#N/A</v>
      </c>
      <c r="N49" s="59"/>
      <c r="O49" s="84"/>
      <c r="P49" s="593" t="s">
        <v>310</v>
      </c>
      <c r="Q49" s="73">
        <v>-7</v>
      </c>
      <c r="R49" s="62"/>
      <c r="S49" s="79">
        <f>INDEX(Results!T:T,MATCH(P49,Results!V:V,0))</f>
        <v>-3.4</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308</v>
      </c>
      <c r="H50" s="59"/>
      <c r="I50" s="85">
        <v>25</v>
      </c>
      <c r="J50" s="72"/>
      <c r="K50" s="73"/>
      <c r="L50" s="74" t="str">
        <f t="shared" si="0"/>
        <v/>
      </c>
      <c r="M50" s="76" t="e">
        <f>INDEX(Results!T:T,MATCH(J50,Results!V:V,0))</f>
        <v>#N/A</v>
      </c>
      <c r="N50" s="59"/>
      <c r="O50" s="85">
        <v>25</v>
      </c>
      <c r="P50" s="593" t="s">
        <v>308</v>
      </c>
      <c r="Q50" s="73">
        <v>-5.05</v>
      </c>
      <c r="R50" s="82" t="str">
        <f>IF(Q50="","",IF(Q50=Q51,"R",""))</f>
        <v/>
      </c>
      <c r="S50" s="79">
        <f>INDEX(Results!T:T,MATCH(P50,Results!V:V,0))</f>
        <v>1.454545454545455</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527</v>
      </c>
      <c r="H51" s="59"/>
      <c r="I51" s="84"/>
      <c r="J51" s="72"/>
      <c r="K51" s="73"/>
      <c r="L51" s="75"/>
      <c r="M51" s="76" t="e">
        <f>INDEX(Results!T:T,MATCH(J51,Results!V:V,0))</f>
        <v>#N/A</v>
      </c>
      <c r="N51" s="59"/>
      <c r="O51" s="84"/>
      <c r="P51" s="593" t="s">
        <v>527</v>
      </c>
      <c r="Q51" s="73">
        <v>-5.666666666666667</v>
      </c>
      <c r="R51" s="62"/>
      <c r="S51" s="79">
        <f>INDEX(Results!T:T,MATCH(P51,Results!V:V,0))</f>
        <v>-4.7</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291</v>
      </c>
      <c r="H52" s="59"/>
      <c r="I52" s="85">
        <v>26</v>
      </c>
      <c r="J52" s="72"/>
      <c r="K52" s="73"/>
      <c r="L52" s="74" t="str">
        <f t="shared" si="0"/>
        <v/>
      </c>
      <c r="M52" s="76" t="e">
        <f>INDEX(Results!T:T,MATCH(J52,Results!V:V,0))</f>
        <v>#N/A</v>
      </c>
      <c r="N52" s="59"/>
      <c r="O52" s="85">
        <v>26</v>
      </c>
      <c r="P52" s="593" t="s">
        <v>291</v>
      </c>
      <c r="Q52" s="73">
        <v>-4.8</v>
      </c>
      <c r="R52" s="82" t="str">
        <f>IF(Q52="","",IF(Q52=Q53,"R",""))</f>
        <v/>
      </c>
      <c r="S52" s="79">
        <f>INDEX(Results!T:T,MATCH(P52,Results!V:V,0))</f>
        <v>-7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566</v>
      </c>
      <c r="H53" s="59"/>
      <c r="I53" s="84"/>
      <c r="J53" s="72"/>
      <c r="K53" s="73"/>
      <c r="L53" s="75"/>
      <c r="M53" s="76" t="e">
        <f>INDEX(Results!T:T,MATCH(J53,Results!V:V,0))</f>
        <v>#N/A</v>
      </c>
      <c r="N53" s="59"/>
      <c r="O53" s="84"/>
      <c r="P53" s="593" t="s">
        <v>566</v>
      </c>
      <c r="Q53" s="73">
        <v>-5.25</v>
      </c>
      <c r="R53" s="62"/>
      <c r="S53" s="79">
        <f>INDEX(Results!T:T,MATCH(P53,Results!V:V,0))</f>
        <v>-1.25</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313</v>
      </c>
      <c r="H54" s="59"/>
      <c r="I54" s="85">
        <v>27</v>
      </c>
      <c r="J54" s="72"/>
      <c r="K54" s="73"/>
      <c r="L54" s="74" t="str">
        <f t="shared" si="0"/>
        <v/>
      </c>
      <c r="M54" s="76" t="e">
        <f>INDEX(Results!T:T,MATCH(J54,Results!V:V,0))</f>
        <v>#N/A</v>
      </c>
      <c r="N54" s="59"/>
      <c r="O54" s="85">
        <v>27</v>
      </c>
      <c r="P54" s="69" t="s">
        <v>313</v>
      </c>
      <c r="Q54" s="73">
        <v>3.8400000000000016</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370</v>
      </c>
      <c r="H55" s="59"/>
      <c r="I55" s="84"/>
      <c r="J55" s="72"/>
      <c r="K55" s="73"/>
      <c r="L55" s="75"/>
      <c r="M55" s="76" t="e">
        <f>INDEX(Results!T:T,MATCH(J55,Results!V:V,0))</f>
        <v>#N/A</v>
      </c>
      <c r="N55" s="59"/>
      <c r="O55" s="84"/>
      <c r="P55" s="69" t="s">
        <v>370</v>
      </c>
      <c r="Q55" s="73">
        <v>-5.5</v>
      </c>
      <c r="R55" s="62"/>
      <c r="S55" s="79">
        <f>INDEX(Results!T:T,MATCH(P55,Results!V:V,0))</f>
        <v>-7</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309</v>
      </c>
      <c r="H56" s="59"/>
      <c r="I56" s="85">
        <v>28</v>
      </c>
      <c r="J56" s="72"/>
      <c r="K56" s="73"/>
      <c r="L56" s="74" t="str">
        <f t="shared" si="0"/>
        <v/>
      </c>
      <c r="M56" s="76" t="e">
        <f>INDEX(Results!T:T,MATCH(J56,Results!V:V,0))</f>
        <v>#N/A</v>
      </c>
      <c r="N56" s="59"/>
      <c r="O56" s="85">
        <v>28</v>
      </c>
      <c r="P56" s="69" t="s">
        <v>309</v>
      </c>
      <c r="Q56" s="73">
        <v>5.4166666666666661</v>
      </c>
      <c r="R56" s="82" t="str">
        <f>IF(Q56="","",IF(Q56=Q57,"R",""))</f>
        <v/>
      </c>
      <c r="S56" s="79">
        <f>INDEX(Results!T:T,MATCH(P56,Results!V:V,0))</f>
        <v>-7</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377</v>
      </c>
      <c r="H57" s="59"/>
      <c r="I57" s="84"/>
      <c r="J57" s="72"/>
      <c r="K57" s="73"/>
      <c r="L57" s="75"/>
      <c r="M57" s="76" t="e">
        <f>INDEX(Results!T:T,MATCH(J57,Results!V:V,0))</f>
        <v>#N/A</v>
      </c>
      <c r="N57" s="59"/>
      <c r="O57" s="84"/>
      <c r="P57" s="69" t="s">
        <v>377</v>
      </c>
      <c r="Q57" s="73">
        <v>-1.5833333333333339</v>
      </c>
      <c r="R57" s="62"/>
      <c r="S57" s="79">
        <f>INDEX(Results!T:T,MATCH(P57,Results!V:V,0))</f>
        <v>-1.8888888888888884</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287</v>
      </c>
      <c r="H58" s="59"/>
      <c r="I58" s="85">
        <v>29</v>
      </c>
      <c r="J58" s="72"/>
      <c r="K58" s="73"/>
      <c r="L58" s="74" t="str">
        <f t="shared" si="0"/>
        <v/>
      </c>
      <c r="M58" s="76" t="e">
        <f>INDEX(Results!T:T,MATCH(J58,Results!V:V,0))</f>
        <v>#N/A</v>
      </c>
      <c r="N58" s="59"/>
      <c r="O58" s="85">
        <v>29</v>
      </c>
      <c r="P58" s="69" t="s">
        <v>287</v>
      </c>
      <c r="Q58" s="73">
        <v>-4.4000000000000004</v>
      </c>
      <c r="R58" s="82" t="str">
        <f>IF(Q58="","",IF(Q58=Q59,"R",""))</f>
        <v/>
      </c>
      <c r="S58" s="79">
        <f>INDEX(Results!T:T,MATCH(P58,Results!V:V,0))</f>
        <v>-5.05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298</v>
      </c>
      <c r="H59" s="59"/>
      <c r="I59" s="84"/>
      <c r="J59" s="72"/>
      <c r="K59" s="73"/>
      <c r="L59" s="75"/>
      <c r="M59" s="76" t="e">
        <f>INDEX(Results!T:T,MATCH(J59,Results!V:V,0))</f>
        <v>#N/A</v>
      </c>
      <c r="N59" s="59"/>
      <c r="O59" s="84"/>
      <c r="P59" s="69" t="s">
        <v>298</v>
      </c>
      <c r="Q59" s="73">
        <v>3.6999999999999993</v>
      </c>
      <c r="R59" s="62"/>
      <c r="S59" s="79">
        <f>INDEX(Results!T:T,MATCH(P59,Results!V:V,0))</f>
        <v>-4.75</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280</v>
      </c>
      <c r="H60" s="59"/>
      <c r="I60" s="85">
        <v>30</v>
      </c>
      <c r="J60" s="72"/>
      <c r="K60" s="73"/>
      <c r="L60" s="74" t="str">
        <f t="shared" si="0"/>
        <v/>
      </c>
      <c r="M60" s="76" t="e">
        <f>INDEX(Results!T:T,MATCH(J60,Results!V:V,0))</f>
        <v>#N/A</v>
      </c>
      <c r="N60" s="59"/>
      <c r="O60" s="85">
        <v>30</v>
      </c>
      <c r="P60" s="69" t="s">
        <v>280</v>
      </c>
      <c r="Q60" s="73">
        <v>0</v>
      </c>
      <c r="R60" s="82" t="str">
        <f>IF(Q60="","",IF(Q60=Q61,"R",""))</f>
        <v/>
      </c>
      <c r="S60" s="79">
        <f>INDEX(Results!T:T,MATCH(P60,Results!V:V,0))</f>
        <v>2.2375000000000007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297</v>
      </c>
      <c r="H61" s="59"/>
      <c r="I61" s="84"/>
      <c r="J61" s="72"/>
      <c r="K61" s="73"/>
      <c r="L61" s="75"/>
      <c r="M61" s="76" t="e">
        <f>INDEX(Results!T:T,MATCH(J61,Results!V:V,0))</f>
        <v>#N/A</v>
      </c>
      <c r="N61" s="59"/>
      <c r="O61" s="84"/>
      <c r="P61" s="69" t="s">
        <v>497</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292</v>
      </c>
      <c r="H62" s="59"/>
      <c r="I62" s="85">
        <v>31</v>
      </c>
      <c r="J62" s="72"/>
      <c r="K62" s="73"/>
      <c r="L62" s="74" t="str">
        <f t="shared" si="0"/>
        <v/>
      </c>
      <c r="M62" s="76" t="e">
        <f>INDEX(Results!T:T,MATCH(J62,Results!V:V,0))</f>
        <v>#N/A</v>
      </c>
      <c r="N62" s="59"/>
      <c r="O62" s="85">
        <v>31</v>
      </c>
      <c r="P62" s="69" t="s">
        <v>297</v>
      </c>
      <c r="Q62" s="73">
        <v>-4</v>
      </c>
      <c r="R62" s="82" t="str">
        <f>IF(Q62="","",IF(Q62=Q63,"R",""))</f>
        <v/>
      </c>
      <c r="S62" s="79">
        <f>INDEX(Results!T:T,MATCH(P62,Results!V:V,0))</f>
        <v>-7</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497</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292</v>
      </c>
      <c r="Q64" s="73">
        <v>-3.75</v>
      </c>
      <c r="R64" s="82" t="str">
        <f>IF(Q64="","",IF(Q64=Q65,"R",""))</f>
        <v/>
      </c>
      <c r="S64" s="79">
        <f>INDEX(Results!T:T,MATCH(P64,Results!V:V,0))</f>
        <v>-4.625</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497</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523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0"/>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1"/>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0"/>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1"/>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0"/>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1"/>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0"/>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1"/>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0"/>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1"/>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0"/>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1"/>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08" priority="109">
      <formula>Q2&lt;Q3</formula>
    </cfRule>
  </conditionalFormatting>
  <conditionalFormatting sqref="P3">
    <cfRule type="expression" dxfId="107" priority="108">
      <formula>Q3&lt;Q2</formula>
    </cfRule>
  </conditionalFormatting>
  <conditionalFormatting sqref="P5">
    <cfRule type="expression" dxfId="106" priority="107">
      <formula>Q5&lt;Q4</formula>
    </cfRule>
  </conditionalFormatting>
  <conditionalFormatting sqref="P7">
    <cfRule type="expression" dxfId="105" priority="106">
      <formula>Q7&lt;Q6</formula>
    </cfRule>
  </conditionalFormatting>
  <conditionalFormatting sqref="P4">
    <cfRule type="expression" dxfId="104" priority="105">
      <formula>Q4&lt;Q5</formula>
    </cfRule>
  </conditionalFormatting>
  <conditionalFormatting sqref="P6">
    <cfRule type="expression" dxfId="103" priority="104">
      <formula>Q6&lt;Q7</formula>
    </cfRule>
  </conditionalFormatting>
  <conditionalFormatting sqref="P8">
    <cfRule type="expression" dxfId="102" priority="103">
      <formula>Q8&lt;Q9</formula>
    </cfRule>
  </conditionalFormatting>
  <conditionalFormatting sqref="P10">
    <cfRule type="expression" dxfId="101" priority="102">
      <formula>Q10&lt;Q11</formula>
    </cfRule>
  </conditionalFormatting>
  <conditionalFormatting sqref="P12">
    <cfRule type="expression" dxfId="100" priority="101">
      <formula>Q12&lt;Q13</formula>
    </cfRule>
  </conditionalFormatting>
  <conditionalFormatting sqref="P14">
    <cfRule type="expression" dxfId="99" priority="100">
      <formula>Q14&lt;Q15</formula>
    </cfRule>
  </conditionalFormatting>
  <conditionalFormatting sqref="P16">
    <cfRule type="expression" dxfId="98" priority="99">
      <formula>Q16&lt;Q17</formula>
    </cfRule>
  </conditionalFormatting>
  <conditionalFormatting sqref="P18">
    <cfRule type="expression" dxfId="97" priority="98">
      <formula>Q18&lt;Q19</formula>
    </cfRule>
  </conditionalFormatting>
  <conditionalFormatting sqref="P20">
    <cfRule type="expression" dxfId="96" priority="97">
      <formula>Q20&lt;Q21</formula>
    </cfRule>
  </conditionalFormatting>
  <conditionalFormatting sqref="P22">
    <cfRule type="expression" dxfId="95" priority="96">
      <formula>Q22&lt;Q23</formula>
    </cfRule>
  </conditionalFormatting>
  <conditionalFormatting sqref="P24">
    <cfRule type="expression" dxfId="94" priority="95">
      <formula>Q24&lt;Q25</formula>
    </cfRule>
  </conditionalFormatting>
  <conditionalFormatting sqref="P26">
    <cfRule type="expression" dxfId="93" priority="94">
      <formula>Q26&lt;Q27</formula>
    </cfRule>
  </conditionalFormatting>
  <conditionalFormatting sqref="P28">
    <cfRule type="expression" dxfId="92" priority="93">
      <formula>Q28&lt;Q29</formula>
    </cfRule>
  </conditionalFormatting>
  <conditionalFormatting sqref="P30">
    <cfRule type="expression" dxfId="91" priority="92">
      <formula>Q30&lt;Q31</formula>
    </cfRule>
  </conditionalFormatting>
  <conditionalFormatting sqref="P32">
    <cfRule type="expression" dxfId="90" priority="91">
      <formula>Q32&lt;Q33</formula>
    </cfRule>
  </conditionalFormatting>
  <conditionalFormatting sqref="P34">
    <cfRule type="expression" dxfId="89" priority="90">
      <formula>Q34&lt;Q35</formula>
    </cfRule>
  </conditionalFormatting>
  <conditionalFormatting sqref="P36">
    <cfRule type="expression" dxfId="88" priority="89">
      <formula>Q36&lt;Q37</formula>
    </cfRule>
  </conditionalFormatting>
  <conditionalFormatting sqref="P38">
    <cfRule type="expression" dxfId="87" priority="88">
      <formula>Q38&lt;Q39</formula>
    </cfRule>
  </conditionalFormatting>
  <conditionalFormatting sqref="P40">
    <cfRule type="expression" dxfId="86" priority="87">
      <formula>Q40&lt;Q41</formula>
    </cfRule>
  </conditionalFormatting>
  <conditionalFormatting sqref="P42">
    <cfRule type="expression" dxfId="85" priority="86">
      <formula>Q42&lt;Q43</formula>
    </cfRule>
  </conditionalFormatting>
  <conditionalFormatting sqref="P44">
    <cfRule type="expression" dxfId="84" priority="85">
      <formula>Q44&lt;Q45</formula>
    </cfRule>
  </conditionalFormatting>
  <conditionalFormatting sqref="P46">
    <cfRule type="expression" dxfId="83" priority="84">
      <formula>Q46&lt;Q47</formula>
    </cfRule>
  </conditionalFormatting>
  <conditionalFormatting sqref="P48">
    <cfRule type="expression" dxfId="82" priority="83">
      <formula>Q48&lt;Q49</formula>
    </cfRule>
  </conditionalFormatting>
  <conditionalFormatting sqref="P50">
    <cfRule type="expression" dxfId="81" priority="82">
      <formula>Q50&lt;Q51</formula>
    </cfRule>
  </conditionalFormatting>
  <conditionalFormatting sqref="P52">
    <cfRule type="expression" dxfId="80" priority="81">
      <formula>Q52&lt;Q53</formula>
    </cfRule>
  </conditionalFormatting>
  <conditionalFormatting sqref="P54">
    <cfRule type="expression" dxfId="79" priority="80">
      <formula>Q54&lt;Q55</formula>
    </cfRule>
  </conditionalFormatting>
  <conditionalFormatting sqref="P56">
    <cfRule type="expression" dxfId="78" priority="79">
      <formula>Q56&lt;Q57</formula>
    </cfRule>
  </conditionalFormatting>
  <conditionalFormatting sqref="P58">
    <cfRule type="expression" dxfId="77" priority="78">
      <formula>Q58&lt;Q59</formula>
    </cfRule>
  </conditionalFormatting>
  <conditionalFormatting sqref="P60">
    <cfRule type="expression" dxfId="76" priority="77">
      <formula>Q60&lt;Q61</formula>
    </cfRule>
  </conditionalFormatting>
  <conditionalFormatting sqref="P62">
    <cfRule type="expression" dxfId="75" priority="76">
      <formula>Q62&lt;Q63</formula>
    </cfRule>
  </conditionalFormatting>
  <conditionalFormatting sqref="P64">
    <cfRule type="expression" dxfId="74" priority="75">
      <formula>Q64&lt;Q65</formula>
    </cfRule>
  </conditionalFormatting>
  <conditionalFormatting sqref="P9">
    <cfRule type="expression" dxfId="73" priority="74">
      <formula>Q9&lt;Q8</formula>
    </cfRule>
  </conditionalFormatting>
  <conditionalFormatting sqref="P11">
    <cfRule type="expression" dxfId="72" priority="73">
      <formula>Q11&lt;Q10</formula>
    </cfRule>
  </conditionalFormatting>
  <conditionalFormatting sqref="P15">
    <cfRule type="expression" dxfId="71" priority="71">
      <formula>Q15&lt;Q14</formula>
    </cfRule>
  </conditionalFormatting>
  <conditionalFormatting sqref="P17">
    <cfRule type="expression" dxfId="70" priority="70">
      <formula>Q17&lt;Q16</formula>
    </cfRule>
  </conditionalFormatting>
  <conditionalFormatting sqref="P19">
    <cfRule type="expression" dxfId="69" priority="69">
      <formula>Q19&lt;Q18</formula>
    </cfRule>
  </conditionalFormatting>
  <conditionalFormatting sqref="P23">
    <cfRule type="expression" dxfId="68" priority="68">
      <formula>Q23&lt;Q22</formula>
    </cfRule>
  </conditionalFormatting>
  <conditionalFormatting sqref="P25">
    <cfRule type="expression" dxfId="67" priority="67">
      <formula>Q25&lt;Q24</formula>
    </cfRule>
  </conditionalFormatting>
  <conditionalFormatting sqref="P27">
    <cfRule type="expression" dxfId="66" priority="66">
      <formula>Q27&lt;Q26</formula>
    </cfRule>
  </conditionalFormatting>
  <conditionalFormatting sqref="P29">
    <cfRule type="expression" dxfId="65" priority="65">
      <formula>Q29&lt;Q28</formula>
    </cfRule>
  </conditionalFormatting>
  <conditionalFormatting sqref="P31">
    <cfRule type="expression" dxfId="64" priority="64">
      <formula>Q31&lt;Q30</formula>
    </cfRule>
  </conditionalFormatting>
  <conditionalFormatting sqref="P33">
    <cfRule type="expression" dxfId="63" priority="63">
      <formula>Q33&lt;Q32</formula>
    </cfRule>
  </conditionalFormatting>
  <conditionalFormatting sqref="P35">
    <cfRule type="expression" dxfId="62" priority="62">
      <formula>Q35&lt;Q34</formula>
    </cfRule>
  </conditionalFormatting>
  <conditionalFormatting sqref="P37">
    <cfRule type="expression" dxfId="61" priority="61">
      <formula>Q37&lt;Q36</formula>
    </cfRule>
  </conditionalFormatting>
  <conditionalFormatting sqref="P39">
    <cfRule type="expression" dxfId="60" priority="60">
      <formula>Q39&lt;Q38</formula>
    </cfRule>
  </conditionalFormatting>
  <conditionalFormatting sqref="P41">
    <cfRule type="expression" dxfId="59" priority="59">
      <formula>Q41&lt;Q40</formula>
    </cfRule>
  </conditionalFormatting>
  <conditionalFormatting sqref="P43">
    <cfRule type="expression" dxfId="58" priority="58">
      <formula>Q43&lt;Q42</formula>
    </cfRule>
  </conditionalFormatting>
  <conditionalFormatting sqref="P45">
    <cfRule type="expression" dxfId="57" priority="56">
      <formula>Q45&lt;Q44</formula>
    </cfRule>
  </conditionalFormatting>
  <conditionalFormatting sqref="P47">
    <cfRule type="expression" dxfId="56" priority="55">
      <formula>Q47&lt;Q46</formula>
    </cfRule>
  </conditionalFormatting>
  <conditionalFormatting sqref="P49">
    <cfRule type="expression" dxfId="55" priority="54">
      <formula>Q49&lt;Q48</formula>
    </cfRule>
  </conditionalFormatting>
  <conditionalFormatting sqref="P51">
    <cfRule type="expression" dxfId="54" priority="53">
      <formula>Q51&lt;Q50</formula>
    </cfRule>
  </conditionalFormatting>
  <conditionalFormatting sqref="P53">
    <cfRule type="expression" dxfId="53" priority="52">
      <formula>Q53&lt;Q52</formula>
    </cfRule>
  </conditionalFormatting>
  <conditionalFormatting sqref="P55">
    <cfRule type="expression" dxfId="52" priority="51">
      <formula>Q55&lt;Q54</formula>
    </cfRule>
  </conditionalFormatting>
  <conditionalFormatting sqref="P57">
    <cfRule type="expression" dxfId="51" priority="50">
      <formula>Q57&lt;Q56</formula>
    </cfRule>
  </conditionalFormatting>
  <conditionalFormatting sqref="P59">
    <cfRule type="expression" dxfId="50" priority="49">
      <formula>Q59&lt;Q58</formula>
    </cfRule>
  </conditionalFormatting>
  <conditionalFormatting sqref="P61">
    <cfRule type="expression" dxfId="49" priority="48">
      <formula>Q61&lt;Q60</formula>
    </cfRule>
  </conditionalFormatting>
  <conditionalFormatting sqref="P63">
    <cfRule type="expression" dxfId="48" priority="47">
      <formula>Q63&lt;Q62</formula>
    </cfRule>
  </conditionalFormatting>
  <conditionalFormatting sqref="P65">
    <cfRule type="expression" dxfId="47" priority="46">
      <formula>Q65&lt;Q64</formula>
    </cfRule>
  </conditionalFormatting>
  <conditionalFormatting sqref="V2">
    <cfRule type="expression" dxfId="46" priority="45">
      <formula>W2&lt;W3</formula>
    </cfRule>
  </conditionalFormatting>
  <conditionalFormatting sqref="V3">
    <cfRule type="expression" dxfId="45" priority="44">
      <formula>W3&lt;W2</formula>
    </cfRule>
  </conditionalFormatting>
  <conditionalFormatting sqref="V4">
    <cfRule type="expression" dxfId="44" priority="43">
      <formula>W4&lt;W5</formula>
    </cfRule>
  </conditionalFormatting>
  <conditionalFormatting sqref="V5">
    <cfRule type="expression" dxfId="43" priority="42">
      <formula>W5&lt;W4</formula>
    </cfRule>
  </conditionalFormatting>
  <conditionalFormatting sqref="V6">
    <cfRule type="expression" dxfId="42" priority="41">
      <formula>W6&lt;W7</formula>
    </cfRule>
  </conditionalFormatting>
  <conditionalFormatting sqref="V7">
    <cfRule type="expression" dxfId="41" priority="40">
      <formula>W7&lt;W6</formula>
    </cfRule>
  </conditionalFormatting>
  <conditionalFormatting sqref="V8">
    <cfRule type="expression" dxfId="40" priority="39">
      <formula>W8&lt;W9</formula>
    </cfRule>
  </conditionalFormatting>
  <conditionalFormatting sqref="V9">
    <cfRule type="expression" dxfId="39" priority="38">
      <formula>W9&lt;W8</formula>
    </cfRule>
  </conditionalFormatting>
  <conditionalFormatting sqref="V10">
    <cfRule type="expression" dxfId="38" priority="37">
      <formula>W10&lt;W11</formula>
    </cfRule>
  </conditionalFormatting>
  <conditionalFormatting sqref="V11">
    <cfRule type="expression" dxfId="37" priority="36">
      <formula>W11&lt;W10</formula>
    </cfRule>
  </conditionalFormatting>
  <conditionalFormatting sqref="V12">
    <cfRule type="expression" dxfId="36" priority="35">
      <formula>W12&lt;W13</formula>
    </cfRule>
  </conditionalFormatting>
  <conditionalFormatting sqref="V13">
    <cfRule type="expression" dxfId="35" priority="34">
      <formula>W13&lt;W12</formula>
    </cfRule>
  </conditionalFormatting>
  <conditionalFormatting sqref="V14">
    <cfRule type="expression" dxfId="34" priority="33">
      <formula>W14&lt;W15</formula>
    </cfRule>
  </conditionalFormatting>
  <conditionalFormatting sqref="V15">
    <cfRule type="expression" dxfId="33" priority="32">
      <formula>W15&lt;W14</formula>
    </cfRule>
  </conditionalFormatting>
  <conditionalFormatting sqref="V16">
    <cfRule type="expression" dxfId="32" priority="31">
      <formula>W16&lt;W17</formula>
    </cfRule>
  </conditionalFormatting>
  <conditionalFormatting sqref="V17">
    <cfRule type="expression" dxfId="31" priority="30">
      <formula>W17&lt;W16</formula>
    </cfRule>
  </conditionalFormatting>
  <conditionalFormatting sqref="V18">
    <cfRule type="expression" dxfId="30" priority="29">
      <formula>W18&lt;W19</formula>
    </cfRule>
  </conditionalFormatting>
  <conditionalFormatting sqref="V19">
    <cfRule type="expression" dxfId="29" priority="28">
      <formula>W19&lt;W18</formula>
    </cfRule>
  </conditionalFormatting>
  <conditionalFormatting sqref="V20">
    <cfRule type="expression" dxfId="28" priority="27">
      <formula>W20&lt;W21</formula>
    </cfRule>
  </conditionalFormatting>
  <conditionalFormatting sqref="V21">
    <cfRule type="expression" dxfId="27" priority="26">
      <formula>W21&lt;W20</formula>
    </cfRule>
  </conditionalFormatting>
  <conditionalFormatting sqref="V22">
    <cfRule type="expression" dxfId="26" priority="25">
      <formula>W22&lt;W23</formula>
    </cfRule>
  </conditionalFormatting>
  <conditionalFormatting sqref="V23">
    <cfRule type="expression" dxfId="25" priority="24">
      <formula>W23&lt;W22</formula>
    </cfRule>
  </conditionalFormatting>
  <conditionalFormatting sqref="V24">
    <cfRule type="expression" dxfId="24" priority="23">
      <formula>W24&lt;W25</formula>
    </cfRule>
  </conditionalFormatting>
  <conditionalFormatting sqref="V25">
    <cfRule type="expression" dxfId="23" priority="22">
      <formula>W25&lt;W24</formula>
    </cfRule>
  </conditionalFormatting>
  <conditionalFormatting sqref="V26">
    <cfRule type="expression" dxfId="22" priority="21">
      <formula>W26&lt;W27</formula>
    </cfRule>
  </conditionalFormatting>
  <conditionalFormatting sqref="V27">
    <cfRule type="expression" dxfId="21" priority="20">
      <formula>W27&lt;W26</formula>
    </cfRule>
  </conditionalFormatting>
  <conditionalFormatting sqref="V28">
    <cfRule type="expression" dxfId="20" priority="19">
      <formula>W28&lt;W29</formula>
    </cfRule>
  </conditionalFormatting>
  <conditionalFormatting sqref="V29">
    <cfRule type="expression" dxfId="19" priority="18">
      <formula>W29&lt;W28</formula>
    </cfRule>
  </conditionalFormatting>
  <conditionalFormatting sqref="V30">
    <cfRule type="expression" dxfId="18" priority="17">
      <formula>W30&lt;W31</formula>
    </cfRule>
  </conditionalFormatting>
  <conditionalFormatting sqref="V31">
    <cfRule type="expression" dxfId="17" priority="16">
      <formula>W31&lt;W30</formula>
    </cfRule>
  </conditionalFormatting>
  <conditionalFormatting sqref="V32">
    <cfRule type="expression" dxfId="16" priority="15">
      <formula>W32&lt;W33</formula>
    </cfRule>
  </conditionalFormatting>
  <conditionalFormatting sqref="V33">
    <cfRule type="expression" dxfId="15" priority="14">
      <formula>W33&lt;W32</formula>
    </cfRule>
  </conditionalFormatting>
  <conditionalFormatting sqref="AB2">
    <cfRule type="expression" dxfId="14" priority="13">
      <formula>AC2&lt;AC3</formula>
    </cfRule>
  </conditionalFormatting>
  <conditionalFormatting sqref="AB3">
    <cfRule type="expression" dxfId="13" priority="12">
      <formula>AC3&lt;AC2</formula>
    </cfRule>
  </conditionalFormatting>
  <conditionalFormatting sqref="AB4 AB6 AB8 AB10 AB12 AB14 AB16">
    <cfRule type="expression" dxfId="12" priority="11">
      <formula>AC4&lt;AC5</formula>
    </cfRule>
  </conditionalFormatting>
  <conditionalFormatting sqref="AB5 AB7 AB9 AB11 AB13 AB15 AB17">
    <cfRule type="expression" dxfId="11" priority="10">
      <formula>AC5&lt;AC4</formula>
    </cfRule>
  </conditionalFormatting>
  <conditionalFormatting sqref="AH2">
    <cfRule type="expression" dxfId="10" priority="9">
      <formula>AI2&lt;AI3</formula>
    </cfRule>
  </conditionalFormatting>
  <conditionalFormatting sqref="AH3">
    <cfRule type="expression" dxfId="9" priority="8">
      <formula>AI3&lt;AI2</formula>
    </cfRule>
  </conditionalFormatting>
  <conditionalFormatting sqref="AH4 AH6 AH8">
    <cfRule type="expression" dxfId="8" priority="7">
      <formula>AI4&lt;AI5</formula>
    </cfRule>
  </conditionalFormatting>
  <conditionalFormatting sqref="AH5 AH7 AH9">
    <cfRule type="expression" dxfId="7" priority="6">
      <formula>AI5&lt;AI4</formula>
    </cfRule>
  </conditionalFormatting>
  <conditionalFormatting sqref="AN2">
    <cfRule type="expression" dxfId="6" priority="5">
      <formula>AO2&lt;AO3</formula>
    </cfRule>
  </conditionalFormatting>
  <conditionalFormatting sqref="AN3">
    <cfRule type="expression" dxfId="5" priority="4">
      <formula>AO3&lt;AO2</formula>
    </cfRule>
  </conditionalFormatting>
  <conditionalFormatting sqref="AN4">
    <cfRule type="expression" dxfId="4" priority="3">
      <formula>AO4&lt;AO5</formula>
    </cfRule>
  </conditionalFormatting>
  <conditionalFormatting sqref="AN5">
    <cfRule type="expression" dxfId="3" priority="2">
      <formula>AO5&lt;AO4</formula>
    </cfRule>
  </conditionalFormatting>
  <conditionalFormatting sqref="P13">
    <cfRule type="expression" dxfId="2"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447</v>
      </c>
      <c r="B1" s="409" t="s">
        <v>442</v>
      </c>
      <c r="C1" s="409" t="s">
        <v>449</v>
      </c>
      <c r="D1" s="409" t="s">
        <v>230</v>
      </c>
      <c r="E1" s="409" t="s">
        <v>451</v>
      </c>
    </row>
    <row r="2" spans="1:8">
      <c r="A2" s="408"/>
      <c r="B2" s="407"/>
      <c r="C2" s="408" t="s">
        <v>516</v>
      </c>
      <c r="D2" s="406" t="s">
        <v>235</v>
      </c>
      <c r="E2" s="406"/>
      <c r="G2" s="483" t="s">
        <v>445</v>
      </c>
      <c r="H2" t="s">
        <v>450</v>
      </c>
    </row>
    <row r="3" spans="1:8">
      <c r="A3" s="408"/>
      <c r="B3" s="407"/>
      <c r="C3" s="408" t="s">
        <v>297</v>
      </c>
      <c r="D3" s="406" t="s">
        <v>237</v>
      </c>
      <c r="E3" s="406"/>
      <c r="G3" s="4" t="s">
        <v>234</v>
      </c>
      <c r="H3">
        <v>16</v>
      </c>
    </row>
    <row r="4" spans="1:8">
      <c r="A4" s="408"/>
      <c r="B4" s="407"/>
      <c r="C4" s="408" t="s">
        <v>444</v>
      </c>
      <c r="D4" s="406" t="s">
        <v>237</v>
      </c>
      <c r="E4" s="406"/>
      <c r="G4" s="4" t="s">
        <v>235</v>
      </c>
      <c r="H4">
        <v>16</v>
      </c>
    </row>
    <row r="5" spans="1:8">
      <c r="A5" s="408"/>
      <c r="B5" s="407"/>
      <c r="C5" s="408" t="s">
        <v>567</v>
      </c>
      <c r="D5" s="406" t="s">
        <v>237</v>
      </c>
      <c r="E5" s="406"/>
      <c r="G5" s="4" t="s">
        <v>236</v>
      </c>
      <c r="H5">
        <v>16</v>
      </c>
    </row>
    <row r="6" spans="1:8">
      <c r="A6" s="408"/>
      <c r="B6" s="407"/>
      <c r="C6" s="408" t="s">
        <v>375</v>
      </c>
      <c r="D6" s="406" t="s">
        <v>237</v>
      </c>
      <c r="E6" s="406"/>
      <c r="G6" s="4" t="s">
        <v>237</v>
      </c>
      <c r="H6">
        <v>12</v>
      </c>
    </row>
    <row r="7" spans="1:8">
      <c r="A7" s="408"/>
      <c r="B7" s="407"/>
      <c r="C7" s="408" t="s">
        <v>316</v>
      </c>
      <c r="D7" s="406" t="s">
        <v>236</v>
      </c>
      <c r="E7" s="406"/>
      <c r="G7" s="4" t="s">
        <v>432</v>
      </c>
    </row>
    <row r="8" spans="1:8">
      <c r="A8" s="408"/>
      <c r="B8" s="407"/>
      <c r="C8" s="408" t="s">
        <v>292</v>
      </c>
      <c r="D8" s="406" t="s">
        <v>236</v>
      </c>
      <c r="E8" s="406"/>
      <c r="G8" s="4" t="s">
        <v>515</v>
      </c>
      <c r="H8">
        <v>2</v>
      </c>
    </row>
    <row r="9" spans="1:8">
      <c r="A9" s="408"/>
      <c r="B9" s="407"/>
      <c r="C9" s="408" t="s">
        <v>287</v>
      </c>
      <c r="D9" s="406" t="s">
        <v>234</v>
      </c>
      <c r="E9" s="406"/>
      <c r="G9" s="4" t="s">
        <v>146</v>
      </c>
      <c r="H9">
        <v>62</v>
      </c>
    </row>
    <row r="10" spans="1:8">
      <c r="A10" s="408"/>
      <c r="B10" s="407"/>
      <c r="C10" s="408" t="s">
        <v>370</v>
      </c>
      <c r="D10" s="406" t="s">
        <v>234</v>
      </c>
      <c r="E10" s="406"/>
    </row>
    <row r="11" spans="1:8">
      <c r="A11" s="408"/>
      <c r="B11" s="407"/>
      <c r="C11" s="408" t="s">
        <v>281</v>
      </c>
      <c r="D11" s="406" t="s">
        <v>234</v>
      </c>
      <c r="E11" s="406"/>
    </row>
    <row r="12" spans="1:8">
      <c r="A12" s="408"/>
      <c r="B12" s="407"/>
      <c r="C12" s="408" t="s">
        <v>367</v>
      </c>
      <c r="D12" s="406" t="s">
        <v>237</v>
      </c>
      <c r="E12" s="406"/>
    </row>
    <row r="13" spans="1:8">
      <c r="A13" s="408"/>
      <c r="B13" s="407"/>
      <c r="C13" s="408" t="s">
        <v>518</v>
      </c>
      <c r="D13" s="406" t="s">
        <v>236</v>
      </c>
      <c r="E13" s="406"/>
    </row>
    <row r="14" spans="1:8">
      <c r="A14" s="408"/>
      <c r="B14" s="407"/>
      <c r="C14" s="408" t="s">
        <v>307</v>
      </c>
      <c r="D14" s="406" t="s">
        <v>236</v>
      </c>
      <c r="E14" s="406"/>
    </row>
    <row r="15" spans="1:8">
      <c r="A15" s="408"/>
      <c r="B15" s="407"/>
      <c r="C15" s="408" t="s">
        <v>313</v>
      </c>
      <c r="D15" s="406" t="s">
        <v>236</v>
      </c>
      <c r="E15" s="406"/>
    </row>
    <row r="16" spans="1:8">
      <c r="A16" s="408"/>
      <c r="B16" s="407"/>
      <c r="C16" s="408" t="s">
        <v>306</v>
      </c>
      <c r="D16" s="406" t="s">
        <v>235</v>
      </c>
      <c r="E16" s="406"/>
    </row>
    <row r="17" spans="1:5">
      <c r="A17" s="408"/>
      <c r="B17" s="407"/>
      <c r="C17" s="408" t="s">
        <v>314</v>
      </c>
      <c r="D17" s="406" t="s">
        <v>235</v>
      </c>
      <c r="E17" s="406"/>
    </row>
    <row r="18" spans="1:5">
      <c r="A18" s="408"/>
      <c r="B18" s="407"/>
      <c r="C18" s="408" t="s">
        <v>310</v>
      </c>
      <c r="D18" s="406" t="s">
        <v>236</v>
      </c>
      <c r="E18" s="406"/>
    </row>
    <row r="19" spans="1:5">
      <c r="A19" s="408"/>
      <c r="B19" s="407"/>
      <c r="C19" s="408" t="s">
        <v>519</v>
      </c>
      <c r="D19" s="406" t="s">
        <v>234</v>
      </c>
      <c r="E19" s="406"/>
    </row>
    <row r="20" spans="1:5">
      <c r="A20" s="408"/>
      <c r="B20" s="407"/>
      <c r="C20" s="408" t="s">
        <v>377</v>
      </c>
      <c r="D20" s="406" t="s">
        <v>235</v>
      </c>
      <c r="E20" s="406"/>
    </row>
    <row r="21" spans="1:5">
      <c r="A21" s="408"/>
      <c r="B21" s="407"/>
      <c r="C21" s="408" t="s">
        <v>368</v>
      </c>
      <c r="D21" s="406" t="s">
        <v>235</v>
      </c>
      <c r="E21" s="406"/>
    </row>
    <row r="22" spans="1:5">
      <c r="A22" s="408"/>
      <c r="B22" s="407"/>
      <c r="C22" s="408" t="s">
        <v>369</v>
      </c>
      <c r="D22" s="406" t="s">
        <v>234</v>
      </c>
      <c r="E22" s="406"/>
    </row>
    <row r="23" spans="1:5">
      <c r="A23" s="408"/>
      <c r="B23" s="407"/>
      <c r="C23" s="408" t="s">
        <v>520</v>
      </c>
      <c r="D23" s="406" t="s">
        <v>237</v>
      </c>
      <c r="E23" s="406"/>
    </row>
    <row r="24" spans="1:5">
      <c r="A24" s="408"/>
      <c r="B24" s="407"/>
      <c r="C24" s="408" t="s">
        <v>443</v>
      </c>
      <c r="D24" s="406" t="s">
        <v>236</v>
      </c>
      <c r="E24" s="406"/>
    </row>
    <row r="25" spans="1:5">
      <c r="A25" s="408"/>
      <c r="B25" s="407"/>
      <c r="C25" s="408" t="s">
        <v>296</v>
      </c>
      <c r="D25" s="406" t="s">
        <v>236</v>
      </c>
      <c r="E25" s="406"/>
    </row>
    <row r="26" spans="1:5">
      <c r="A26" s="408"/>
      <c r="B26" s="407"/>
      <c r="C26" s="408" t="s">
        <v>371</v>
      </c>
      <c r="D26" s="406" t="s">
        <v>235</v>
      </c>
      <c r="E26" s="406"/>
    </row>
    <row r="27" spans="1:5">
      <c r="A27" s="408"/>
      <c r="B27" s="407"/>
      <c r="C27" s="408" t="s">
        <v>284</v>
      </c>
      <c r="D27" s="406" t="s">
        <v>234</v>
      </c>
      <c r="E27" s="406"/>
    </row>
    <row r="28" spans="1:5">
      <c r="A28" s="408"/>
      <c r="B28" s="407"/>
      <c r="C28" s="408" t="s">
        <v>301</v>
      </c>
      <c r="D28" s="406" t="s">
        <v>235</v>
      </c>
      <c r="E28" s="406"/>
    </row>
    <row r="29" spans="1:5">
      <c r="A29" s="408"/>
      <c r="B29" s="407"/>
      <c r="C29" s="408" t="s">
        <v>376</v>
      </c>
      <c r="D29" s="406" t="s">
        <v>237</v>
      </c>
      <c r="E29" s="406"/>
    </row>
    <row r="30" spans="1:5">
      <c r="A30" s="408"/>
      <c r="B30" s="407"/>
      <c r="C30" s="408" t="s">
        <v>311</v>
      </c>
      <c r="D30" s="406" t="s">
        <v>234</v>
      </c>
      <c r="E30" s="406"/>
    </row>
    <row r="31" spans="1:5">
      <c r="A31" s="408"/>
      <c r="B31" s="407"/>
      <c r="C31" s="408" t="s">
        <v>324</v>
      </c>
      <c r="D31" s="406" t="s">
        <v>237</v>
      </c>
      <c r="E31" s="406"/>
    </row>
    <row r="32" spans="1:5">
      <c r="A32" s="408"/>
      <c r="B32" s="407"/>
      <c r="C32" s="408" t="s">
        <v>517</v>
      </c>
      <c r="D32" s="406" t="s">
        <v>236</v>
      </c>
      <c r="E32" s="406"/>
    </row>
    <row r="33" spans="1:5">
      <c r="A33" s="408"/>
      <c r="B33" s="407"/>
      <c r="C33" s="408" t="s">
        <v>372</v>
      </c>
      <c r="D33" s="406" t="s">
        <v>234</v>
      </c>
      <c r="E33" s="406"/>
    </row>
    <row r="34" spans="1:5">
      <c r="A34" s="408"/>
      <c r="B34" s="407"/>
      <c r="C34" s="408" t="s">
        <v>527</v>
      </c>
      <c r="D34" s="406" t="s">
        <v>236</v>
      </c>
      <c r="E34" s="406"/>
    </row>
    <row r="35" spans="1:5">
      <c r="A35" s="408"/>
      <c r="B35" s="407"/>
      <c r="C35" s="408" t="s">
        <v>294</v>
      </c>
      <c r="D35" s="406" t="s">
        <v>235</v>
      </c>
      <c r="E35" s="406"/>
    </row>
    <row r="36" spans="1:5">
      <c r="A36" s="408"/>
      <c r="B36" s="407"/>
      <c r="C36" s="408" t="s">
        <v>302</v>
      </c>
      <c r="D36" s="406" t="s">
        <v>234</v>
      </c>
      <c r="E36" s="406"/>
    </row>
    <row r="37" spans="1:5">
      <c r="A37" s="408"/>
      <c r="B37" s="407"/>
      <c r="C37" s="408" t="s">
        <v>290</v>
      </c>
      <c r="D37" s="406" t="s">
        <v>234</v>
      </c>
      <c r="E37" s="406"/>
    </row>
    <row r="38" spans="1:5">
      <c r="A38" s="408"/>
      <c r="B38" s="407"/>
      <c r="C38" s="408" t="s">
        <v>366</v>
      </c>
      <c r="D38" s="406" t="s">
        <v>237</v>
      </c>
      <c r="E38" s="406"/>
    </row>
    <row r="39" spans="1:5">
      <c r="A39" s="408"/>
      <c r="B39" s="407"/>
      <c r="C39" s="408" t="s">
        <v>298</v>
      </c>
      <c r="D39" s="406" t="s">
        <v>235</v>
      </c>
      <c r="E39" s="406"/>
    </row>
    <row r="40" spans="1:5">
      <c r="A40" s="408"/>
      <c r="B40" s="407"/>
      <c r="C40" s="408" t="s">
        <v>291</v>
      </c>
      <c r="D40" s="406" t="s">
        <v>235</v>
      </c>
      <c r="E40" s="406"/>
    </row>
    <row r="41" spans="1:5">
      <c r="A41" s="408"/>
      <c r="B41" s="407"/>
      <c r="C41" s="408" t="s">
        <v>286</v>
      </c>
      <c r="D41" s="406" t="s">
        <v>236</v>
      </c>
      <c r="E41" s="406"/>
    </row>
    <row r="42" spans="1:5">
      <c r="A42" s="408"/>
      <c r="B42" s="407"/>
      <c r="C42" s="408" t="s">
        <v>285</v>
      </c>
      <c r="D42" s="406" t="s">
        <v>234</v>
      </c>
      <c r="E42" s="406"/>
    </row>
    <row r="43" spans="1:5">
      <c r="A43" s="408"/>
      <c r="B43" s="407"/>
      <c r="C43" s="408" t="s">
        <v>374</v>
      </c>
      <c r="D43" s="406" t="s">
        <v>236</v>
      </c>
      <c r="E43" s="406"/>
    </row>
    <row r="44" spans="1:5">
      <c r="A44" s="408"/>
      <c r="B44" s="407"/>
      <c r="C44" s="408" t="s">
        <v>295</v>
      </c>
      <c r="D44" s="406" t="s">
        <v>234</v>
      </c>
      <c r="E44" s="406"/>
    </row>
    <row r="45" spans="1:5">
      <c r="A45" s="408"/>
      <c r="B45" s="407"/>
      <c r="C45" s="408" t="s">
        <v>309</v>
      </c>
      <c r="D45" s="406" t="s">
        <v>234</v>
      </c>
      <c r="E45" s="406"/>
    </row>
    <row r="46" spans="1:5">
      <c r="A46" s="408"/>
      <c r="B46" s="407"/>
      <c r="C46" s="408" t="s">
        <v>373</v>
      </c>
      <c r="D46" s="406" t="s">
        <v>235</v>
      </c>
      <c r="E46" s="406"/>
    </row>
    <row r="47" spans="1:5">
      <c r="A47" s="408"/>
      <c r="B47" s="407"/>
      <c r="C47" s="408" t="s">
        <v>308</v>
      </c>
      <c r="D47" s="406" t="s">
        <v>235</v>
      </c>
      <c r="E47" s="406"/>
    </row>
    <row r="48" spans="1:5">
      <c r="A48" s="408"/>
      <c r="B48" s="407"/>
      <c r="C48" s="408" t="s">
        <v>289</v>
      </c>
      <c r="D48" s="406" t="s">
        <v>237</v>
      </c>
      <c r="E48" s="406"/>
    </row>
    <row r="49" spans="1:5">
      <c r="A49" s="408"/>
      <c r="B49" s="407"/>
      <c r="C49" s="408" t="s">
        <v>279</v>
      </c>
      <c r="D49" s="406" t="s">
        <v>235</v>
      </c>
      <c r="E49" s="406"/>
    </row>
    <row r="50" spans="1:5">
      <c r="A50" s="408"/>
      <c r="B50" s="407"/>
      <c r="C50" s="408" t="s">
        <v>300</v>
      </c>
      <c r="D50" s="406" t="s">
        <v>237</v>
      </c>
      <c r="E50" s="406"/>
    </row>
    <row r="51" spans="1:5">
      <c r="A51" s="408"/>
      <c r="B51" s="407"/>
      <c r="C51" s="408" t="s">
        <v>566</v>
      </c>
      <c r="D51" s="406" t="s">
        <v>237</v>
      </c>
      <c r="E51" s="406"/>
    </row>
    <row r="52" spans="1:5">
      <c r="A52" s="408"/>
      <c r="B52" s="407"/>
      <c r="C52" s="408" t="s">
        <v>304</v>
      </c>
      <c r="D52" s="406" t="s">
        <v>234</v>
      </c>
      <c r="E52" s="406"/>
    </row>
    <row r="53" spans="1:5">
      <c r="A53" s="408"/>
      <c r="B53" s="407"/>
      <c r="C53" s="408" t="s">
        <v>283</v>
      </c>
      <c r="D53" s="406" t="s">
        <v>234</v>
      </c>
      <c r="E53" s="406"/>
    </row>
    <row r="54" spans="1:5">
      <c r="A54" s="408"/>
      <c r="B54" s="407"/>
      <c r="C54" s="408" t="s">
        <v>312</v>
      </c>
      <c r="D54" s="406" t="s">
        <v>234</v>
      </c>
      <c r="E54" s="406"/>
    </row>
    <row r="55" spans="1:5">
      <c r="A55" s="408"/>
      <c r="B55" s="407"/>
      <c r="C55" s="408" t="s">
        <v>315</v>
      </c>
      <c r="D55" s="406" t="s">
        <v>236</v>
      </c>
      <c r="E55" s="406"/>
    </row>
    <row r="56" spans="1:5">
      <c r="A56" s="408"/>
      <c r="B56" s="407"/>
      <c r="C56" s="408" t="s">
        <v>303</v>
      </c>
      <c r="D56" s="406" t="s">
        <v>235</v>
      </c>
      <c r="E56" s="406"/>
    </row>
    <row r="57" spans="1:5">
      <c r="A57" s="408"/>
      <c r="B57" s="407"/>
      <c r="C57" s="408" t="s">
        <v>288</v>
      </c>
      <c r="D57" s="406" t="s">
        <v>236</v>
      </c>
      <c r="E57" s="406"/>
    </row>
    <row r="58" spans="1:5">
      <c r="A58" s="408"/>
      <c r="B58" s="407"/>
      <c r="C58" s="408" t="s">
        <v>305</v>
      </c>
      <c r="D58" s="406" t="s">
        <v>237</v>
      </c>
      <c r="E58" s="406"/>
    </row>
    <row r="59" spans="1:5">
      <c r="A59" s="408"/>
      <c r="B59" s="407"/>
      <c r="C59" s="408" t="s">
        <v>280</v>
      </c>
      <c r="D59" s="406" t="s">
        <v>236</v>
      </c>
      <c r="E59" s="406"/>
    </row>
    <row r="60" spans="1:5">
      <c r="A60" s="408"/>
      <c r="B60" s="407"/>
      <c r="C60" s="408" t="s">
        <v>282</v>
      </c>
      <c r="D60" s="406" t="s">
        <v>235</v>
      </c>
      <c r="E60" s="406"/>
    </row>
    <row r="61" spans="1:5">
      <c r="A61" s="408"/>
      <c r="B61" s="407"/>
      <c r="C61" s="408" t="s">
        <v>323</v>
      </c>
      <c r="D61" s="406" t="s">
        <v>235</v>
      </c>
      <c r="E61" s="406"/>
    </row>
    <row r="62" spans="1:5">
      <c r="A62" s="408"/>
      <c r="B62" s="407"/>
      <c r="C62" s="408" t="s">
        <v>299</v>
      </c>
      <c r="D62" s="406" t="s">
        <v>236</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D4" sqref="D4"/>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9" t="str">
        <f>"Fixtures &amp; odds for Round "&amp;CurrentWeek</f>
        <v>Fixtures &amp; odds for Round 7</v>
      </c>
      <c r="D1" s="114" t="s">
        <v>159</v>
      </c>
    </row>
    <row r="2" spans="1:6">
      <c r="A2" s="91">
        <f>IF(Match!B2="","",Match!B2)</f>
        <v>44967</v>
      </c>
      <c r="B2" s="60" t="str">
        <f>IF(Match!D2="","",Match!D2)</f>
        <v>Premier</v>
      </c>
      <c r="C2" s="59" t="str">
        <f>IF(Match!U2="","",Match!U2)</f>
        <v>Birmingham  v  West Brom   13/5  9/4  21/20</v>
      </c>
      <c r="D2" s="59" t="str">
        <f>IF(Match!V2="","",Match!V2)</f>
        <v xml:space="preserve">Birmingham 2-0 West Brom </v>
      </c>
    </row>
    <row r="3" spans="1:6">
      <c r="A3" s="91">
        <f>IF(Match!B3="","",Match!B3)</f>
        <v>44968</v>
      </c>
      <c r="B3" s="60" t="str">
        <f>IF(Match!D3="","",Match!D3)</f>
        <v>Premier</v>
      </c>
      <c r="C3" s="59" t="str">
        <f>IF(Match!U3="","",Match!U3)</f>
        <v>Arsenal  v  Brentford   4/11  15/4  15/2</v>
      </c>
      <c r="D3" s="59" t="str">
        <f>IF(Match!V3="","",Match!V3)</f>
        <v xml:space="preserve">Arsenal 1-1 Brentford </v>
      </c>
    </row>
    <row r="4" spans="1:6">
      <c r="A4" s="91">
        <f>IF(Match!B4="","",Match!B4)</f>
        <v>44968</v>
      </c>
      <c r="B4" s="60" t="str">
        <f>IF(Match!D4="","",Match!D4)</f>
        <v>Premier</v>
      </c>
      <c r="C4" s="59" t="str">
        <f>IF(Match!U4="","",Match!U4)</f>
        <v>Bournemouth  v  Newcastle   6/1  3/1  1/2</v>
      </c>
      <c r="D4" s="59" t="str">
        <f>IF(Match!V4="","",Match!V4)</f>
        <v xml:space="preserve">Bournemouth 1-1 Newcastle </v>
      </c>
    </row>
    <row r="5" spans="1:6">
      <c r="A5" s="91">
        <f>IF(Match!B5="","",Match!B5)</f>
        <v>44968</v>
      </c>
      <c r="B5" s="60" t="str">
        <f>IF(Match!D5="","",Match!D5)</f>
        <v>Premier</v>
      </c>
      <c r="C5" s="59" t="str">
        <f>IF(Match!U5="","",Match!U5)</f>
        <v>Fulham  v  Forest   19/20  12/5  29/10</v>
      </c>
      <c r="D5" s="59" t="str">
        <f>IF(Match!V5="","",Match!V5)</f>
        <v xml:space="preserve">Fulham 2-0 Forest </v>
      </c>
    </row>
    <row r="6" spans="1:6">
      <c r="A6" s="91">
        <f>IF(Match!B6="","",Match!B6)</f>
        <v>44968</v>
      </c>
      <c r="B6" s="60" t="str">
        <f>IF(Match!D6="","",Match!D6)</f>
        <v>Premier</v>
      </c>
      <c r="C6" s="59" t="str">
        <f>IF(Match!U6="","",Match!U6)</f>
        <v>Leicester  v  Spurs   12/5  13/5  21/20</v>
      </c>
      <c r="D6" s="59" t="str">
        <f>IF(Match!V6="","",Match!V6)</f>
        <v xml:space="preserve">Leicester 4-1 Spurs </v>
      </c>
    </row>
    <row r="7" spans="1:6">
      <c r="A7" s="91">
        <f>IF(Match!B7="","",Match!B7)</f>
        <v>44968</v>
      </c>
      <c r="B7" s="60" t="str">
        <f>IF(Match!D7="","",Match!D7)</f>
        <v>Premier</v>
      </c>
      <c r="C7" s="59" t="str">
        <f>IF(Match!U7="","",Match!U7)</f>
        <v>Palace  v  Brighton   13/5  23/10  11/10</v>
      </c>
      <c r="D7" s="59" t="str">
        <f>IF(Match!V7="","",Match!V7)</f>
        <v xml:space="preserve">Palace 1-1 Brighton </v>
      </c>
    </row>
    <row r="8" spans="1:6">
      <c r="A8" s="91">
        <f>IF(Match!B8="","",Match!B8)</f>
        <v>44968</v>
      </c>
      <c r="B8" s="60" t="str">
        <f>IF(Match!D8="","",Match!D8)</f>
        <v>Premier</v>
      </c>
      <c r="C8" s="59" t="str">
        <f>IF(Match!U8="","",Match!U8)</f>
        <v>Southampton  v  Wolves   9/5  21/10  13/8</v>
      </c>
      <c r="D8" s="59" t="str">
        <f>IF(Match!V8="","",Match!V8)</f>
        <v xml:space="preserve">Southampton 1-2 Wolves </v>
      </c>
      <c r="F8" s="8"/>
    </row>
    <row r="9" spans="1:6">
      <c r="A9" s="91">
        <f>IF(Match!B9="","",Match!B9)</f>
        <v>44968</v>
      </c>
      <c r="B9" s="60" t="str">
        <f>IF(Match!D9="","",Match!D9)</f>
        <v>Premier</v>
      </c>
      <c r="C9" s="59" t="str">
        <f>IF(Match!U9="","",Match!U9)</f>
        <v>West Ham  v  Chelsea   23/10  11/5  5/4</v>
      </c>
      <c r="D9" s="59" t="str">
        <f>IF(Match!V9="","",Match!V9)</f>
        <v xml:space="preserve">West Ham 1-1 Chelsea </v>
      </c>
      <c r="F9" s="8"/>
    </row>
    <row r="10" spans="1:6">
      <c r="A10" s="91">
        <f>IF(Match!B10="","",Match!B10)</f>
        <v>44968</v>
      </c>
      <c r="B10" s="60" t="str">
        <f>IF(Match!D10="","",Match!D10)</f>
        <v>Champ</v>
      </c>
      <c r="C10" s="59" t="str">
        <f>IF(Match!U10="","",Match!U10)</f>
        <v>Blackpool  v  Rotherham   23/20  11/5  12/5</v>
      </c>
      <c r="D10" s="59" t="str">
        <f>IF(Match!V10="","",Match!V10)</f>
        <v xml:space="preserve">Blackpool 0-0 Rotherham </v>
      </c>
    </row>
    <row r="11" spans="1:6">
      <c r="A11" s="91">
        <f>IF(Match!B11="","",Match!B11)</f>
        <v>44968</v>
      </c>
      <c r="B11" s="60" t="str">
        <f>IF(Match!D11="","",Match!D11)</f>
        <v>Champ</v>
      </c>
      <c r="C11" s="59" t="str">
        <f>IF(Match!U11="","",Match!U11)</f>
        <v>Bristol C  v  Norwich   2/1  23/10  13/10</v>
      </c>
      <c r="D11" s="59" t="str">
        <f>IF(Match!V11="","",Match!V11)</f>
        <v xml:space="preserve">Bristol C 1-0 Norwich </v>
      </c>
    </row>
    <row r="12" spans="1:6">
      <c r="A12" s="91">
        <f>IF(Match!B12="","",Match!B12)</f>
        <v>44968</v>
      </c>
      <c r="B12" s="60" t="str">
        <f>IF(Match!D12="","",Match!D12)</f>
        <v>Champ</v>
      </c>
      <c r="C12" s="59" t="str">
        <f>IF(Match!U12="","",Match!U12)</f>
        <v>Burnley  v  Preston   1/2  29/10  11/2</v>
      </c>
      <c r="D12" s="59" t="str">
        <f>IF(Match!V12="","",Match!V12)</f>
        <v xml:space="preserve">Burnley 3-0 Preston </v>
      </c>
    </row>
    <row r="13" spans="1:6">
      <c r="A13" s="91">
        <f>IF(Match!B13="","",Match!B13)</f>
        <v>44968</v>
      </c>
      <c r="B13" s="60" t="str">
        <f>IF(Match!D13="","",Match!D13)</f>
        <v>Champ</v>
      </c>
      <c r="C13" s="59" t="str">
        <f>IF(Match!U13="","",Match!U13)</f>
        <v>Cardiff  v  Middlesbro   12/5  9/4  23/20</v>
      </c>
      <c r="D13" s="59" t="str">
        <f>IF(Match!V13="","",Match!V13)</f>
        <v xml:space="preserve">Cardiff 1-3 Middlesbro </v>
      </c>
    </row>
    <row r="14" spans="1:6">
      <c r="A14" s="91">
        <f>IF(Match!B14="","",Match!B14)</f>
        <v>44968</v>
      </c>
      <c r="B14" s="60" t="str">
        <f>IF(Match!D14="","",Match!D14)</f>
        <v>Champ</v>
      </c>
      <c r="C14" s="59" t="str">
        <f>IF(Match!U14="","",Match!U14)</f>
        <v>Coventry  v  Luton   6/5  11/5  9/4</v>
      </c>
      <c r="D14" s="59" t="str">
        <f>IF(Match!V14="","",Match!V14)</f>
        <v xml:space="preserve">Coventry 1-1 Luton </v>
      </c>
    </row>
    <row r="15" spans="1:6">
      <c r="A15" s="91">
        <f>IF(Match!B15="","",Match!B15)</f>
        <v>44968</v>
      </c>
      <c r="B15" s="60" t="str">
        <f>IF(Match!D15="","",Match!D15)</f>
        <v>Champ</v>
      </c>
      <c r="C15" s="59" t="str">
        <f>IF(Match!U15="","",Match!U15)</f>
        <v>QPR  v  Millwall   8/5  11/5  7/4</v>
      </c>
      <c r="D15" s="59" t="str">
        <f>IF(Match!V15="","",Match!V15)</f>
        <v xml:space="preserve">QPR 1-2 Millwall </v>
      </c>
    </row>
    <row r="16" spans="1:6">
      <c r="A16" s="91">
        <f>IF(Match!B16="","",Match!B16)</f>
        <v>44968</v>
      </c>
      <c r="B16" s="60" t="str">
        <f>IF(Match!D16="","",Match!D16)</f>
        <v>Champ</v>
      </c>
      <c r="C16" s="59" t="str">
        <f>IF(Match!U16="","",Match!U16)</f>
        <v>Sheff U  v  Swansea   5/6  13/5  3/1</v>
      </c>
      <c r="D16" s="59" t="str">
        <f>IF(Match!V16="","",Match!V16)</f>
        <v xml:space="preserve">Sheff U 3-0 Swansea </v>
      </c>
      <c r="F16" s="8"/>
    </row>
    <row r="17" spans="1:6">
      <c r="A17" s="91">
        <f>IF(Match!B17="","",Match!B17)</f>
        <v>44968</v>
      </c>
      <c r="B17" s="60" t="str">
        <f>IF(Match!D17="","",Match!D17)</f>
        <v>Champ</v>
      </c>
      <c r="C17" s="59" t="str">
        <f>IF(Match!U17="","",Match!U17)</f>
        <v>Stoke  v  Hull   1/1  9/4  14/5</v>
      </c>
      <c r="D17" s="59" t="str">
        <f>IF(Match!V17="","",Match!V17)</f>
        <v xml:space="preserve">Stoke 0-0 Hull </v>
      </c>
    </row>
    <row r="18" spans="1:6">
      <c r="A18" s="91">
        <f>IF(Match!B18="","",Match!B18)</f>
        <v>44968</v>
      </c>
      <c r="B18" s="60" t="str">
        <f>IF(Match!D18="","",Match!D18)</f>
        <v>Champ</v>
      </c>
      <c r="C18" s="59" t="str">
        <f>IF(Match!U18="","",Match!U18)</f>
        <v>Sunderland  v  Reading   10/11  12/5  3/1</v>
      </c>
      <c r="D18" s="59" t="str">
        <f>IF(Match!V18="","",Match!V18)</f>
        <v xml:space="preserve">Sunderland 1-0 Reading </v>
      </c>
    </row>
    <row r="19" spans="1:6">
      <c r="A19" s="91">
        <f>IF(Match!B19="","",Match!B19)</f>
        <v>44968</v>
      </c>
      <c r="B19" s="60" t="str">
        <f>IF(Match!D19="","",Match!D19)</f>
        <v>Champ</v>
      </c>
      <c r="C19" s="59" t="str">
        <f>IF(Match!U19="","",Match!U19)</f>
        <v>Watford  v  Blackburn   1/1  9/4  14/5</v>
      </c>
      <c r="D19" s="59" t="str">
        <f>IF(Match!V19="","",Match!V19)</f>
        <v xml:space="preserve">Watford 1-1 Blackburn </v>
      </c>
    </row>
    <row r="20" spans="1:6">
      <c r="A20" s="91">
        <f>IF(Match!B20="","",Match!B20)</f>
        <v>44968</v>
      </c>
      <c r="B20" s="60" t="str">
        <f>IF(Match!D20="","",Match!D20)</f>
        <v>Champ</v>
      </c>
      <c r="C20" s="59" t="str">
        <f>IF(Match!U20="","",Match!U20)</f>
        <v>Wigan  v  Huddersfield   11/8  21/10  21/10</v>
      </c>
      <c r="D20" s="59" t="str">
        <f>IF(Match!V20="","",Match!V20)</f>
        <v xml:space="preserve">Wigan 1-0 Huddersfield </v>
      </c>
    </row>
    <row r="21" spans="1:6">
      <c r="A21" s="91">
        <f>IF(Match!B21="","",Match!B21)</f>
        <v>44968</v>
      </c>
      <c r="B21" s="60" t="str">
        <f>IF(Match!D21="","",Match!D21)</f>
        <v>League 1</v>
      </c>
      <c r="C21" s="59" t="str">
        <f>IF(Match!U21="","",Match!U21)</f>
        <v>Barnsley  v  Cambridge   1/2  3/1  11/2</v>
      </c>
      <c r="D21" s="59" t="str">
        <f>IF(Match!V21="","",Match!V21)</f>
        <v xml:space="preserve">Barnsley 2-0 Cambridge </v>
      </c>
    </row>
    <row r="22" spans="1:6">
      <c r="A22" s="91">
        <f>IF(Match!B22="","",Match!B22)</f>
        <v>44968</v>
      </c>
      <c r="B22" s="60" t="str">
        <f>IF(Match!D22="","",Match!D22)</f>
        <v>League 1</v>
      </c>
      <c r="C22" s="59" t="str">
        <f>IF(Match!U22="","",Match!U22)</f>
        <v>Burton  v  Exeter   6/4  23/10  17/10</v>
      </c>
      <c r="D22" s="59" t="str">
        <f>IF(Match!V22="","",Match!V22)</f>
        <v xml:space="preserve">Burton 1-0 Exeter </v>
      </c>
    </row>
    <row r="23" spans="1:6">
      <c r="A23" s="91">
        <f>IF(Match!B23="","",Match!B23)</f>
        <v>44968</v>
      </c>
      <c r="B23" s="60" t="str">
        <f>IF(Match!D23="","",Match!D23)</f>
        <v>League 1</v>
      </c>
      <c r="C23" s="59" t="str">
        <f>IF(Match!U23="","",Match!U23)</f>
        <v>Charlton  v  Fleetwood   1/1  12/5  13/5</v>
      </c>
      <c r="D23" s="59" t="str">
        <f>IF(Match!V23="","",Match!V23)</f>
        <v xml:space="preserve">Charlton 1-2 Fleetwood </v>
      </c>
      <c r="F23" s="8"/>
    </row>
    <row r="24" spans="1:6">
      <c r="A24" s="91">
        <f>IF(Match!B24="","",Match!B24)</f>
        <v>44968</v>
      </c>
      <c r="B24" s="60" t="str">
        <f>IF(Match!D24="","",Match!D24)</f>
        <v>League 1</v>
      </c>
      <c r="C24" s="59" t="str">
        <f>IF(Match!U24="","",Match!U24)</f>
        <v>Cheltenham  v  Accrington   7/5  9/4  15/8</v>
      </c>
      <c r="D24" s="59" t="str">
        <f>IF(Match!V24="","",Match!V24)</f>
        <v xml:space="preserve">Cheltenham 0-0 Accrington </v>
      </c>
    </row>
    <row r="25" spans="1:6">
      <c r="A25" s="91">
        <f>IF(Match!B25="","",Match!B25)</f>
        <v>44968</v>
      </c>
      <c r="B25" s="60" t="str">
        <f>IF(Match!D25="","",Match!D25)</f>
        <v>League 1</v>
      </c>
      <c r="C25" s="59" t="str">
        <f>IF(Match!U25="","",Match!U25)</f>
        <v>Ipswich  v  Sheff W   11/10  23/10  12/5</v>
      </c>
      <c r="D25" s="59" t="str">
        <f>IF(Match!V25="","",Match!V25)</f>
        <v xml:space="preserve">Ipswich 2-2 Sheff W </v>
      </c>
      <c r="F25" s="8"/>
    </row>
    <row r="26" spans="1:6">
      <c r="A26" s="91">
        <f>IF(Match!B26="","",Match!B26)</f>
        <v>44968</v>
      </c>
      <c r="B26" s="60" t="str">
        <f>IF(Match!D26="","",Match!D26)</f>
        <v>League 1</v>
      </c>
      <c r="C26" s="59" t="str">
        <f>IF(Match!U26="","",Match!U26)</f>
        <v>Lincoln  v  Bristol R   13/10  23/10  12/5</v>
      </c>
      <c r="D26" s="59" t="str">
        <f>IF(Match!V26="","",Match!V26)</f>
        <v xml:space="preserve">Lincoln 1-0 Bristol R </v>
      </c>
    </row>
    <row r="27" spans="1:6">
      <c r="A27" s="91">
        <f>IF(Match!B27="","",Match!B27)</f>
        <v>44968</v>
      </c>
      <c r="B27" s="60" t="str">
        <f>IF(Match!D27="","",Match!D27)</f>
        <v>League 1</v>
      </c>
      <c r="C27" s="59" t="str">
        <f>IF(Match!U27="","",Match!U27)</f>
        <v>MK Dons  v  Oxford   6/4  11/5  9/5</v>
      </c>
      <c r="D27" s="59" t="str">
        <f>IF(Match!V27="","",Match!V27)</f>
        <v xml:space="preserve">MK Dons 1-1 Oxford </v>
      </c>
    </row>
    <row r="28" spans="1:6">
      <c r="A28" s="91">
        <f>IF(Match!B28="","",Match!B28)</f>
        <v>44968</v>
      </c>
      <c r="B28" s="60" t="str">
        <f>IF(Match!D28="","",Match!D28)</f>
        <v>League 1</v>
      </c>
      <c r="C28" s="59" t="str">
        <f>IF(Match!U28="","",Match!U28)</f>
        <v>Morecambe  v  Forest Green   7/5  9/4  15/8</v>
      </c>
      <c r="D28" s="59" t="str">
        <f>IF(Match!V28="","",Match!V28)</f>
        <v xml:space="preserve">Morecambe 1-1 Forest Green </v>
      </c>
    </row>
    <row r="29" spans="1:6">
      <c r="A29" s="91">
        <f>IF(Match!B29="","",Match!B29)</f>
        <v>44968</v>
      </c>
      <c r="B29" s="60" t="str">
        <f>IF(Match!D29="","",Match!D29)</f>
        <v>League 1</v>
      </c>
      <c r="C29" s="59" t="str">
        <f>IF(Match!U29="","",Match!U29)</f>
        <v>Peterborough  v  Bolton   11/8  9/4  2/1</v>
      </c>
      <c r="D29" s="59" t="str">
        <f>IF(Match!V29="","",Match!V29)</f>
        <v xml:space="preserve">Peterborough 0-5 Bolton </v>
      </c>
    </row>
    <row r="30" spans="1:6">
      <c r="A30" s="91">
        <f>IF(Match!B30="","",Match!B30)</f>
        <v>44968</v>
      </c>
      <c r="B30" s="60" t="str">
        <f>IF(Match!D30="","",Match!D30)</f>
        <v>League 1</v>
      </c>
      <c r="C30" s="59" t="str">
        <f>IF(Match!U30="","",Match!U30)</f>
        <v>Plymouth  v  Portsmouth   21/20  12/5  5/2</v>
      </c>
      <c r="D30" s="59" t="str">
        <f>IF(Match!V30="","",Match!V30)</f>
        <v xml:space="preserve">Plymouth 3-1 Portsmouth </v>
      </c>
    </row>
    <row r="31" spans="1:6">
      <c r="A31" s="91">
        <f>IF(Match!B31="","",Match!B31)</f>
        <v>44968</v>
      </c>
      <c r="B31" s="60" t="str">
        <f>IF(Match!D31="","",Match!D31)</f>
        <v>League 1</v>
      </c>
      <c r="C31" s="59" t="str">
        <f>IF(Match!U31="","",Match!U31)</f>
        <v>Shrewsbury  v  Port Vale   5/4  11/5  11/5</v>
      </c>
      <c r="D31" s="59" t="str">
        <f>IF(Match!V31="","",Match!V31)</f>
        <v xml:space="preserve">Shrewsbury 3-2 Port Vale </v>
      </c>
    </row>
    <row r="32" spans="1:6">
      <c r="A32" s="91">
        <f>IF(Match!B32="","",Match!B32)</f>
        <v>44968</v>
      </c>
      <c r="B32" s="60" t="str">
        <f>IF(Match!D32="","",Match!D32)</f>
        <v>League 1</v>
      </c>
      <c r="C32" s="59" t="str">
        <f>IF(Match!U32="","",Match!U32)</f>
        <v>Wycombe  v  Derby   19/10  12/5  13/10</v>
      </c>
      <c r="D32" s="59" t="str">
        <f>IF(Match!V32="","",Match!V32)</f>
        <v xml:space="preserve">Wycombe 3-2 Derby </v>
      </c>
    </row>
    <row r="33" spans="1:4">
      <c r="A33" s="91">
        <f>IF(Match!B33="","",Match!B33)</f>
        <v>44968</v>
      </c>
      <c r="B33" s="60" t="str">
        <f>IF(Match!D33="","",Match!D33)</f>
        <v>League 2</v>
      </c>
      <c r="C33" s="59" t="str">
        <f>IF(Match!U33="","",Match!U33)</f>
        <v>Barrow  v  Newport   13/10  21/10  9/4</v>
      </c>
      <c r="D33" s="59" t="str">
        <f>IF(Match!V33="","",Match!V33)</f>
        <v xml:space="preserve">Barrow 0-1 Newport </v>
      </c>
    </row>
    <row r="34" spans="1:4">
      <c r="A34" s="91">
        <f>IF(Match!B34="","",Match!B34)</f>
        <v>44968</v>
      </c>
      <c r="B34" s="60" t="str">
        <f>IF(Match!D34="","",Match!D34)</f>
        <v>League 2</v>
      </c>
      <c r="C34" s="59" t="str">
        <f>IF(Match!U34="","",Match!U34)</f>
        <v>Crawley  v  Crewe   7/5  21/10  2/1</v>
      </c>
      <c r="D34" s="59" t="str">
        <f>IF(Match!V34="","",Match!V34)</f>
        <v xml:space="preserve">Crawley 2-2 Crewe </v>
      </c>
    </row>
    <row r="35" spans="1:4">
      <c r="A35" s="91">
        <f>IF(Match!B35="","",Match!B35)</f>
        <v>44968</v>
      </c>
      <c r="B35" s="60" t="str">
        <f>IF(Match!D35="","",Match!D35)</f>
        <v>League 2</v>
      </c>
      <c r="C35" s="59" t="str">
        <f>IF(Match!U35="","",Match!U35)</f>
        <v>Grimsby  v  Colchester   21/20  9/4  13/5</v>
      </c>
      <c r="D35" s="59" t="str">
        <f>IF(Match!V35="","",Match!V35)</f>
        <v xml:space="preserve">Grimsby 0-1 Colchester </v>
      </c>
    </row>
    <row r="36" spans="1:4">
      <c r="A36" s="91">
        <f>IF(Match!B36="","",Match!B36)</f>
        <v>44968</v>
      </c>
      <c r="B36" s="60" t="str">
        <f>IF(Match!D36="","",Match!D36)</f>
        <v>League 2</v>
      </c>
      <c r="C36" s="59" t="str">
        <f>IF(Match!U36="","",Match!U36)</f>
        <v>Harrogate  v  Stockport   17/5  5/2  4/5</v>
      </c>
      <c r="D36" s="59" t="str">
        <f>IF(Match!V36="","",Match!V36)</f>
        <v xml:space="preserve">Harrogate 1-3 Stockport </v>
      </c>
    </row>
    <row r="37" spans="1:4">
      <c r="A37" s="91">
        <f>IF(Match!B37="","",Match!B37)</f>
        <v>44968</v>
      </c>
      <c r="B37" s="60" t="str">
        <f>IF(Match!D37="","",Match!D37)</f>
        <v>League 2</v>
      </c>
      <c r="C37" s="59" t="str">
        <f>IF(Match!U37="","",Match!U37)</f>
        <v>Hartlepool  v  Sutton   11/5  11/5  5/4</v>
      </c>
      <c r="D37" s="59" t="str">
        <f>IF(Match!V37="","",Match!V37)</f>
        <v xml:space="preserve">Hartlepool 2-2 Sutton </v>
      </c>
    </row>
    <row r="38" spans="1:4">
      <c r="A38" s="91">
        <f>IF(Match!B38="","",Match!B38)</f>
        <v>44968</v>
      </c>
      <c r="B38" s="60" t="str">
        <f>IF(Match!D38="","",Match!D38)</f>
        <v>League 2</v>
      </c>
      <c r="C38" s="59" t="str">
        <f>IF(Match!U38="","",Match!U38)</f>
        <v>Mansfield  v  Gillingham   7/10  5/2  4/1</v>
      </c>
      <c r="D38" s="59" t="str">
        <f>IF(Match!V38="","",Match!V38)</f>
        <v xml:space="preserve">Mansfield 2-0 Gillingham </v>
      </c>
    </row>
    <row r="39" spans="1:4">
      <c r="A39" s="91">
        <f>IF(Match!B39="","",Match!B39)</f>
        <v>44968</v>
      </c>
      <c r="B39" s="60" t="str">
        <f>IF(Match!D39="","",Match!D39)</f>
        <v>League 2</v>
      </c>
      <c r="C39" s="59" t="str">
        <f>IF(Match!U39="","",Match!U39)</f>
        <v>Rochdale  v  Northampton   27/10  11/5  21/10</v>
      </c>
      <c r="D39" s="59" t="str">
        <f>IF(Match!V39="","",Match!V39)</f>
        <v xml:space="preserve">Rochdale 1-1 Northampton </v>
      </c>
    </row>
    <row r="40" spans="1:4">
      <c r="A40" s="91">
        <f>IF(Match!B40="","",Match!B40)</f>
        <v>44968</v>
      </c>
      <c r="B40" s="60" t="str">
        <f>IF(Match!D40="","",Match!D40)</f>
        <v>League 2</v>
      </c>
      <c r="C40" s="59" t="str">
        <f>IF(Match!U40="","",Match!U40)</f>
        <v>Stevenage  v  Bradford   17/20  12/5  16/5</v>
      </c>
      <c r="D40" s="59" t="str">
        <f>IF(Match!V40="","",Match!V40)</f>
        <v xml:space="preserve">Stevenage 2-3 Bradford </v>
      </c>
    </row>
    <row r="41" spans="1:4">
      <c r="A41" s="91">
        <f>IF(Match!B41="","",Match!B41)</f>
        <v>44968</v>
      </c>
      <c r="B41" s="60" t="str">
        <f>IF(Match!D41="","",Match!D41)</f>
        <v>League 2</v>
      </c>
      <c r="C41" s="59" t="str">
        <f>IF(Match!U41="","",Match!U41)</f>
        <v>Swindon  v  Doncaster   11/10  11/5  13/5</v>
      </c>
      <c r="D41" s="59" t="str">
        <f>IF(Match!V41="","",Match!V41)</f>
        <v xml:space="preserve">Swindon 0-2 Doncaster </v>
      </c>
    </row>
    <row r="42" spans="1:4">
      <c r="A42" s="91">
        <f>IF(Match!B42="","",Match!B42)</f>
        <v>44968</v>
      </c>
      <c r="B42" s="60" t="str">
        <f>IF(Match!D42="","",Match!D42)</f>
        <v>League 2</v>
      </c>
      <c r="C42" s="59" t="str">
        <f>IF(Match!U42="","",Match!U42)</f>
        <v>Tranmere  v  Salford   7/5  2/1  21/10</v>
      </c>
      <c r="D42" s="59" t="str">
        <f>IF(Match!V42="","",Match!V42)</f>
        <v xml:space="preserve">Tranmere 1-0 Salford </v>
      </c>
    </row>
    <row r="43" spans="1:4">
      <c r="A43" s="91">
        <f>IF(Match!B43="","",Match!B43)</f>
        <v>44968</v>
      </c>
      <c r="B43" s="60" t="str">
        <f>IF(Match!D43="","",Match!D43)</f>
        <v>League 2</v>
      </c>
      <c r="C43" s="59" t="str">
        <f>IF(Match!U43="","",Match!U43)</f>
        <v>Walsall  v  Orient   29/20  15/8  11/5</v>
      </c>
      <c r="D43" s="59" t="str">
        <f>IF(Match!V43="","",Match!V43)</f>
        <v xml:space="preserve">Walsall 1-1 Orient </v>
      </c>
    </row>
    <row r="44" spans="1:4">
      <c r="A44" s="91">
        <f>IF(Match!B44="","",Match!B44)</f>
        <v>44968</v>
      </c>
      <c r="B44" s="60" t="str">
        <f>IF(Match!D44="","",Match!D44)</f>
        <v>League 2</v>
      </c>
      <c r="C44" s="59" t="str">
        <f>IF(Match!U44="","",Match!U44)</f>
        <v>Wimbledon  v  Carlisle   15/8  21/10  6/4</v>
      </c>
      <c r="D44" s="59" t="str">
        <f>IF(Match!V44="","",Match!V44)</f>
        <v xml:space="preserve">Wimbledon 0-0 Carlisle </v>
      </c>
    </row>
    <row r="45" spans="1:4">
      <c r="A45" s="91">
        <f>IF(Match!B45="","",Match!B45)</f>
        <v>44969</v>
      </c>
      <c r="B45" s="60" t="str">
        <f>IF(Match!D45="","",Match!D45)</f>
        <v>Premier</v>
      </c>
      <c r="C45" s="59" t="str">
        <f>IF(Match!U45="","",Match!U45)</f>
        <v>Leeds  v  Man U   10/3  29/10  3/4</v>
      </c>
      <c r="D45" s="59" t="str">
        <f>IF(Match!V45="","",Match!V45)</f>
        <v xml:space="preserve">Leeds 0-2 Man U </v>
      </c>
    </row>
    <row r="46" spans="1:4">
      <c r="A46" s="91">
        <f>IF(Match!B46="","",Match!B46)</f>
        <v>44969</v>
      </c>
      <c r="B46" s="60" t="str">
        <f>IF(Match!D46="","",Match!D46)</f>
        <v>Premier</v>
      </c>
      <c r="C46" s="59" t="str">
        <f>IF(Match!U46="","",Match!U46)</f>
        <v>Man C  v  Villa   2/9  5/1  12/1</v>
      </c>
      <c r="D46" s="59" t="str">
        <f>IF(Match!V46="","",Match!V46)</f>
        <v xml:space="preserve">Man C 3-1 Villa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7"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4"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Wigan</v>
      </c>
      <c r="C2" s="595">
        <f>IF(Picks!C2="","",Picks!C2)</f>
        <v>7</v>
      </c>
      <c r="D2" s="109">
        <f>IF(Picks!D2="","",Picks!D2)</f>
        <v>2.375</v>
      </c>
      <c r="E2" s="110" t="str">
        <f>IF(Picks!E2="","",Picks!E2)</f>
        <v>√</v>
      </c>
      <c r="F2" s="111">
        <f>IF(Picks!F2="","",Picks!F2)</f>
        <v>36.263124999999995</v>
      </c>
      <c r="G2" s="112">
        <f>IF(Picks!G2="","",Picks!G2)</f>
        <v>36.263124999999995</v>
      </c>
    </row>
    <row r="3" spans="1:7" ht="13.15">
      <c r="A3" s="113"/>
      <c r="B3" s="60" t="str">
        <f>IF(Picks!B3="","",Picks!B3)</f>
        <v>Ipswich draw</v>
      </c>
      <c r="C3" s="595">
        <f>IF(Picks!C3="","",Picks!C3)</f>
        <v>7</v>
      </c>
      <c r="D3" s="45">
        <f>IF(Picks!D3="","",Picks!D3)</f>
        <v>3.3</v>
      </c>
      <c r="E3" s="80" t="str">
        <f>IF(Picks!E3="","",Picks!E3)</f>
        <v>√</v>
      </c>
      <c r="F3" s="130" t="str">
        <f>IF(Picks!F3="","",Picks!F3)</f>
        <v/>
      </c>
      <c r="G3" s="45" t="str">
        <f>IF(Picks!G3="","",Picks!G3)</f>
        <v/>
      </c>
    </row>
    <row r="4" spans="1:7" ht="13.5" thickBot="1">
      <c r="A4" s="131"/>
      <c r="B4" s="126" t="str">
        <f>IF(Picks!B4="","",Picks!B4)</f>
        <v>Plymouth</v>
      </c>
      <c r="C4" s="596">
        <f>IF(Picks!C4="","",Picks!C4)</f>
        <v>7</v>
      </c>
      <c r="D4" s="127">
        <f>IF(Picks!D4="","",Picks!D4)</f>
        <v>2.0499999999999998</v>
      </c>
      <c r="E4" s="80" t="str">
        <f>IF(Picks!E4="","",Picks!E4)</f>
        <v>√</v>
      </c>
      <c r="F4" s="130" t="str">
        <f>IF(Picks!F4="","",Picks!F4)</f>
        <v/>
      </c>
      <c r="G4" s="45" t="str">
        <f>IF(Picks!G4="","",Picks!G4)</f>
        <v/>
      </c>
    </row>
    <row r="5" spans="1:7" ht="13.9" thickTop="1" thickBot="1">
      <c r="A5" s="113" t="str">
        <f>IF(Picks!A5="","",Picks!A5)</f>
        <v>Alan Rogers</v>
      </c>
      <c r="B5" s="108" t="str">
        <f>IF(Picks!B5="","",Picks!B5)</f>
        <v>Crawley</v>
      </c>
      <c r="C5" s="595">
        <f>IF(Picks!C5="","",Picks!C5)</f>
        <v>7</v>
      </c>
      <c r="D5" s="109">
        <f>IF(Picks!D5="","",Picks!D5)</f>
        <v>2.4</v>
      </c>
      <c r="E5" s="110" t="str">
        <f>IF(Picks!E5="","",Picks!E5)</f>
        <v>x</v>
      </c>
      <c r="F5" s="111">
        <f>IF(Picks!F5="","",Picks!F5)</f>
        <v>-7</v>
      </c>
      <c r="G5" s="112">
        <f>IF(Picks!G5="","",Picks!G5)</f>
        <v>56.260000000000005</v>
      </c>
    </row>
    <row r="6" spans="1:7" ht="13.15">
      <c r="A6" s="113"/>
      <c r="B6" s="60" t="str">
        <f>IF(Picks!B6="","",Picks!B6)</f>
        <v>Mansfield draw</v>
      </c>
      <c r="C6" s="595">
        <f>IF(Picks!C6="","",Picks!C6)</f>
        <v>7</v>
      </c>
      <c r="D6" s="45">
        <f>IF(Picks!D6="","",Picks!D6)</f>
        <v>3.5</v>
      </c>
      <c r="E6" s="80" t="str">
        <f>IF(Picks!E6="","",Picks!E6)</f>
        <v>x</v>
      </c>
      <c r="F6" s="130" t="str">
        <f>IF(Picks!F6="","",Picks!F6)</f>
        <v/>
      </c>
      <c r="G6" s="45" t="str">
        <f>IF(Picks!G6="","",Picks!G6)</f>
        <v/>
      </c>
    </row>
    <row r="7" spans="1:7" ht="13.5" thickBot="1">
      <c r="A7" s="131"/>
      <c r="B7" s="126" t="str">
        <f>IF(Picks!B7="","",Picks!B7)</f>
        <v>Orient</v>
      </c>
      <c r="C7" s="596">
        <f>IF(Picks!C7="","",Picks!C7)</f>
        <v>7</v>
      </c>
      <c r="D7" s="127">
        <f>IF(Picks!D7="","",Picks!D7)</f>
        <v>3.2</v>
      </c>
      <c r="E7" s="80" t="str">
        <f>IF(Picks!E7="","",Picks!E7)</f>
        <v>x</v>
      </c>
      <c r="F7" s="130" t="str">
        <f>IF(Picks!F7="","",Picks!F7)</f>
        <v/>
      </c>
      <c r="G7" s="45" t="str">
        <f>IF(Picks!G7="","",Picks!G7)</f>
        <v/>
      </c>
    </row>
    <row r="8" spans="1:7" ht="13.9" thickTop="1" thickBot="1">
      <c r="A8" s="113" t="str">
        <f>IF(Picks!A8="","",Picks!A8)</f>
        <v>Alan White</v>
      </c>
      <c r="B8" s="108" t="str">
        <f>IF(Picks!B8="","",Picks!B8)</f>
        <v>Shrewsbury</v>
      </c>
      <c r="C8" s="595">
        <f>IF(Picks!C8="","",Picks!C8)</f>
        <v>7</v>
      </c>
      <c r="D8" s="109">
        <f>IF(Picks!D8="","",Picks!D8)</f>
        <v>2.25</v>
      </c>
      <c r="E8" s="110" t="str">
        <f>IF(Picks!E8="","",Picks!E8)</f>
        <v>√</v>
      </c>
      <c r="F8" s="111">
        <f>IF(Picks!F8="","",Picks!F8)</f>
        <v>-4.75</v>
      </c>
      <c r="G8" s="112">
        <f>IF(Picks!G8="","",Picks!G8)</f>
        <v>47.965000000000003</v>
      </c>
    </row>
    <row r="9" spans="1:7" ht="13.15">
      <c r="A9" s="113"/>
      <c r="B9" s="60" t="str">
        <f>IF(Picks!B9="","",Picks!B9)</f>
        <v>Northampton</v>
      </c>
      <c r="C9" s="595">
        <f>IF(Picks!C9="","",Picks!C9)</f>
        <v>7</v>
      </c>
      <c r="D9" s="45">
        <f>IF(Picks!D9="","",Picks!D9)</f>
        <v>3.1</v>
      </c>
      <c r="E9" s="80" t="str">
        <f>IF(Picks!E9="","",Picks!E9)</f>
        <v>x</v>
      </c>
      <c r="F9" s="130" t="str">
        <f>IF(Picks!F9="","",Picks!F9)</f>
        <v/>
      </c>
      <c r="G9" s="45" t="str">
        <f>IF(Picks!G9="","",Picks!G9)</f>
        <v/>
      </c>
    </row>
    <row r="10" spans="1:7" ht="13.5" thickBot="1">
      <c r="A10" s="131"/>
      <c r="B10" s="126" t="str">
        <f>IF(Picks!B10="","",Picks!B10)</f>
        <v>Orient</v>
      </c>
      <c r="C10" s="596">
        <f>IF(Picks!C10="","",Picks!C10)</f>
        <v>7</v>
      </c>
      <c r="D10" s="127">
        <f>IF(Picks!D10="","",Picks!D10)</f>
        <v>3.2</v>
      </c>
      <c r="E10" s="80" t="str">
        <f>IF(Picks!E10="","",Picks!E10)</f>
        <v>x</v>
      </c>
      <c r="F10" s="130" t="str">
        <f>IF(Picks!F10="","",Picks!F10)</f>
        <v/>
      </c>
      <c r="G10" s="45" t="str">
        <f>IF(Picks!G10="","",Picks!G10)</f>
        <v/>
      </c>
    </row>
    <row r="11" spans="1:7" ht="13.9" thickTop="1" thickBot="1">
      <c r="A11" s="113" t="str">
        <f>IF(Picks!A11="","",Picks!A11)</f>
        <v>Alex Griffin</v>
      </c>
      <c r="B11" s="108" t="str">
        <f>IF(Picks!B11="","",Picks!B11)</f>
        <v>Bournemouth draw</v>
      </c>
      <c r="C11" s="595">
        <f>IF(Picks!C11="","",Picks!C11)</f>
        <v>7</v>
      </c>
      <c r="D11" s="109">
        <f>IF(Picks!D11="","",Picks!D11)</f>
        <v>4</v>
      </c>
      <c r="E11" s="110" t="str">
        <f>IF(Picks!E11="","",Picks!E11)</f>
        <v>√</v>
      </c>
      <c r="F11" s="111">
        <f>IF(Picks!F11="","",Picks!F11)</f>
        <v>3.1111111111111107</v>
      </c>
      <c r="G11" s="112">
        <f>IF(Picks!G11="","",Picks!G11)</f>
        <v>69.777777777777771</v>
      </c>
    </row>
    <row r="12" spans="1:7" ht="13.15">
      <c r="A12" s="113"/>
      <c r="B12" s="60" t="str">
        <f>IF(Picks!B12="","",Picks!B12)</f>
        <v>Man C</v>
      </c>
      <c r="C12" s="595">
        <f>IF(Picks!C12="","",Picks!C12)</f>
        <v>1</v>
      </c>
      <c r="D12" s="45">
        <f>IF(Picks!D12="","",Picks!D12)</f>
        <v>1.2222222222222223</v>
      </c>
      <c r="E12" s="80" t="str">
        <f>IF(Picks!E12="","",Picks!E12)</f>
        <v>√</v>
      </c>
      <c r="F12" s="130" t="str">
        <f>IF(Picks!F12="","",Picks!F12)</f>
        <v/>
      </c>
      <c r="G12" s="45" t="str">
        <f>IF(Picks!G12="","",Picks!G12)</f>
        <v/>
      </c>
    </row>
    <row r="13" spans="1:7" ht="13.5" thickBot="1">
      <c r="A13" s="131"/>
      <c r="B13" s="126" t="str">
        <f>IF(Picks!B13="","",Picks!B13)</f>
        <v>Man C draw</v>
      </c>
      <c r="C13" s="596">
        <f>IF(Picks!C13="","",Picks!C13)</f>
        <v>1</v>
      </c>
      <c r="D13" s="127">
        <f>IF(Picks!D13="","",Picks!D13)</f>
        <v>6</v>
      </c>
      <c r="E13" s="80" t="str">
        <f>IF(Picks!E13="","",Picks!E13)</f>
        <v>x</v>
      </c>
      <c r="F13" s="130" t="str">
        <f>IF(Picks!F13="","",Picks!F13)</f>
        <v/>
      </c>
      <c r="G13" s="45" t="str">
        <f>IF(Picks!G13="","",Picks!G13)</f>
        <v/>
      </c>
    </row>
    <row r="14" spans="1:7" ht="13.9" thickTop="1" thickBot="1">
      <c r="A14" s="113" t="str">
        <f>IF(Picks!A14="","",Picks!A14)</f>
        <v>Alfie Davies</v>
      </c>
      <c r="B14" s="108" t="str">
        <f>IF(Picks!B14="","",Picks!B14)</f>
        <v>Chelsea</v>
      </c>
      <c r="C14" s="595">
        <f>IF(Picks!C14="","",Picks!C14)</f>
        <v>7</v>
      </c>
      <c r="D14" s="109">
        <f>IF(Picks!D14="","",Picks!D14)</f>
        <v>2.25</v>
      </c>
      <c r="E14" s="110" t="str">
        <f>IF(Picks!E14="","",Picks!E14)</f>
        <v>x</v>
      </c>
      <c r="F14" s="111">
        <f>IF(Picks!F14="","",Picks!F14)</f>
        <v>1.96875</v>
      </c>
      <c r="G14" s="112">
        <f>IF(Picks!G14="","",Picks!G14)</f>
        <v>24.3984375</v>
      </c>
    </row>
    <row r="15" spans="1:7" ht="13.15">
      <c r="A15" s="113"/>
      <c r="B15" s="60" t="str">
        <f>IF(Picks!B15="","",Picks!B15)</f>
        <v>Wolves</v>
      </c>
      <c r="C15" s="595">
        <f>IF(Picks!C15="","",Picks!C15)</f>
        <v>7</v>
      </c>
      <c r="D15" s="45">
        <f>IF(Picks!D15="","",Picks!D15)</f>
        <v>2.625</v>
      </c>
      <c r="E15" s="80" t="str">
        <f>IF(Picks!E15="","",Picks!E15)</f>
        <v>√</v>
      </c>
      <c r="F15" s="130" t="str">
        <f>IF(Picks!F15="","",Picks!F15)</f>
        <v/>
      </c>
      <c r="G15" s="45" t="str">
        <f>IF(Picks!G15="","",Picks!G15)</f>
        <v/>
      </c>
    </row>
    <row r="16" spans="1:7" ht="13.5" thickBot="1">
      <c r="A16" s="131"/>
      <c r="B16" s="126" t="str">
        <f>IF(Picks!B16="","",Picks!B16)</f>
        <v>Man U</v>
      </c>
      <c r="C16" s="596">
        <f>IF(Picks!C16="","",Picks!C16)</f>
        <v>1</v>
      </c>
      <c r="D16" s="127">
        <f>IF(Picks!D16="","",Picks!D16)</f>
        <v>1.75</v>
      </c>
      <c r="E16" s="80" t="str">
        <f>IF(Picks!E16="","",Picks!E16)</f>
        <v>√</v>
      </c>
      <c r="F16" s="130" t="str">
        <f>IF(Picks!F16="","",Picks!F16)</f>
        <v/>
      </c>
      <c r="G16" s="45" t="str">
        <f>IF(Picks!G16="","",Picks!G16)</f>
        <v/>
      </c>
    </row>
    <row r="17" spans="1:7" ht="13.9" thickTop="1" thickBot="1">
      <c r="A17" s="113" t="str">
        <f>IF(Picks!A17="","",Picks!A17)</f>
        <v>Alick Rocca</v>
      </c>
      <c r="B17" s="108" t="str">
        <f>IF(Picks!B17="","",Picks!B17)</f>
        <v>Lincoln Draw</v>
      </c>
      <c r="C17" s="595">
        <f>IF(Picks!C17="","",Picks!C17)</f>
        <v>7</v>
      </c>
      <c r="D17" s="109">
        <f>IF(Picks!D17="","",Picks!D17)</f>
        <v>3.3</v>
      </c>
      <c r="E17" s="110" t="str">
        <f>IF(Picks!E17="","",Picks!E17)</f>
        <v>x</v>
      </c>
      <c r="F17" s="111">
        <f>IF(Picks!F17="","",Picks!F17)</f>
        <v>-3.8</v>
      </c>
      <c r="G17" s="112">
        <f>IF(Picks!G17="","",Picks!G17)</f>
        <v>71.463999999999999</v>
      </c>
    </row>
    <row r="18" spans="1:7" ht="13.15">
      <c r="A18" s="113"/>
      <c r="B18" s="60" t="str">
        <f>IF(Picks!B18="","",Picks!B18)</f>
        <v>Wycombe Draw</v>
      </c>
      <c r="C18" s="595">
        <f>IF(Picks!C18="","",Picks!C18)</f>
        <v>7</v>
      </c>
      <c r="D18" s="45">
        <f>IF(Picks!D18="","",Picks!D18)</f>
        <v>3.4</v>
      </c>
      <c r="E18" s="80" t="str">
        <f>IF(Picks!E18="","",Picks!E18)</f>
        <v>x</v>
      </c>
      <c r="F18" s="130" t="str">
        <f>IF(Picks!F18="","",Picks!F18)</f>
        <v/>
      </c>
      <c r="G18" s="45" t="str">
        <f>IF(Picks!G18="","",Picks!G18)</f>
        <v/>
      </c>
    </row>
    <row r="19" spans="1:7" ht="13.5" thickBot="1">
      <c r="A19" s="131"/>
      <c r="B19" s="126" t="str">
        <f>IF(Picks!B19="","",Picks!B19)</f>
        <v>Hartlepool Draw</v>
      </c>
      <c r="C19" s="596">
        <f>IF(Picks!C19="","",Picks!C19)</f>
        <v>7</v>
      </c>
      <c r="D19" s="127">
        <f>IF(Picks!D19="","",Picks!D19)</f>
        <v>3.2</v>
      </c>
      <c r="E19" s="80" t="str">
        <f>IF(Picks!E19="","",Picks!E19)</f>
        <v>√</v>
      </c>
      <c r="F19" s="130" t="str">
        <f>IF(Picks!F19="","",Picks!F19)</f>
        <v/>
      </c>
      <c r="G19" s="45" t="str">
        <f>IF(Picks!G19="","",Picks!G19)</f>
        <v/>
      </c>
    </row>
    <row r="20" spans="1:7" ht="13.9" thickTop="1" thickBot="1">
      <c r="A20" s="113" t="str">
        <f>IF(Picks!A20="","",Picks!A20)</f>
        <v>Andy Charleston</v>
      </c>
      <c r="B20" s="108" t="str">
        <f>IF(Picks!B20="","",Picks!B20)</f>
        <v>Southampton</v>
      </c>
      <c r="C20" s="595">
        <f>IF(Picks!C20="","",Picks!C20)</f>
        <v>7</v>
      </c>
      <c r="D20" s="109">
        <f>IF(Picks!D20="","",Picks!D20)</f>
        <v>2.8</v>
      </c>
      <c r="E20" s="110" t="str">
        <f>IF(Picks!E20="","",Picks!E20)</f>
        <v>x</v>
      </c>
      <c r="F20" s="111">
        <f>IF(Picks!F20="","",Picks!F20)</f>
        <v>-4.625</v>
      </c>
      <c r="G20" s="112">
        <f>IF(Picks!G20="","",Picks!G20)</f>
        <v>33.681249999999999</v>
      </c>
    </row>
    <row r="21" spans="1:7" ht="13.15">
      <c r="A21" s="113"/>
      <c r="B21" s="60" t="str">
        <f>IF(Picks!B21="","",Picks!B21)</f>
        <v>Chelsea</v>
      </c>
      <c r="C21" s="595">
        <f>IF(Picks!C21="","",Picks!C21)</f>
        <v>7</v>
      </c>
      <c r="D21" s="45">
        <f>IF(Picks!D21="","",Picks!D21)</f>
        <v>2.25</v>
      </c>
      <c r="E21" s="80" t="str">
        <f>IF(Picks!E21="","",Picks!E21)</f>
        <v>x</v>
      </c>
      <c r="F21" s="130" t="str">
        <f>IF(Picks!F21="","",Picks!F21)</f>
        <v/>
      </c>
      <c r="G21" s="45" t="str">
        <f>IF(Picks!G21="","",Picks!G21)</f>
        <v/>
      </c>
    </row>
    <row r="22" spans="1:7" ht="13.5" thickBot="1">
      <c r="A22" s="131"/>
      <c r="B22" s="126" t="str">
        <f>IF(Picks!B22="","",Picks!B22)</f>
        <v>Wigan</v>
      </c>
      <c r="C22" s="596">
        <f>IF(Picks!C22="","",Picks!C22)</f>
        <v>7</v>
      </c>
      <c r="D22" s="127">
        <f>IF(Picks!D22="","",Picks!D22)</f>
        <v>2.375</v>
      </c>
      <c r="E22" s="80" t="str">
        <f>IF(Picks!E22="","",Picks!E22)</f>
        <v>√</v>
      </c>
      <c r="F22" s="130" t="str">
        <f>IF(Picks!F22="","",Picks!F22)</f>
        <v/>
      </c>
      <c r="G22" s="45" t="str">
        <f>IF(Picks!G22="","",Picks!G22)</f>
        <v/>
      </c>
    </row>
    <row r="23" spans="1:7" ht="13.9" thickTop="1" thickBot="1">
      <c r="A23" s="113" t="str">
        <f>IF(Picks!A23="","",Picks!A23)</f>
        <v>Andy White</v>
      </c>
      <c r="B23" s="108" t="str">
        <f>IF(Picks!B23="","",Picks!B23)</f>
        <v>Fulham</v>
      </c>
      <c r="C23" s="595">
        <f>IF(Picks!C23="","",Picks!C23)</f>
        <v>7</v>
      </c>
      <c r="D23" s="109">
        <f>IF(Picks!D23="","",Picks!D23)</f>
        <v>1.95</v>
      </c>
      <c r="E23" s="110" t="str">
        <f>IF(Picks!E23="","",Picks!E23)</f>
        <v>√</v>
      </c>
      <c r="F23" s="111">
        <f>IF(Picks!F23="","",Picks!F23)</f>
        <v>-5.05</v>
      </c>
      <c r="G23" s="112">
        <f>IF(Picks!G23="","",Picks!G23)</f>
        <v>19.892249999999997</v>
      </c>
    </row>
    <row r="24" spans="1:7" ht="13.15">
      <c r="A24" s="113"/>
      <c r="B24" s="60" t="str">
        <f>IF(Picks!B24="","",Picks!B24)</f>
        <v>Spurs</v>
      </c>
      <c r="C24" s="595">
        <f>IF(Picks!C24="","",Picks!C24)</f>
        <v>7</v>
      </c>
      <c r="D24" s="45">
        <f>IF(Picks!D24="","",Picks!D24)</f>
        <v>2.0499999999999998</v>
      </c>
      <c r="E24" s="80" t="str">
        <f>IF(Picks!E24="","",Picks!E24)</f>
        <v>x</v>
      </c>
      <c r="F24" s="130" t="str">
        <f>IF(Picks!F24="","",Picks!F24)</f>
        <v/>
      </c>
      <c r="G24" s="45" t="str">
        <f>IF(Picks!G24="","",Picks!G24)</f>
        <v/>
      </c>
    </row>
    <row r="25" spans="1:7" ht="13.5" thickBot="1">
      <c r="A25" s="131"/>
      <c r="B25" s="126" t="str">
        <f>IF(Picks!B25="","",Picks!B25)</f>
        <v>Brighton</v>
      </c>
      <c r="C25" s="596">
        <f>IF(Picks!C25="","",Picks!C25)</f>
        <v>7</v>
      </c>
      <c r="D25" s="127">
        <f>IF(Picks!D25="","",Picks!D25)</f>
        <v>2.1</v>
      </c>
      <c r="E25" s="80" t="str">
        <f>IF(Picks!E25="","",Picks!E25)</f>
        <v>x</v>
      </c>
      <c r="F25" s="130" t="str">
        <f>IF(Picks!F25="","",Picks!F25)</f>
        <v/>
      </c>
      <c r="G25" s="45" t="str">
        <f>IF(Picks!G25="","",Picks!G25)</f>
        <v/>
      </c>
    </row>
    <row r="26" spans="1:7" ht="13.9" thickTop="1" thickBot="1">
      <c r="A26" s="113" t="str">
        <f>IF(Picks!A26="","",Picks!A26)</f>
        <v>Ashley Houghton</v>
      </c>
      <c r="B26" s="108" t="str">
        <f>IF(Picks!B26="","",Picks!B26)</f>
        <v>Charlton</v>
      </c>
      <c r="C26" s="595">
        <f>IF(Picks!C26="","",Picks!C26)</f>
        <v>7</v>
      </c>
      <c r="D26" s="109">
        <f>IF(Picks!D26="","",Picks!D26)</f>
        <v>2</v>
      </c>
      <c r="E26" s="110" t="str">
        <f>IF(Picks!E26="","",Picks!E26)</f>
        <v>x</v>
      </c>
      <c r="F26" s="111">
        <f>IF(Picks!F26="","",Picks!F26)</f>
        <v>-7</v>
      </c>
      <c r="G26" s="112">
        <f>IF(Picks!G26="","",Picks!G26)</f>
        <v>53.199999999999996</v>
      </c>
    </row>
    <row r="27" spans="1:7" ht="13.15">
      <c r="A27" s="113"/>
      <c r="B27" s="60" t="str">
        <f>IF(Picks!B27="","",Picks!B27)</f>
        <v>Hull</v>
      </c>
      <c r="C27" s="595">
        <f>IF(Picks!C27="","",Picks!C27)</f>
        <v>7</v>
      </c>
      <c r="D27" s="45">
        <f>IF(Picks!D27="","",Picks!D27)</f>
        <v>3.8</v>
      </c>
      <c r="E27" s="80" t="str">
        <f>IF(Picks!E27="","",Picks!E27)</f>
        <v>x</v>
      </c>
      <c r="F27" s="130" t="str">
        <f>IF(Picks!F27="","",Picks!F27)</f>
        <v/>
      </c>
      <c r="G27" s="45" t="str">
        <f>IF(Picks!G27="","",Picks!G27)</f>
        <v/>
      </c>
    </row>
    <row r="28" spans="1:7" ht="13.5" thickBot="1">
      <c r="A28" s="131"/>
      <c r="B28" s="126" t="str">
        <f>IF(Picks!B28="","",Picks!B28)</f>
        <v>Luton</v>
      </c>
      <c r="C28" s="596">
        <f>IF(Picks!C28="","",Picks!C28)</f>
        <v>7</v>
      </c>
      <c r="D28" s="127">
        <f>IF(Picks!D28="","",Picks!D28)</f>
        <v>3.25</v>
      </c>
      <c r="E28" s="80" t="str">
        <f>IF(Picks!E28="","",Picks!E28)</f>
        <v>x</v>
      </c>
      <c r="F28" s="130" t="str">
        <f>IF(Picks!F28="","",Picks!F28)</f>
        <v/>
      </c>
      <c r="G28" s="45" t="str">
        <f>IF(Picks!G28="","",Picks!G28)</f>
        <v/>
      </c>
    </row>
    <row r="29" spans="1:7" ht="13.9" thickTop="1" thickBot="1">
      <c r="A29" s="113" t="str">
        <f>IF(Picks!A29="","",Picks!A29)</f>
        <v>Barry Birchall</v>
      </c>
      <c r="B29" s="108" t="str">
        <f>IF(Picks!B29="","",Picks!B29)</f>
        <v>Carlisle</v>
      </c>
      <c r="C29" s="595">
        <f>IF(Picks!C29="","",Picks!C29)</f>
        <v>7</v>
      </c>
      <c r="D29" s="109">
        <f>IF(Picks!D29="","",Picks!D29)</f>
        <v>2.5</v>
      </c>
      <c r="E29" s="110" t="str">
        <f>IF(Picks!E29="","",Picks!E29)</f>
        <v>x</v>
      </c>
      <c r="F29" s="111">
        <f>IF(Picks!F29="","",Picks!F29)</f>
        <v>-7</v>
      </c>
      <c r="G29" s="112">
        <f>IF(Picks!G29="","",Picks!G29)</f>
        <v>34.734999999999999</v>
      </c>
    </row>
    <row r="30" spans="1:7" ht="13.15">
      <c r="A30" s="113"/>
      <c r="B30" s="60" t="str">
        <f>IF(Picks!B30="","",Picks!B30)</f>
        <v>Exeter</v>
      </c>
      <c r="C30" s="595">
        <f>IF(Picks!C30="","",Picks!C30)</f>
        <v>7</v>
      </c>
      <c r="D30" s="45">
        <f>IF(Picks!D30="","",Picks!D30)</f>
        <v>2.7</v>
      </c>
      <c r="E30" s="80" t="str">
        <f>IF(Picks!E30="","",Picks!E30)</f>
        <v>x</v>
      </c>
      <c r="F30" s="130" t="str">
        <f>IF(Picks!F30="","",Picks!F30)</f>
        <v/>
      </c>
      <c r="G30" s="45" t="str">
        <f>IF(Picks!G30="","",Picks!G30)</f>
        <v/>
      </c>
    </row>
    <row r="31" spans="1:7" ht="13.5" thickBot="1">
      <c r="A31" s="131"/>
      <c r="B31" s="126" t="str">
        <f>IF(Picks!B31="","",Picks!B31)</f>
        <v>Norwich</v>
      </c>
      <c r="C31" s="596">
        <f>IF(Picks!C31="","",Picks!C31)</f>
        <v>7</v>
      </c>
      <c r="D31" s="127">
        <f>IF(Picks!D31="","",Picks!D31)</f>
        <v>2.2999999999999998</v>
      </c>
      <c r="E31" s="80" t="str">
        <f>IF(Picks!E31="","",Picks!E31)</f>
        <v>x</v>
      </c>
      <c r="F31" s="130" t="str">
        <f>IF(Picks!F31="","",Picks!F31)</f>
        <v/>
      </c>
      <c r="G31" s="45" t="str">
        <f>IF(Picks!G31="","",Picks!G31)</f>
        <v/>
      </c>
    </row>
    <row r="32" spans="1:7" ht="13.9" thickTop="1" thickBot="1">
      <c r="A32" s="113" t="str">
        <f>IF(Picks!A32="","",Picks!A32)</f>
        <v>Ben Rosser</v>
      </c>
      <c r="B32" s="108" t="str">
        <f>IF(Picks!B32="","",Picks!B32)</f>
        <v>Leicester</v>
      </c>
      <c r="C32" s="595">
        <f>IF(Picks!C32="","",Picks!C32)</f>
        <v>7</v>
      </c>
      <c r="D32" s="109">
        <f>IF(Picks!D32="","",Picks!D32)</f>
        <v>3.4</v>
      </c>
      <c r="E32" s="110" t="str">
        <f>IF(Picks!E32="","",Picks!E32)</f>
        <v>√</v>
      </c>
      <c r="F32" s="111">
        <f>IF(Picks!F32="","",Picks!F32)</f>
        <v>10.919999999999998</v>
      </c>
      <c r="G32" s="112">
        <f>IF(Picks!G32="","",Picks!G32)</f>
        <v>53.489999999999995</v>
      </c>
    </row>
    <row r="33" spans="1:7" ht="13.15">
      <c r="A33" s="113"/>
      <c r="B33" s="60" t="str">
        <f>IF(Picks!B33="","",Picks!B33)</f>
        <v>Palace draw</v>
      </c>
      <c r="C33" s="595">
        <f>IF(Picks!C33="","",Picks!C33)</f>
        <v>7</v>
      </c>
      <c r="D33" s="45">
        <f>IF(Picks!D33="","",Picks!D33)</f>
        <v>3.3</v>
      </c>
      <c r="E33" s="80" t="str">
        <f>IF(Picks!E33="","",Picks!E33)</f>
        <v>√</v>
      </c>
      <c r="F33" s="130" t="str">
        <f>IF(Picks!F33="","",Picks!F33)</f>
        <v/>
      </c>
      <c r="G33" s="45" t="str">
        <f>IF(Picks!G33="","",Picks!G33)</f>
        <v/>
      </c>
    </row>
    <row r="34" spans="1:7" ht="13.5" thickBot="1">
      <c r="A34" s="131"/>
      <c r="B34" s="126" t="str">
        <f>IF(Picks!B34="","",Picks!B34)</f>
        <v>Chelsea</v>
      </c>
      <c r="C34" s="596">
        <f>IF(Picks!C34="","",Picks!C34)</f>
        <v>7</v>
      </c>
      <c r="D34" s="127">
        <f>IF(Picks!D34="","",Picks!D34)</f>
        <v>2.25</v>
      </c>
      <c r="E34" s="80" t="str">
        <f>IF(Picks!E34="","",Picks!E34)</f>
        <v>x</v>
      </c>
      <c r="F34" s="130" t="str">
        <f>IF(Picks!F34="","",Picks!F34)</f>
        <v/>
      </c>
      <c r="G34" s="45" t="str">
        <f>IF(Picks!G34="","",Picks!G34)</f>
        <v/>
      </c>
    </row>
    <row r="35" spans="1:7" ht="13.9" thickTop="1" thickBot="1">
      <c r="A35" s="113" t="str">
        <f>IF(Picks!A35="","",Picks!A35)</f>
        <v>Bob Bailey</v>
      </c>
      <c r="B35" s="108" t="str">
        <f>IF(Picks!B35="","",Picks!B35)</f>
        <v>Watford draw</v>
      </c>
      <c r="C35" s="595">
        <f>IF(Picks!C35="","",Picks!C35)</f>
        <v>7</v>
      </c>
      <c r="D35" s="109">
        <f>IF(Picks!D35="","",Picks!D35)</f>
        <v>3.25</v>
      </c>
      <c r="E35" s="110" t="str">
        <f>IF(Picks!E35="","",Picks!E35)</f>
        <v>√</v>
      </c>
      <c r="F35" s="111">
        <f>IF(Picks!F35="","",Picks!F35)</f>
        <v>-3.75</v>
      </c>
      <c r="G35" s="112">
        <f>IF(Picks!G35="","",Picks!G35)</f>
        <v>71.474999999999994</v>
      </c>
    </row>
    <row r="36" spans="1:7" ht="13.15">
      <c r="A36" s="113"/>
      <c r="B36" s="60" t="str">
        <f>IF(Picks!B36="","",Picks!B36)</f>
        <v>Peterborough draw</v>
      </c>
      <c r="C36" s="595">
        <f>IF(Picks!C36="","",Picks!C36)</f>
        <v>7</v>
      </c>
      <c r="D36" s="45">
        <f>IF(Picks!D36="","",Picks!D36)</f>
        <v>3.25</v>
      </c>
      <c r="E36" s="80" t="str">
        <f>IF(Picks!E36="","",Picks!E36)</f>
        <v>x</v>
      </c>
      <c r="F36" s="130" t="str">
        <f>IF(Picks!F36="","",Picks!F36)</f>
        <v/>
      </c>
      <c r="G36" s="45" t="str">
        <f>IF(Picks!G36="","",Picks!G36)</f>
        <v/>
      </c>
    </row>
    <row r="37" spans="1:7" ht="13.5" thickBot="1">
      <c r="A37" s="131"/>
      <c r="B37" s="126" t="str">
        <f>IF(Picks!B37="","",Picks!B37)</f>
        <v>Wycombe draw</v>
      </c>
      <c r="C37" s="596">
        <f>IF(Picks!C37="","",Picks!C37)</f>
        <v>7</v>
      </c>
      <c r="D37" s="127">
        <f>IF(Picks!D37="","",Picks!D37)</f>
        <v>3.4</v>
      </c>
      <c r="E37" s="80" t="str">
        <f>IF(Picks!E37="","",Picks!E37)</f>
        <v>x</v>
      </c>
      <c r="F37" s="130" t="str">
        <f>IF(Picks!F37="","",Picks!F37)</f>
        <v/>
      </c>
      <c r="G37" s="45" t="str">
        <f>IF(Picks!G37="","",Picks!G37)</f>
        <v/>
      </c>
    </row>
    <row r="38" spans="1:7" ht="13.9" thickTop="1" thickBot="1">
      <c r="A38" s="113" t="str">
        <f>IF(Picks!A38="","",Picks!A38)</f>
        <v>Charlie Griffiths</v>
      </c>
      <c r="B38" s="108" t="str">
        <f>IF(Picks!B38="","",Picks!B38)</f>
        <v>Man U</v>
      </c>
      <c r="C38" s="595">
        <f>IF(Picks!C38="","",Picks!C38)</f>
        <v>1</v>
      </c>
      <c r="D38" s="109">
        <f>IF(Picks!D38="","",Picks!D38)</f>
        <v>1.75</v>
      </c>
      <c r="E38" s="110" t="str">
        <f>IF(Picks!E38="","",Picks!E38)</f>
        <v>√</v>
      </c>
      <c r="F38" s="111">
        <f>IF(Picks!F38="","",Picks!F38)</f>
        <v>-5.25</v>
      </c>
      <c r="G38" s="112">
        <f>IF(Picks!G38="","",Picks!G38)</f>
        <v>37.5</v>
      </c>
    </row>
    <row r="39" spans="1:7" ht="13.15">
      <c r="A39" s="113"/>
      <c r="B39" s="60" t="str">
        <f>IF(Picks!B39="","",Picks!B39)</f>
        <v>Man c draw</v>
      </c>
      <c r="C39" s="595">
        <f>IF(Picks!C39="","",Picks!C39)</f>
        <v>1</v>
      </c>
      <c r="D39" s="45">
        <f>IF(Picks!D39="","",Picks!D39)</f>
        <v>6</v>
      </c>
      <c r="E39" s="80" t="str">
        <f>IF(Picks!E39="","",Picks!E39)</f>
        <v>x</v>
      </c>
      <c r="F39" s="130" t="str">
        <f>IF(Picks!F39="","",Picks!F39)</f>
        <v/>
      </c>
      <c r="G39" s="45" t="str">
        <f>IF(Picks!G39="","",Picks!G39)</f>
        <v/>
      </c>
    </row>
    <row r="40" spans="1:7" ht="13.5" thickBot="1">
      <c r="A40" s="131"/>
      <c r="B40" s="126" t="str">
        <f>IF(Picks!B40="","",Picks!B40)</f>
        <v>Arsenal</v>
      </c>
      <c r="C40" s="596">
        <f>IF(Picks!C40="","",Picks!C40)</f>
        <v>7</v>
      </c>
      <c r="D40" s="127">
        <f>IF(Picks!D40="","",Picks!D40)</f>
        <v>1.3636363636363638</v>
      </c>
      <c r="E40" s="80" t="str">
        <f>IF(Picks!E40="","",Picks!E40)</f>
        <v>x</v>
      </c>
      <c r="F40" s="130" t="str">
        <f>IF(Picks!F40="","",Picks!F40)</f>
        <v/>
      </c>
      <c r="G40" s="45" t="str">
        <f>IF(Picks!G40="","",Picks!G40)</f>
        <v/>
      </c>
    </row>
    <row r="41" spans="1:7" ht="13.9" thickTop="1" thickBot="1">
      <c r="A41" s="113" t="str">
        <f>IF(Picks!A41="","",Picks!A41)</f>
        <v>Chris Bow</v>
      </c>
      <c r="B41" s="108" t="str">
        <f>IF(Picks!B41="","",Picks!B41)</f>
        <v>Luton</v>
      </c>
      <c r="C41" s="595">
        <f>IF(Picks!C41="","",Picks!C41)</f>
        <v>7</v>
      </c>
      <c r="D41" s="109">
        <f>IF(Picks!D41="","",Picks!D41)</f>
        <v>3.25</v>
      </c>
      <c r="E41" s="110" t="str">
        <f>IF(Picks!E41="","",Picks!E41)</f>
        <v>x</v>
      </c>
      <c r="F41" s="111">
        <f>IF(Picks!F41="","",Picks!F41)</f>
        <v>-7</v>
      </c>
      <c r="G41" s="112">
        <f>IF(Picks!G41="","",Picks!G41)</f>
        <v>34.075000000000003</v>
      </c>
    </row>
    <row r="42" spans="1:7" ht="13.15">
      <c r="A42" s="113"/>
      <c r="B42" s="60" t="str">
        <f>IF(Picks!B42="","",Picks!B42)</f>
        <v>Stoke</v>
      </c>
      <c r="C42" s="595">
        <f>IF(Picks!C42="","",Picks!C42)</f>
        <v>7</v>
      </c>
      <c r="D42" s="45">
        <f>IF(Picks!D42="","",Picks!D42)</f>
        <v>2</v>
      </c>
      <c r="E42" s="80" t="str">
        <f>IF(Picks!E42="","",Picks!E42)</f>
        <v>x</v>
      </c>
      <c r="F42" s="130" t="str">
        <f>IF(Picks!F42="","",Picks!F42)</f>
        <v/>
      </c>
      <c r="G42" s="45" t="str">
        <f>IF(Picks!G42="","",Picks!G42)</f>
        <v/>
      </c>
    </row>
    <row r="43" spans="1:7" ht="13.5" thickBot="1">
      <c r="A43" s="131"/>
      <c r="B43" s="126" t="str">
        <f>IF(Picks!B43="","",Picks!B43)</f>
        <v>Derby</v>
      </c>
      <c r="C43" s="596">
        <f>IF(Picks!C43="","",Picks!C43)</f>
        <v>7</v>
      </c>
      <c r="D43" s="127">
        <f>IF(Picks!D43="","",Picks!D43)</f>
        <v>2.2999999999999998</v>
      </c>
      <c r="E43" s="80" t="str">
        <f>IF(Picks!E43="","",Picks!E43)</f>
        <v>x</v>
      </c>
      <c r="F43" s="130" t="str">
        <f>IF(Picks!F43="","",Picks!F43)</f>
        <v/>
      </c>
      <c r="G43" s="45" t="str">
        <f>IF(Picks!G43="","",Picks!G43)</f>
        <v/>
      </c>
    </row>
    <row r="44" spans="1:7" ht="13.9" thickTop="1" thickBot="1">
      <c r="A44" s="113" t="str">
        <f>IF(Picks!A44="","",Picks!A44)</f>
        <v>Chris Griffin</v>
      </c>
      <c r="B44" s="108" t="str">
        <f>IF(Picks!B44="","",Picks!B44)</f>
        <v>Sunderland</v>
      </c>
      <c r="C44" s="595">
        <f>IF(Picks!C44="","",Picks!C44)</f>
        <v>7</v>
      </c>
      <c r="D44" s="109">
        <f>IF(Picks!D44="","",Picks!D44)</f>
        <v>1.9090909090909092</v>
      </c>
      <c r="E44" s="110" t="str">
        <f>IF(Picks!E44="","",Picks!E44)</f>
        <v>√</v>
      </c>
      <c r="F44" s="111">
        <f>IF(Picks!F44="","",Picks!F44)</f>
        <v>8.1616161616161627</v>
      </c>
      <c r="G44" s="112">
        <f>IF(Picks!G44="","",Picks!G44)</f>
        <v>8.1616161616161627</v>
      </c>
    </row>
    <row r="45" spans="1:7" ht="13.15">
      <c r="A45" s="113"/>
      <c r="B45" s="60" t="str">
        <f>IF(Picks!B45="","",Picks!B45)</f>
        <v>Barnsley</v>
      </c>
      <c r="C45" s="595">
        <f>IF(Picks!C45="","",Picks!C45)</f>
        <v>7</v>
      </c>
      <c r="D45" s="45">
        <f>IF(Picks!D45="","",Picks!D45)</f>
        <v>1.5</v>
      </c>
      <c r="E45" s="80" t="str">
        <f>IF(Picks!E45="","",Picks!E45)</f>
        <v>√</v>
      </c>
      <c r="F45" s="130" t="str">
        <f>IF(Picks!F45="","",Picks!F45)</f>
        <v/>
      </c>
      <c r="G45" s="45" t="str">
        <f>IF(Picks!G45="","",Picks!G45)</f>
        <v/>
      </c>
    </row>
    <row r="46" spans="1:7" ht="13.5" thickBot="1">
      <c r="A46" s="131"/>
      <c r="B46" s="126" t="str">
        <f>IF(Picks!B46="","",Picks!B46)</f>
        <v>Man C</v>
      </c>
      <c r="C46" s="596">
        <f>IF(Picks!C46="","",Picks!C46)</f>
        <v>1</v>
      </c>
      <c r="D46" s="127">
        <f>IF(Picks!D46="","",Picks!D46)</f>
        <v>1.2222222222222223</v>
      </c>
      <c r="E46" s="80" t="str">
        <f>IF(Picks!E46="","",Picks!E46)</f>
        <v>√</v>
      </c>
      <c r="F46" s="130" t="str">
        <f>IF(Picks!F46="","",Picks!F46)</f>
        <v/>
      </c>
      <c r="G46" s="45" t="str">
        <f>IF(Picks!G46="","",Picks!G46)</f>
        <v/>
      </c>
    </row>
    <row r="47" spans="1:7" ht="13.9" thickTop="1" thickBot="1">
      <c r="A47" s="113" t="str">
        <f>IF(Picks!A47="","",Picks!A47)</f>
        <v>Chris Luck</v>
      </c>
      <c r="B47" s="108" t="str">
        <f>IF(Picks!B47="","",Picks!B47)</f>
        <v>Blackpool</v>
      </c>
      <c r="C47" s="595">
        <f>IF(Picks!C47="","",Picks!C47)</f>
        <v>7</v>
      </c>
      <c r="D47" s="109">
        <f>IF(Picks!D47="","",Picks!D47)</f>
        <v>2.15</v>
      </c>
      <c r="E47" s="110" t="str">
        <f>IF(Picks!E47="","",Picks!E47)</f>
        <v>x</v>
      </c>
      <c r="F47" s="111">
        <f>IF(Picks!F47="","",Picks!F47)</f>
        <v>-4.8499999999999996</v>
      </c>
      <c r="G47" s="112">
        <f>IF(Picks!G47="","",Picks!G47)</f>
        <v>24.744249999999994</v>
      </c>
    </row>
    <row r="48" spans="1:7" ht="13.15">
      <c r="A48" s="132"/>
      <c r="B48" s="60" t="str">
        <f>IF(Picks!B48="","",Picks!B48)</f>
        <v>Norwich</v>
      </c>
      <c r="C48" s="595">
        <f>IF(Picks!C48="","",Picks!C48)</f>
        <v>7</v>
      </c>
      <c r="D48" s="45">
        <f>IF(Picks!D48="","",Picks!D48)</f>
        <v>2.2999999999999998</v>
      </c>
      <c r="E48" s="80" t="str">
        <f>IF(Picks!E48="","",Picks!E48)</f>
        <v>x</v>
      </c>
      <c r="F48" s="130" t="str">
        <f>IF(Picks!F48="","",Picks!F48)</f>
        <v/>
      </c>
      <c r="G48" s="45" t="str">
        <f>IF(Picks!G48="","",Picks!G48)</f>
        <v/>
      </c>
    </row>
    <row r="49" spans="1:7" ht="13.5" thickBot="1">
      <c r="A49" s="131"/>
      <c r="B49" s="126" t="str">
        <f>IF(Picks!B49="","",Picks!B49)</f>
        <v>Middlesbro</v>
      </c>
      <c r="C49" s="596">
        <f>IF(Picks!C49="","",Picks!C49)</f>
        <v>7</v>
      </c>
      <c r="D49" s="127">
        <f>IF(Picks!D49="","",Picks!D49)</f>
        <v>2.15</v>
      </c>
      <c r="E49" s="80" t="str">
        <f>IF(Picks!E49="","",Picks!E49)</f>
        <v>√</v>
      </c>
      <c r="F49" s="130" t="str">
        <f>IF(Picks!F49="","",Picks!F49)</f>
        <v/>
      </c>
      <c r="G49" s="45" t="str">
        <f>IF(Picks!G49="","",Picks!G49)</f>
        <v/>
      </c>
    </row>
    <row r="50" spans="1:7" ht="13.9" thickTop="1" thickBot="1">
      <c r="A50" s="113" t="str">
        <f>IF(Picks!A50="","",Picks!A50)</f>
        <v>Chris Townsend</v>
      </c>
      <c r="B50" s="108" t="str">
        <f>IF(Picks!B50="","",Picks!B50)</f>
        <v>Fleetwood</v>
      </c>
      <c r="C50" s="595">
        <f>IF(Picks!C50="","",Picks!C50)</f>
        <v>7</v>
      </c>
      <c r="D50" s="109">
        <f>IF(Picks!D50="","",Picks!D50)</f>
        <v>3.6</v>
      </c>
      <c r="E50" s="110" t="str">
        <f>IF(Picks!E50="","",Picks!E50)</f>
        <v>√</v>
      </c>
      <c r="F50" s="111">
        <f>IF(Picks!F50="","",Picks!F50)</f>
        <v>-3.4</v>
      </c>
      <c r="G50" s="112">
        <f>IF(Picks!G50="","",Picks!G50)</f>
        <v>81.056000000000012</v>
      </c>
    </row>
    <row r="51" spans="1:7" ht="13.15">
      <c r="A51" s="113"/>
      <c r="B51" s="60" t="str">
        <f>IF(Picks!B51="","",Picks!B51)</f>
        <v>Sheff W</v>
      </c>
      <c r="C51" s="595">
        <f>IF(Picks!C51="","",Picks!C51)</f>
        <v>7</v>
      </c>
      <c r="D51" s="45">
        <f>IF(Picks!D51="","",Picks!D51)</f>
        <v>3.4</v>
      </c>
      <c r="E51" s="80" t="str">
        <f>IF(Picks!E51="","",Picks!E51)</f>
        <v>x</v>
      </c>
      <c r="F51" s="130" t="str">
        <f>IF(Picks!F51="","",Picks!F51)</f>
        <v/>
      </c>
      <c r="G51" s="45" t="str">
        <f>IF(Picks!G51="","",Picks!G51)</f>
        <v/>
      </c>
    </row>
    <row r="52" spans="1:7" ht="13.5" thickBot="1">
      <c r="A52" s="131"/>
      <c r="B52" s="126" t="str">
        <f>IF(Picks!B52="","",Picks!B52)</f>
        <v>Bristol R</v>
      </c>
      <c r="C52" s="596">
        <f>IF(Picks!C52="","",Picks!C52)</f>
        <v>7</v>
      </c>
      <c r="D52" s="127">
        <f>IF(Picks!D52="","",Picks!D52)</f>
        <v>3.4</v>
      </c>
      <c r="E52" s="80" t="str">
        <f>IF(Picks!E52="","",Picks!E52)</f>
        <v>x</v>
      </c>
      <c r="F52" s="130" t="str">
        <f>IF(Picks!F52="","",Picks!F52)</f>
        <v/>
      </c>
      <c r="G52" s="45" t="str">
        <f>IF(Picks!G52="","",Picks!G52)</f>
        <v/>
      </c>
    </row>
    <row r="53" spans="1:7" ht="13.9" thickTop="1" thickBot="1">
      <c r="A53" s="113" t="str">
        <f>IF(Picks!A53="","",Picks!A53)</f>
        <v>Dan Gibbard</v>
      </c>
      <c r="B53" s="108" t="str">
        <f>IF(Picks!B53="","",Picks!B53)</f>
        <v>Burnley</v>
      </c>
      <c r="C53" s="595">
        <f>IF(Picks!C53="","",Picks!C53)</f>
        <v>7</v>
      </c>
      <c r="D53" s="109">
        <f>IF(Picks!D53="","",Picks!D53)</f>
        <v>1.5</v>
      </c>
      <c r="E53" s="110" t="str">
        <f>IF(Picks!E53="","",Picks!E53)</f>
        <v>√</v>
      </c>
      <c r="F53" s="111">
        <f>IF(Picks!F53="","",Picks!F53)</f>
        <v>12.606060606060606</v>
      </c>
      <c r="G53" s="112">
        <f>IF(Picks!G53="","",Picks!G53)</f>
        <v>12.606060606060606</v>
      </c>
    </row>
    <row r="54" spans="1:7" ht="13.15">
      <c r="A54" s="113"/>
      <c r="B54" s="60" t="str">
        <f>IF(Picks!B54="","",Picks!B54)</f>
        <v>Sheff U</v>
      </c>
      <c r="C54" s="595">
        <f>IF(Picks!C54="","",Picks!C54)</f>
        <v>7</v>
      </c>
      <c r="D54" s="45">
        <f>IF(Picks!D54="","",Picks!D54)</f>
        <v>1.8333333333333335</v>
      </c>
      <c r="E54" s="80" t="str">
        <f>IF(Picks!E54="","",Picks!E54)</f>
        <v>√</v>
      </c>
      <c r="F54" s="130" t="str">
        <f>IF(Picks!F54="","",Picks!F54)</f>
        <v/>
      </c>
      <c r="G54" s="45" t="str">
        <f>IF(Picks!G54="","",Picks!G54)</f>
        <v/>
      </c>
    </row>
    <row r="55" spans="1:7" ht="13.5" thickBot="1">
      <c r="A55" s="131"/>
      <c r="B55" s="126" t="str">
        <f>IF(Picks!B55="","",Picks!B55)</f>
        <v>Sunderland</v>
      </c>
      <c r="C55" s="596">
        <f>IF(Picks!C55="","",Picks!C55)</f>
        <v>7</v>
      </c>
      <c r="D55" s="127">
        <f>IF(Picks!D55="","",Picks!D55)</f>
        <v>1.9090909090909092</v>
      </c>
      <c r="E55" s="80" t="str">
        <f>IF(Picks!E55="","",Picks!E55)</f>
        <v>√</v>
      </c>
      <c r="F55" s="130" t="str">
        <f>IF(Picks!F55="","",Picks!F55)</f>
        <v/>
      </c>
      <c r="G55" s="45" t="str">
        <f>IF(Picks!G55="","",Picks!G55)</f>
        <v/>
      </c>
    </row>
    <row r="56" spans="1:7" ht="13.9" thickTop="1" thickBot="1">
      <c r="A56" s="113" t="str">
        <f>IF(Picks!A56="","",Picks!A56)</f>
        <v>Dave Bell</v>
      </c>
      <c r="B56" s="108" t="str">
        <f>IF(Picks!B56="","",Picks!B56)</f>
        <v>Arsenal</v>
      </c>
      <c r="C56" s="595">
        <f>IF(Picks!C56="","",Picks!C56)</f>
        <v>7</v>
      </c>
      <c r="D56" s="109">
        <f>IF(Picks!D56="","",Picks!D56)</f>
        <v>1.3636363636363638</v>
      </c>
      <c r="E56" s="110" t="str">
        <f>IF(Picks!E56="","",Picks!E56)</f>
        <v>x</v>
      </c>
      <c r="F56" s="111">
        <f>IF(Picks!F56="","",Picks!F56)</f>
        <v>-1.8888888888888884</v>
      </c>
      <c r="G56" s="112">
        <f>IF(Picks!G56="","",Picks!G56)</f>
        <v>6.4444444444444464</v>
      </c>
    </row>
    <row r="57" spans="1:7" ht="13.15">
      <c r="A57" s="113"/>
      <c r="B57" s="60" t="str">
        <f>IF(Picks!B57="","",Picks!B57)</f>
        <v>Man U</v>
      </c>
      <c r="C57" s="595">
        <f>IF(Picks!C57="","",Picks!C57)</f>
        <v>1</v>
      </c>
      <c r="D57" s="45">
        <f>IF(Picks!D57="","",Picks!D57)</f>
        <v>1.75</v>
      </c>
      <c r="E57" s="80" t="str">
        <f>IF(Picks!E57="","",Picks!E57)</f>
        <v>√</v>
      </c>
      <c r="F57" s="130" t="str">
        <f>IF(Picks!F57="","",Picks!F57)</f>
        <v/>
      </c>
      <c r="G57" s="45" t="str">
        <f>IF(Picks!G57="","",Picks!G57)</f>
        <v/>
      </c>
    </row>
    <row r="58" spans="1:7" ht="13.5" thickBot="1">
      <c r="A58" s="131"/>
      <c r="B58" s="126" t="str">
        <f>IF(Picks!B58="","",Picks!B58)</f>
        <v>Man C</v>
      </c>
      <c r="C58" s="596">
        <f>IF(Picks!C58="","",Picks!C58)</f>
        <v>1</v>
      </c>
      <c r="D58" s="127">
        <f>IF(Picks!D58="","",Picks!D58)</f>
        <v>1.2222222222222223</v>
      </c>
      <c r="E58" s="80" t="str">
        <f>IF(Picks!E58="","",Picks!E58)</f>
        <v>√</v>
      </c>
      <c r="F58" s="130" t="str">
        <f>IF(Picks!F58="","",Picks!F58)</f>
        <v/>
      </c>
      <c r="G58" s="45" t="str">
        <f>IF(Picks!G58="","",Picks!G58)</f>
        <v/>
      </c>
    </row>
    <row r="59" spans="1:7" ht="13.9" thickTop="1" thickBot="1">
      <c r="A59" s="113" t="str">
        <f>IF(Picks!A59="","",Picks!A59)</f>
        <v>Dave Orrell</v>
      </c>
      <c r="B59" s="108" t="str">
        <f>IF(Picks!B59="","",Picks!B59)</f>
        <v>Burnley</v>
      </c>
      <c r="C59" s="595">
        <f>IF(Picks!C59="","",Picks!C59)</f>
        <v>7</v>
      </c>
      <c r="D59" s="109">
        <f>IF(Picks!D59="","",Picks!D59)</f>
        <v>1.5</v>
      </c>
      <c r="E59" s="110" t="str">
        <f>IF(Picks!E59="","",Picks!E59)</f>
        <v>√</v>
      </c>
      <c r="F59" s="111">
        <f>IF(Picks!F59="","",Picks!F59)</f>
        <v>-0.125</v>
      </c>
      <c r="G59" s="112">
        <f>IF(Picks!G59="","",Picks!G59)</f>
        <v>24.287499999999998</v>
      </c>
    </row>
    <row r="60" spans="1:7" ht="13.15">
      <c r="A60" s="113"/>
      <c r="B60" s="60" t="str">
        <f>IF(Picks!B60="","",Picks!B60)</f>
        <v>Middlesbro</v>
      </c>
      <c r="C60" s="595">
        <f>IF(Picks!C60="","",Picks!C60)</f>
        <v>7</v>
      </c>
      <c r="D60" s="45">
        <f>IF(Picks!D60="","",Picks!D60)</f>
        <v>2.15</v>
      </c>
      <c r="E60" s="80" t="str">
        <f>IF(Picks!E60="","",Picks!E60)</f>
        <v>√</v>
      </c>
      <c r="F60" s="130" t="str">
        <f>IF(Picks!F60="","",Picks!F60)</f>
        <v/>
      </c>
      <c r="G60" s="45" t="str">
        <f>IF(Picks!G60="","",Picks!G60)</f>
        <v/>
      </c>
    </row>
    <row r="61" spans="1:7" ht="13.5" thickBot="1">
      <c r="A61" s="131"/>
      <c r="B61" s="126" t="str">
        <f>IF(Picks!B61="","",Picks!B61)</f>
        <v>Salford</v>
      </c>
      <c r="C61" s="596">
        <f>IF(Picks!C61="","",Picks!C61)</f>
        <v>7</v>
      </c>
      <c r="D61" s="127">
        <f>IF(Picks!D61="","",Picks!D61)</f>
        <v>3.1</v>
      </c>
      <c r="E61" s="80" t="str">
        <f>IF(Picks!E61="","",Picks!E61)</f>
        <v>x</v>
      </c>
      <c r="F61" s="130" t="str">
        <f>IF(Picks!F61="","",Picks!F61)</f>
        <v/>
      </c>
      <c r="G61" s="45" t="str">
        <f>IF(Picks!G61="","",Picks!G61)</f>
        <v/>
      </c>
    </row>
    <row r="62" spans="1:7" ht="13.9" thickTop="1" thickBot="1">
      <c r="A62" s="113" t="str">
        <f>IF(Picks!A62="","",Picks!A62)</f>
        <v>David Dunn</v>
      </c>
      <c r="B62" s="108" t="str">
        <f>IF(Picks!B62="","",Picks!B62)</f>
        <v>Wolves</v>
      </c>
      <c r="C62" s="595">
        <f>IF(Picks!C62="","",Picks!C62)</f>
        <v>7</v>
      </c>
      <c r="D62" s="109">
        <f>IF(Picks!D62="","",Picks!D62)</f>
        <v>2.625</v>
      </c>
      <c r="E62" s="110" t="str">
        <f>IF(Picks!E62="","",Picks!E62)</f>
        <v>√</v>
      </c>
      <c r="F62" s="111">
        <f>IF(Picks!F62="","",Picks!F62)</f>
        <v>1.0625</v>
      </c>
      <c r="G62" s="112">
        <f>IF(Picks!G62="","",Picks!G62)</f>
        <v>23.71875</v>
      </c>
    </row>
    <row r="63" spans="1:7" ht="13.15">
      <c r="A63" s="113"/>
      <c r="B63" s="60" t="str">
        <f>IF(Picks!B63="","",Picks!B63)</f>
        <v>Burnley</v>
      </c>
      <c r="C63" s="595">
        <f>IF(Picks!C63="","",Picks!C63)</f>
        <v>7</v>
      </c>
      <c r="D63" s="45">
        <f>IF(Picks!D63="","",Picks!D63)</f>
        <v>1.5</v>
      </c>
      <c r="E63" s="80" t="str">
        <f>IF(Picks!E63="","",Picks!E63)</f>
        <v>√</v>
      </c>
      <c r="F63" s="130" t="str">
        <f>IF(Picks!F63="","",Picks!F63)</f>
        <v/>
      </c>
      <c r="G63" s="45" t="str">
        <f>IF(Picks!G63="","",Picks!G63)</f>
        <v/>
      </c>
    </row>
    <row r="64" spans="1:7" ht="13.5" thickBot="1">
      <c r="A64" s="131"/>
      <c r="B64" s="126" t="str">
        <f>IF(Picks!B64="","",Picks!B64)</f>
        <v>MK Dons</v>
      </c>
      <c r="C64" s="596">
        <f>IF(Picks!C64="","",Picks!C64)</f>
        <v>7</v>
      </c>
      <c r="D64" s="127">
        <f>IF(Picks!D64="","",Picks!D64)</f>
        <v>2.5</v>
      </c>
      <c r="E64" s="80" t="str">
        <f>IF(Picks!E64="","",Picks!E64)</f>
        <v>x</v>
      </c>
      <c r="F64" s="130" t="str">
        <f>IF(Picks!F64="","",Picks!F64)</f>
        <v/>
      </c>
      <c r="G64" s="45" t="str">
        <f>IF(Picks!G64="","",Picks!G64)</f>
        <v/>
      </c>
    </row>
    <row r="65" spans="1:7" ht="13.9" thickTop="1" thickBot="1">
      <c r="A65" s="113" t="str">
        <f>IF(Picks!A65="","",Picks!A65)</f>
        <v>Frank Allen</v>
      </c>
      <c r="B65" s="108" t="str">
        <f>IF(Picks!B65="","",Picks!B65)</f>
        <v>Sheff U</v>
      </c>
      <c r="C65" s="595">
        <f>IF(Picks!C65="","",Picks!C65)</f>
        <v>7</v>
      </c>
      <c r="D65" s="109">
        <f>IF(Picks!D65="","",Picks!D65)</f>
        <v>1.8333333333333335</v>
      </c>
      <c r="E65" s="110" t="str">
        <f>IF(Picks!E65="","",Picks!E65)</f>
        <v>√</v>
      </c>
      <c r="F65" s="111">
        <f>IF(Picks!F65="","",Picks!F65)</f>
        <v>-0.91666666666666607</v>
      </c>
      <c r="G65" s="112">
        <f>IF(Picks!G65="","",Picks!G65)</f>
        <v>13.25</v>
      </c>
    </row>
    <row r="66" spans="1:7" ht="13.15">
      <c r="A66" s="113"/>
      <c r="B66" s="60" t="str">
        <f>IF(Picks!B66="","",Picks!B66)</f>
        <v>Watford</v>
      </c>
      <c r="C66" s="595">
        <f>IF(Picks!C66="","",Picks!C66)</f>
        <v>7</v>
      </c>
      <c r="D66" s="45">
        <f>IF(Picks!D66="","",Picks!D66)</f>
        <v>2</v>
      </c>
      <c r="E66" s="80" t="str">
        <f>IF(Picks!E66="","",Picks!E66)</f>
        <v>x</v>
      </c>
      <c r="F66" s="130" t="str">
        <f>IF(Picks!F66="","",Picks!F66)</f>
        <v/>
      </c>
      <c r="G66" s="45" t="str">
        <f>IF(Picks!G66="","",Picks!G66)</f>
        <v/>
      </c>
    </row>
    <row r="67" spans="1:7" ht="13.5" thickBot="1">
      <c r="A67" s="131"/>
      <c r="B67" s="126" t="str">
        <f>IF(Picks!B67="","",Picks!B67)</f>
        <v>Barnsley</v>
      </c>
      <c r="C67" s="596">
        <f>IF(Picks!C67="","",Picks!C67)</f>
        <v>7</v>
      </c>
      <c r="D67" s="127">
        <f>IF(Picks!D67="","",Picks!D67)</f>
        <v>1.5</v>
      </c>
      <c r="E67" s="80" t="str">
        <f>IF(Picks!E67="","",Picks!E67)</f>
        <v>√</v>
      </c>
      <c r="F67" s="130" t="str">
        <f>IF(Picks!F67="","",Picks!F67)</f>
        <v/>
      </c>
      <c r="G67" s="45" t="str">
        <f>IF(Picks!G67="","",Picks!G67)</f>
        <v/>
      </c>
    </row>
    <row r="68" spans="1:7" ht="13.9" thickTop="1" thickBot="1">
      <c r="A68" s="113" t="str">
        <f>IF(Picks!A68="","",Picks!A68)</f>
        <v>Gareth McGuire</v>
      </c>
      <c r="B68" s="108" t="str">
        <f>IF(Picks!B68="","",Picks!B68)</f>
        <v>Derby</v>
      </c>
      <c r="C68" s="595">
        <f>IF(Picks!C68="","",Picks!C68)</f>
        <v>7</v>
      </c>
      <c r="D68" s="109">
        <f>IF(Picks!D68="","",Picks!D68)</f>
        <v>2.2999999999999998</v>
      </c>
      <c r="E68" s="110" t="str">
        <f>IF(Picks!E68="","",Picks!E68)</f>
        <v>x</v>
      </c>
      <c r="F68" s="111">
        <f>IF(Picks!F68="","",Picks!F68)</f>
        <v>-5.2</v>
      </c>
      <c r="G68" s="112">
        <f>IF(Picks!G68="","",Picks!G68)</f>
        <v>29.884</v>
      </c>
    </row>
    <row r="69" spans="1:7" ht="13.15">
      <c r="A69" s="113"/>
      <c r="B69" s="60" t="str">
        <f>IF(Picks!B69="","",Picks!B69)</f>
        <v>Stockport</v>
      </c>
      <c r="C69" s="595">
        <f>IF(Picks!C69="","",Picks!C69)</f>
        <v>7</v>
      </c>
      <c r="D69" s="45">
        <f>IF(Picks!D69="","",Picks!D69)</f>
        <v>1.8</v>
      </c>
      <c r="E69" s="80" t="str">
        <f>IF(Picks!E69="","",Picks!E69)</f>
        <v>√</v>
      </c>
      <c r="F69" s="130" t="str">
        <f>IF(Picks!F69="","",Picks!F69)</f>
        <v/>
      </c>
      <c r="G69" s="45" t="str">
        <f>IF(Picks!G69="","",Picks!G69)</f>
        <v/>
      </c>
    </row>
    <row r="70" spans="1:7" ht="13.5" thickBot="1">
      <c r="A70" s="131"/>
      <c r="B70" s="126" t="str">
        <f>IF(Picks!B70="","",Picks!B70)</f>
        <v>Salford</v>
      </c>
      <c r="C70" s="596">
        <f>IF(Picks!C70="","",Picks!C70)</f>
        <v>7</v>
      </c>
      <c r="D70" s="127">
        <f>IF(Picks!D70="","",Picks!D70)</f>
        <v>3.1</v>
      </c>
      <c r="E70" s="80" t="str">
        <f>IF(Picks!E70="","",Picks!E70)</f>
        <v>x</v>
      </c>
      <c r="F70" s="130" t="str">
        <f>IF(Picks!F70="","",Picks!F70)</f>
        <v/>
      </c>
      <c r="G70" s="45" t="str">
        <f>IF(Picks!G70="","",Picks!G70)</f>
        <v/>
      </c>
    </row>
    <row r="71" spans="1:7" ht="13.9" thickTop="1" thickBot="1">
      <c r="A71" s="113" t="str">
        <f>IF(Picks!A71="","",Picks!A71)</f>
        <v>Gareth Powell</v>
      </c>
      <c r="B71" s="108" t="str">
        <f>IF(Picks!B71="","",Picks!B71)</f>
        <v/>
      </c>
      <c r="C71" s="595" t="str">
        <f>IF(Picks!C71="","",Picks!C71)</f>
        <v/>
      </c>
      <c r="D71" s="109" t="str">
        <f>IF(Picks!D71="","",Picks!D71)</f>
        <v/>
      </c>
      <c r="E71" s="110" t="str">
        <f>IF(Picks!E71="","",Picks!E71)</f>
        <v/>
      </c>
      <c r="F71" s="111">
        <f>IF(Picks!F71="","",Picks!F71)</f>
        <v>-10</v>
      </c>
      <c r="G71" s="112" t="str">
        <f>IF(Picks!G71="","",Picks!G71)</f>
        <v/>
      </c>
    </row>
    <row r="72" spans="1:7" ht="13.15">
      <c r="A72" s="113"/>
      <c r="B72" s="60" t="str">
        <f>IF(Picks!B72="","",Picks!B72)</f>
        <v/>
      </c>
      <c r="C72" s="595" t="str">
        <f>IF(Picks!C72="","",Picks!C72)</f>
        <v/>
      </c>
      <c r="D72" s="45" t="str">
        <f>IF(Picks!D72="","",Picks!D72)</f>
        <v/>
      </c>
      <c r="E72" s="80" t="str">
        <f>IF(Picks!E72="","",Picks!E72)</f>
        <v/>
      </c>
      <c r="F72" s="130" t="str">
        <f>IF(Picks!F72="","",Picks!F72)</f>
        <v/>
      </c>
      <c r="G72" s="45" t="str">
        <f>IF(Picks!G72="","",Picks!G72)</f>
        <v/>
      </c>
    </row>
    <row r="73" spans="1:7" ht="13.5" thickBot="1">
      <c r="A73" s="131"/>
      <c r="B73" s="126" t="str">
        <f>IF(Picks!B73="","",Picks!B73)</f>
        <v/>
      </c>
      <c r="C73" s="596" t="str">
        <f>IF(Picks!C73="","",Picks!C73)</f>
        <v/>
      </c>
      <c r="D73" s="127" t="str">
        <f>IF(Picks!D73="","",Picks!D73)</f>
        <v/>
      </c>
      <c r="E73" s="80" t="str">
        <f>IF(Picks!E73="","",Picks!E73)</f>
        <v/>
      </c>
      <c r="F73" s="130" t="str">
        <f>IF(Picks!F73="","",Picks!F73)</f>
        <v/>
      </c>
      <c r="G73" s="45" t="str">
        <f>IF(Picks!G73="","",Picks!G73)</f>
        <v/>
      </c>
    </row>
    <row r="74" spans="1:7" ht="13.9" thickTop="1" thickBot="1">
      <c r="A74" s="113" t="str">
        <f>IF(Picks!A74="","",Picks!A74)</f>
        <v>Gerard Ventom</v>
      </c>
      <c r="B74" s="108" t="str">
        <f>IF(Picks!B74="","",Picks!B74)</f>
        <v>Reading</v>
      </c>
      <c r="C74" s="595">
        <f>IF(Picks!C74="","",Picks!C74)</f>
        <v>7</v>
      </c>
      <c r="D74" s="109">
        <f>IF(Picks!D74="","",Picks!D74)</f>
        <v>4</v>
      </c>
      <c r="E74" s="110" t="str">
        <f>IF(Picks!E74="","",Picks!E74)</f>
        <v>x</v>
      </c>
      <c r="F74" s="111">
        <f>IF(Picks!F74="","",Picks!F74)</f>
        <v>-4.625</v>
      </c>
      <c r="G74" s="112">
        <f>IF(Picks!G74="","",Picks!G74)</f>
        <v>62.875</v>
      </c>
    </row>
    <row r="75" spans="1:7" ht="13.15">
      <c r="A75" s="113"/>
      <c r="B75" s="60" t="str">
        <f>IF(Picks!B75="","",Picks!B75)</f>
        <v>Wigan</v>
      </c>
      <c r="C75" s="595">
        <f>IF(Picks!C75="","",Picks!C75)</f>
        <v>7</v>
      </c>
      <c r="D75" s="45">
        <f>IF(Picks!D75="","",Picks!D75)</f>
        <v>2.375</v>
      </c>
      <c r="E75" s="80" t="str">
        <f>IF(Picks!E75="","",Picks!E75)</f>
        <v>√</v>
      </c>
      <c r="F75" s="130" t="str">
        <f>IF(Picks!F75="","",Picks!F75)</f>
        <v/>
      </c>
      <c r="G75" s="45" t="str">
        <f>IF(Picks!G75="","",Picks!G75)</f>
        <v/>
      </c>
    </row>
    <row r="76" spans="1:7" ht="13.5" thickBot="1">
      <c r="A76" s="131"/>
      <c r="B76" s="126" t="str">
        <f>IF(Picks!B76="","",Picks!B76)</f>
        <v>Orient</v>
      </c>
      <c r="C76" s="596">
        <f>IF(Picks!C76="","",Picks!C76)</f>
        <v>7</v>
      </c>
      <c r="D76" s="127">
        <f>IF(Picks!D76="","",Picks!D76)</f>
        <v>3.2</v>
      </c>
      <c r="E76" s="80" t="str">
        <f>IF(Picks!E76="","",Picks!E76)</f>
        <v>x</v>
      </c>
      <c r="F76" s="130" t="str">
        <f>IF(Picks!F76="","",Picks!F76)</f>
        <v/>
      </c>
      <c r="G76" s="45" t="str">
        <f>IF(Picks!G76="","",Picks!G76)</f>
        <v/>
      </c>
    </row>
    <row r="77" spans="1:7" ht="13.9" thickTop="1" thickBot="1">
      <c r="A77" s="113" t="str">
        <f>IF(Picks!A77="","",Picks!A77)</f>
        <v>Graham Miller</v>
      </c>
      <c r="B77" s="108" t="str">
        <f>IF(Picks!B77="","",Picks!B77)</f>
        <v>Stoke</v>
      </c>
      <c r="C77" s="595">
        <f>IF(Picks!C77="","",Picks!C77)</f>
        <v>7</v>
      </c>
      <c r="D77" s="109">
        <f>IF(Picks!D77="","",Picks!D77)</f>
        <v>2</v>
      </c>
      <c r="E77" s="110" t="str">
        <f>IF(Picks!E77="","",Picks!E77)</f>
        <v>x</v>
      </c>
      <c r="F77" s="111">
        <f>IF(Picks!F77="","",Picks!F77)</f>
        <v>-4.625</v>
      </c>
      <c r="G77" s="112">
        <f>IF(Picks!G77="","",Picks!G77)</f>
        <v>22.375</v>
      </c>
    </row>
    <row r="78" spans="1:7" ht="13.15">
      <c r="A78" s="113"/>
      <c r="B78" s="60" t="str">
        <f>IF(Picks!B78="","",Picks!B78)</f>
        <v>Watford</v>
      </c>
      <c r="C78" s="595">
        <f>IF(Picks!C78="","",Picks!C78)</f>
        <v>7</v>
      </c>
      <c r="D78" s="45">
        <f>IF(Picks!D78="","",Picks!D78)</f>
        <v>2</v>
      </c>
      <c r="E78" s="80" t="str">
        <f>IF(Picks!E78="","",Picks!E78)</f>
        <v>x</v>
      </c>
      <c r="F78" s="130" t="str">
        <f>IF(Picks!F78="","",Picks!F78)</f>
        <v/>
      </c>
      <c r="G78" s="45" t="str">
        <f>IF(Picks!G78="","",Picks!G78)</f>
        <v/>
      </c>
    </row>
    <row r="79" spans="1:7" ht="13.5" thickBot="1">
      <c r="A79" s="131"/>
      <c r="B79" s="126" t="str">
        <f>IF(Picks!B79="","",Picks!B79)</f>
        <v>Wigan</v>
      </c>
      <c r="C79" s="596">
        <f>IF(Picks!C79="","",Picks!C79)</f>
        <v>7</v>
      </c>
      <c r="D79" s="127">
        <f>IF(Picks!D79="","",Picks!D79)</f>
        <v>2.375</v>
      </c>
      <c r="E79" s="80" t="str">
        <f>IF(Picks!E79="","",Picks!E79)</f>
        <v>√</v>
      </c>
      <c r="F79" s="130" t="str">
        <f>IF(Picks!F79="","",Picks!F79)</f>
        <v/>
      </c>
      <c r="G79" s="45" t="str">
        <f>IF(Picks!G79="","",Picks!G79)</f>
        <v/>
      </c>
    </row>
    <row r="80" spans="1:7" ht="13.9" thickTop="1" thickBot="1">
      <c r="A80" s="113" t="str">
        <f>IF(Picks!A80="","",Picks!A80)</f>
        <v>Howard Bradley</v>
      </c>
      <c r="B80" s="108" t="str">
        <f>IF(Picks!B80="","",Picks!B80)</f>
        <v>Stoke draw</v>
      </c>
      <c r="C80" s="595">
        <f>IF(Picks!C80="","",Picks!C80)</f>
        <v>7</v>
      </c>
      <c r="D80" s="109">
        <f>IF(Picks!D80="","",Picks!D80)</f>
        <v>3.25</v>
      </c>
      <c r="E80" s="110" t="str">
        <f>IF(Picks!E80="","",Picks!E80)</f>
        <v>√</v>
      </c>
      <c r="F80" s="111">
        <f>IF(Picks!F80="","",Picks!F80)</f>
        <v>36.625</v>
      </c>
      <c r="G80" s="112">
        <f>IF(Picks!G80="","",Picks!G80)</f>
        <v>36.625</v>
      </c>
    </row>
    <row r="81" spans="1:7" ht="13.15">
      <c r="A81" s="113"/>
      <c r="B81" s="60" t="str">
        <f>IF(Picks!B81="","",Picks!B81)</f>
        <v>Blackpool draw</v>
      </c>
      <c r="C81" s="595">
        <f>IF(Picks!C81="","",Picks!C81)</f>
        <v>7</v>
      </c>
      <c r="D81" s="45">
        <f>IF(Picks!D81="","",Picks!D81)</f>
        <v>3.2</v>
      </c>
      <c r="E81" s="80" t="str">
        <f>IF(Picks!E81="","",Picks!E81)</f>
        <v>√</v>
      </c>
      <c r="F81" s="130" t="str">
        <f>IF(Picks!F81="","",Picks!F81)</f>
        <v/>
      </c>
      <c r="G81" s="45" t="str">
        <f>IF(Picks!G81="","",Picks!G81)</f>
        <v/>
      </c>
    </row>
    <row r="82" spans="1:7" ht="13.5" thickBot="1">
      <c r="A82" s="131"/>
      <c r="B82" s="126" t="str">
        <f>IF(Picks!B82="","",Picks!B82)</f>
        <v>Barnsley</v>
      </c>
      <c r="C82" s="596">
        <f>IF(Picks!C82="","",Picks!C82)</f>
        <v>7</v>
      </c>
      <c r="D82" s="127">
        <f>IF(Picks!D82="","",Picks!D82)</f>
        <v>1.5</v>
      </c>
      <c r="E82" s="80" t="str">
        <f>IF(Picks!E82="","",Picks!E82)</f>
        <v>√</v>
      </c>
      <c r="F82" s="130" t="str">
        <f>IF(Picks!F82="","",Picks!F82)</f>
        <v/>
      </c>
      <c r="G82" s="45" t="str">
        <f>IF(Picks!G82="","",Picks!G82)</f>
        <v/>
      </c>
    </row>
    <row r="83" spans="1:7" ht="13.9" thickTop="1" thickBot="1">
      <c r="A83" s="113" t="str">
        <f>IF(Picks!A83="","",Picks!A83)</f>
        <v>Ian Davies</v>
      </c>
      <c r="B83" s="108" t="str">
        <f>IF(Picks!B83="","",Picks!B83)</f>
        <v>Peterborough draw</v>
      </c>
      <c r="C83" s="595">
        <f>IF(Picks!C83="","",Picks!C83)</f>
        <v>7</v>
      </c>
      <c r="D83" s="109">
        <f>IF(Picks!D83="","",Picks!D83)</f>
        <v>3.25</v>
      </c>
      <c r="E83" s="110" t="str">
        <f>IF(Picks!E83="","",Picks!E83)</f>
        <v>x</v>
      </c>
      <c r="F83" s="111">
        <f>IF(Picks!F83="","",Picks!F83)</f>
        <v>-3.8</v>
      </c>
      <c r="G83" s="112">
        <f>IF(Picks!G83="","",Picks!G83)</f>
        <v>56.260000000000005</v>
      </c>
    </row>
    <row r="84" spans="1:7" ht="13.15">
      <c r="A84" s="113"/>
      <c r="B84" s="60" t="str">
        <f>IF(Picks!B84="","",Picks!B84)</f>
        <v>Hartlepool draw</v>
      </c>
      <c r="C84" s="595">
        <f>IF(Picks!C84="","",Picks!C84)</f>
        <v>7</v>
      </c>
      <c r="D84" s="45">
        <f>IF(Picks!D84="","",Picks!D84)</f>
        <v>3.2</v>
      </c>
      <c r="E84" s="80" t="str">
        <f>IF(Picks!E84="","",Picks!E84)</f>
        <v>√</v>
      </c>
      <c r="F84" s="130" t="str">
        <f>IF(Picks!F84="","",Picks!F84)</f>
        <v/>
      </c>
      <c r="G84" s="45" t="str">
        <f>IF(Picks!G84="","",Picks!G84)</f>
        <v/>
      </c>
    </row>
    <row r="85" spans="1:7" ht="13.5" thickBot="1">
      <c r="A85" s="131"/>
      <c r="B85" s="126" t="str">
        <f>IF(Picks!B85="","",Picks!B85)</f>
        <v>QPR</v>
      </c>
      <c r="C85" s="596">
        <f>IF(Picks!C85="","",Picks!C85)</f>
        <v>7</v>
      </c>
      <c r="D85" s="127">
        <f>IF(Picks!D85="","",Picks!D85)</f>
        <v>2.6</v>
      </c>
      <c r="E85" s="80" t="str">
        <f>IF(Picks!E85="","",Picks!E85)</f>
        <v>x</v>
      </c>
      <c r="F85" s="130" t="str">
        <f>IF(Picks!F85="","",Picks!F85)</f>
        <v/>
      </c>
      <c r="G85" s="45" t="str">
        <f>IF(Picks!G85="","",Picks!G85)</f>
        <v/>
      </c>
    </row>
    <row r="86" spans="1:7" ht="13.9" thickTop="1" thickBot="1">
      <c r="A86" s="113" t="str">
        <f>IF(Picks!A86="","",Picks!A86)</f>
        <v>Jack Walsh</v>
      </c>
      <c r="B86" s="108" t="str">
        <f>IF(Picks!B86="","",Picks!B86)</f>
        <v>Leeds draw</v>
      </c>
      <c r="C86" s="595">
        <f>IF(Picks!C86="","",Picks!C86)</f>
        <v>1</v>
      </c>
      <c r="D86" s="109">
        <f>IF(Picks!D86="","",Picks!D86)</f>
        <v>3.9</v>
      </c>
      <c r="E86" s="110" t="str">
        <f>IF(Picks!E86="","",Picks!E86)</f>
        <v>x</v>
      </c>
      <c r="F86" s="111">
        <f>IF(Picks!F86="","",Picks!F86)</f>
        <v>11.40625</v>
      </c>
      <c r="G86" s="112">
        <f>IF(Picks!G86="","",Picks!G86)</f>
        <v>87.090625000000003</v>
      </c>
    </row>
    <row r="87" spans="1:7" ht="13.15">
      <c r="A87" s="113"/>
      <c r="B87" s="60" t="str">
        <f>IF(Picks!B87="","",Picks!B87)</f>
        <v>Wigan</v>
      </c>
      <c r="C87" s="595">
        <f>IF(Picks!C87="","",Picks!C87)</f>
        <v>7</v>
      </c>
      <c r="D87" s="45">
        <f>IF(Picks!D87="","",Picks!D87)</f>
        <v>2.375</v>
      </c>
      <c r="E87" s="80" t="str">
        <f>IF(Picks!E87="","",Picks!E87)</f>
        <v>√</v>
      </c>
      <c r="F87" s="130" t="str">
        <f>IF(Picks!F87="","",Picks!F87)</f>
        <v/>
      </c>
      <c r="G87" s="45" t="str">
        <f>IF(Picks!G87="","",Picks!G87)</f>
        <v/>
      </c>
    </row>
    <row r="88" spans="1:7" ht="13.5" thickBot="1">
      <c r="A88" s="131"/>
      <c r="B88" s="126" t="str">
        <f>IF(Picks!B88="","",Picks!B88)</f>
        <v>Arsenal draw</v>
      </c>
      <c r="C88" s="596">
        <f>IF(Picks!C88="","",Picks!C88)</f>
        <v>7</v>
      </c>
      <c r="D88" s="127">
        <f>IF(Picks!D88="","",Picks!D88)</f>
        <v>4.75</v>
      </c>
      <c r="E88" s="80" t="str">
        <f>IF(Picks!E88="","",Picks!E88)</f>
        <v>√</v>
      </c>
      <c r="F88" s="130" t="str">
        <f>IF(Picks!F88="","",Picks!F88)</f>
        <v/>
      </c>
      <c r="G88" s="45" t="str">
        <f>IF(Picks!G88="","",Picks!G88)</f>
        <v/>
      </c>
    </row>
    <row r="89" spans="1:7" ht="13.9" thickTop="1" thickBot="1">
      <c r="A89" s="113" t="str">
        <f>IF(Picks!A89="","",Picks!A89)</f>
        <v>James Bell</v>
      </c>
      <c r="B89" s="108" t="str">
        <f>IF(Picks!B89="","",Picks!B89)</f>
        <v/>
      </c>
      <c r="C89" s="595"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5"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6"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Palace</v>
      </c>
      <c r="C92" s="595">
        <f>IF(Picks!C92="","",Picks!C92)</f>
        <v>7</v>
      </c>
      <c r="D92" s="109">
        <f>IF(Picks!D92="","",Picks!D92)</f>
        <v>3.6</v>
      </c>
      <c r="E92" s="110" t="str">
        <f>IF(Picks!E92="","",Picks!E92)</f>
        <v>x</v>
      </c>
      <c r="F92" s="111">
        <f>IF(Picks!F92="","",Picks!F92)</f>
        <v>-7</v>
      </c>
      <c r="G92" s="112">
        <f>IF(Picks!G92="","",Picks!G92)</f>
        <v>49.683999999999997</v>
      </c>
    </row>
    <row r="93" spans="1:7" ht="13.15">
      <c r="A93" s="113"/>
      <c r="B93" s="60" t="str">
        <f>IF(Picks!B93="","",Picks!B93)</f>
        <v>Southampton</v>
      </c>
      <c r="C93" s="595">
        <f>IF(Picks!C93="","",Picks!C93)</f>
        <v>7</v>
      </c>
      <c r="D93" s="45">
        <f>IF(Picks!D93="","",Picks!D93)</f>
        <v>2.8</v>
      </c>
      <c r="E93" s="80" t="str">
        <f>IF(Picks!E93="","",Picks!E93)</f>
        <v>x</v>
      </c>
      <c r="F93" s="130" t="str">
        <f>IF(Picks!F93="","",Picks!F93)</f>
        <v/>
      </c>
      <c r="G93" s="45" t="str">
        <f>IF(Picks!G93="","",Picks!G93)</f>
        <v/>
      </c>
    </row>
    <row r="94" spans="1:7" ht="13.5" thickBot="1">
      <c r="A94" s="131"/>
      <c r="B94" s="126" t="str">
        <f>IF(Picks!B94="","",Picks!B94)</f>
        <v>Norwich</v>
      </c>
      <c r="C94" s="596">
        <f>IF(Picks!C94="","",Picks!C94)</f>
        <v>7</v>
      </c>
      <c r="D94" s="127">
        <f>IF(Picks!D94="","",Picks!D94)</f>
        <v>2.2999999999999998</v>
      </c>
      <c r="E94" s="80" t="str">
        <f>IF(Picks!E94="","",Picks!E94)</f>
        <v>x</v>
      </c>
      <c r="F94" s="130" t="str">
        <f>IF(Picks!F94="","",Picks!F94)</f>
        <v/>
      </c>
      <c r="G94" s="45" t="str">
        <f>IF(Picks!G94="","",Picks!G94)</f>
        <v/>
      </c>
    </row>
    <row r="95" spans="1:7" ht="13.9" thickTop="1" thickBot="1">
      <c r="A95" s="113" t="str">
        <f>IF(Picks!A95="","",Picks!A95)</f>
        <v>John Ronan</v>
      </c>
      <c r="B95" s="108" t="str">
        <f>IF(Picks!B95="","",Picks!B95)</f>
        <v>Fulham</v>
      </c>
      <c r="C95" s="595">
        <f>IF(Picks!C95="","",Picks!C95)</f>
        <v>7</v>
      </c>
      <c r="D95" s="109">
        <f>IF(Picks!D95="","",Picks!D95)</f>
        <v>1.95</v>
      </c>
      <c r="E95" s="110" t="str">
        <f>IF(Picks!E95="","",Picks!E95)</f>
        <v>√</v>
      </c>
      <c r="F95" s="111">
        <f>IF(Picks!F95="","",Picks!F95)</f>
        <v>1.2925000000000004</v>
      </c>
      <c r="G95" s="112">
        <f>IF(Picks!G95="","",Picks!G95)</f>
        <v>21.736000000000001</v>
      </c>
    </row>
    <row r="96" spans="1:7" ht="13.15">
      <c r="A96" s="113"/>
      <c r="B96" s="60" t="str">
        <f>IF(Picks!B96="","",Picks!B96)</f>
        <v>Middlesbro</v>
      </c>
      <c r="C96" s="595">
        <f>IF(Picks!C96="","",Picks!C96)</f>
        <v>7</v>
      </c>
      <c r="D96" s="45">
        <f>IF(Picks!D96="","",Picks!D96)</f>
        <v>2.15</v>
      </c>
      <c r="E96" s="80" t="str">
        <f>IF(Picks!E96="","",Picks!E96)</f>
        <v>√</v>
      </c>
      <c r="F96" s="130" t="str">
        <f>IF(Picks!F96="","",Picks!F96)</f>
        <v/>
      </c>
      <c r="G96" s="45" t="str">
        <f>IF(Picks!G96="","",Picks!G96)</f>
        <v/>
      </c>
    </row>
    <row r="97" spans="1:7" ht="13.5" thickBot="1">
      <c r="A97" s="131"/>
      <c r="B97" s="126" t="str">
        <f>IF(Picks!B97="","",Picks!B97)</f>
        <v>Coventry</v>
      </c>
      <c r="C97" s="596">
        <f>IF(Picks!C97="","",Picks!C97)</f>
        <v>7</v>
      </c>
      <c r="D97" s="127">
        <f>IF(Picks!D97="","",Picks!D97)</f>
        <v>2.2000000000000002</v>
      </c>
      <c r="E97" s="80" t="str">
        <f>IF(Picks!E97="","",Picks!E97)</f>
        <v>x</v>
      </c>
      <c r="F97" s="130" t="str">
        <f>IF(Picks!F97="","",Picks!F97)</f>
        <v/>
      </c>
      <c r="G97" s="45" t="str">
        <f>IF(Picks!G97="","",Picks!G97)</f>
        <v/>
      </c>
    </row>
    <row r="98" spans="1:7" ht="13.9" thickTop="1" thickBot="1">
      <c r="A98" s="113" t="str">
        <f>IF(Picks!A98="","",Picks!A98)</f>
        <v>Julie Dodd</v>
      </c>
      <c r="B98" s="108" t="str">
        <f>IF(Picks!B98="","",Picks!B98)</f>
        <v>Lincoln</v>
      </c>
      <c r="C98" s="595">
        <f>IF(Picks!C98="","",Picks!C98)</f>
        <v>7</v>
      </c>
      <c r="D98" s="109">
        <f>IF(Picks!D98="","",Picks!D98)</f>
        <v>2.2999999999999998</v>
      </c>
      <c r="E98" s="110" t="str">
        <f>IF(Picks!E98="","",Picks!E98)</f>
        <v>√</v>
      </c>
      <c r="F98" s="111">
        <f>IF(Picks!F98="","",Picks!F98)</f>
        <v>-4.7</v>
      </c>
      <c r="G98" s="112">
        <f>IF(Picks!G98="","",Picks!G98)</f>
        <v>34.734999999999999</v>
      </c>
    </row>
    <row r="99" spans="1:7" ht="13.15">
      <c r="A99" s="113"/>
      <c r="B99" s="60" t="str">
        <f>IF(Picks!B99="","",Picks!B99)</f>
        <v>MK Dons</v>
      </c>
      <c r="C99" s="595">
        <f>IF(Picks!C99="","",Picks!C99)</f>
        <v>7</v>
      </c>
      <c r="D99" s="45">
        <f>IF(Picks!D99="","",Picks!D99)</f>
        <v>2.5</v>
      </c>
      <c r="E99" s="80" t="str">
        <f>IF(Picks!E99="","",Picks!E99)</f>
        <v>x</v>
      </c>
      <c r="F99" s="130" t="str">
        <f>IF(Picks!F99="","",Picks!F99)</f>
        <v/>
      </c>
      <c r="G99" s="45" t="str">
        <f>IF(Picks!G99="","",Picks!G99)</f>
        <v/>
      </c>
    </row>
    <row r="100" spans="1:7" ht="13.5" thickBot="1">
      <c r="A100" s="131"/>
      <c r="B100" s="126" t="str">
        <f>IF(Picks!B100="","",Picks!B100)</f>
        <v>Exeter</v>
      </c>
      <c r="C100" s="596">
        <f>IF(Picks!C100="","",Picks!C100)</f>
        <v>7</v>
      </c>
      <c r="D100" s="127">
        <f>IF(Picks!D100="","",Picks!D100)</f>
        <v>2.7</v>
      </c>
      <c r="E100" s="80" t="str">
        <f>IF(Picks!E100="","",Picks!E100)</f>
        <v>x</v>
      </c>
      <c r="F100" s="130" t="str">
        <f>IF(Picks!F100="","",Picks!F100)</f>
        <v/>
      </c>
      <c r="G100" s="45" t="str">
        <f>IF(Picks!G100="","",Picks!G100)</f>
        <v/>
      </c>
    </row>
    <row r="101" spans="1:7" ht="13.9" thickTop="1" thickBot="1">
      <c r="A101" s="113" t="str">
        <f>IF(Picks!A101="","",Picks!A101)</f>
        <v>Kei Lok Ma</v>
      </c>
      <c r="B101" s="108" t="str">
        <f>IF(Picks!B101="","",Picks!B101)</f>
        <v>Middlesbro</v>
      </c>
      <c r="C101" s="595">
        <f>IF(Picks!C101="","",Picks!C101)</f>
        <v>7</v>
      </c>
      <c r="D101" s="109">
        <f>IF(Picks!D101="","",Picks!D101)</f>
        <v>2.15</v>
      </c>
      <c r="E101" s="110" t="str">
        <f>IF(Picks!E101="","",Picks!E101)</f>
        <v>√</v>
      </c>
      <c r="F101" s="111">
        <f>IF(Picks!F101="","",Picks!F101)</f>
        <v>0.92500000000000071</v>
      </c>
      <c r="G101" s="112">
        <f>IF(Picks!G101="","",Picks!G101)</f>
        <v>29.931249999999999</v>
      </c>
    </row>
    <row r="102" spans="1:7" ht="13.15">
      <c r="A102" s="113"/>
      <c r="B102" s="60" t="str">
        <f>IF(Picks!B102="","",Picks!B102)</f>
        <v>Luton</v>
      </c>
      <c r="C102" s="595">
        <f>IF(Picks!C102="","",Picks!C102)</f>
        <v>7</v>
      </c>
      <c r="D102" s="45">
        <f>IF(Picks!D102="","",Picks!D102)</f>
        <v>3.25</v>
      </c>
      <c r="E102" s="80" t="str">
        <f>IF(Picks!E102="","",Picks!E102)</f>
        <v>x</v>
      </c>
      <c r="F102" s="130" t="str">
        <f>IF(Picks!F102="","",Picks!F102)</f>
        <v/>
      </c>
      <c r="G102" s="45" t="str">
        <f>IF(Picks!G102="","",Picks!G102)</f>
        <v/>
      </c>
    </row>
    <row r="103" spans="1:7" ht="13.5" thickBot="1">
      <c r="A103" s="131"/>
      <c r="B103" s="126" t="str">
        <f>IF(Picks!B103="","",Picks!B103)</f>
        <v>Sheff U</v>
      </c>
      <c r="C103" s="596">
        <f>IF(Picks!C103="","",Picks!C103)</f>
        <v>7</v>
      </c>
      <c r="D103" s="127">
        <f>IF(Picks!D103="","",Picks!D103)</f>
        <v>1.8333333333333335</v>
      </c>
      <c r="E103" s="80" t="str">
        <f>IF(Picks!E103="","",Picks!E103)</f>
        <v>√</v>
      </c>
      <c r="F103" s="130" t="str">
        <f>IF(Picks!F103="","",Picks!F103)</f>
        <v/>
      </c>
      <c r="G103" s="45" t="str">
        <f>IF(Picks!G103="","",Picks!G103)</f>
        <v/>
      </c>
    </row>
    <row r="104" spans="1:7" ht="13.9" thickTop="1" thickBot="1">
      <c r="A104" s="113" t="str">
        <f>IF(Picks!A104="","",Picks!A104)</f>
        <v>Kevin Carter</v>
      </c>
      <c r="B104" s="108" t="str">
        <f>IF(Picks!B104="","",Picks!B104)</f>
        <v>Brighton</v>
      </c>
      <c r="C104" s="595">
        <f>IF(Picks!C104="","",Picks!C104)</f>
        <v>7</v>
      </c>
      <c r="D104" s="109">
        <f>IF(Picks!D104="","",Picks!D104)</f>
        <v>2.1</v>
      </c>
      <c r="E104" s="110" t="str">
        <f>IF(Picks!E104="","",Picks!E104)</f>
        <v>x</v>
      </c>
      <c r="F104" s="111">
        <f>IF(Picks!F104="","",Picks!F104)</f>
        <v>2.2708333333333339</v>
      </c>
      <c r="G104" s="112">
        <f>IF(Picks!G104="","",Picks!G104)</f>
        <v>23.839583333333337</v>
      </c>
    </row>
    <row r="105" spans="1:7" ht="13.15">
      <c r="A105" s="113"/>
      <c r="B105" s="60" t="str">
        <f>IF(Picks!B105="","",Picks!B105)</f>
        <v>Wolves</v>
      </c>
      <c r="C105" s="595">
        <f>IF(Picks!C105="","",Picks!C105)</f>
        <v>7</v>
      </c>
      <c r="D105" s="45">
        <f>IF(Picks!D105="","",Picks!D105)</f>
        <v>2.625</v>
      </c>
      <c r="E105" s="80" t="str">
        <f>IF(Picks!E105="","",Picks!E105)</f>
        <v>√</v>
      </c>
      <c r="F105" s="130" t="str">
        <f>IF(Picks!F105="","",Picks!F105)</f>
        <v/>
      </c>
      <c r="G105" s="45" t="str">
        <f>IF(Picks!G105="","",Picks!G105)</f>
        <v/>
      </c>
    </row>
    <row r="106" spans="1:7" ht="13.5" thickBot="1">
      <c r="A106" s="131"/>
      <c r="B106" s="126" t="str">
        <f>IF(Picks!B106="","",Picks!B106)</f>
        <v>Sheff U</v>
      </c>
      <c r="C106" s="596">
        <f>IF(Picks!C106="","",Picks!C106)</f>
        <v>7</v>
      </c>
      <c r="D106" s="127">
        <f>IF(Picks!D106="","",Picks!D106)</f>
        <v>1.8333333333333335</v>
      </c>
      <c r="E106" s="80" t="str">
        <f>IF(Picks!E106="","",Picks!E106)</f>
        <v>√</v>
      </c>
      <c r="F106" s="130" t="str">
        <f>IF(Picks!F106="","",Picks!F106)</f>
        <v/>
      </c>
      <c r="G106" s="45" t="str">
        <f>IF(Picks!G106="","",Picks!G106)</f>
        <v/>
      </c>
    </row>
    <row r="107" spans="1:7" ht="13.9" thickTop="1" thickBot="1">
      <c r="A107" s="113" t="str">
        <f>IF(Picks!A107="","",Picks!A107)</f>
        <v>Lennie Bow</v>
      </c>
      <c r="B107" s="108" t="str">
        <f>IF(Picks!B107="","",Picks!B107)</f>
        <v>Shrewsbury</v>
      </c>
      <c r="C107" s="595">
        <f>IF(Picks!C107="","",Picks!C107)</f>
        <v>7</v>
      </c>
      <c r="D107" s="109">
        <f>IF(Picks!D107="","",Picks!D107)</f>
        <v>2.25</v>
      </c>
      <c r="E107" s="110" t="str">
        <f>IF(Picks!E107="","",Picks!E107)</f>
        <v>√</v>
      </c>
      <c r="F107" s="111">
        <f>IF(Picks!F107="","",Picks!F107)</f>
        <v>0.77500000000000036</v>
      </c>
      <c r="G107" s="112">
        <f>IF(Picks!G107="","",Picks!G107)</f>
        <v>17.008749999999999</v>
      </c>
    </row>
    <row r="108" spans="1:7" ht="13.15">
      <c r="A108" s="113"/>
      <c r="B108" s="60" t="str">
        <f>IF(Picks!B108="","",Picks!B108)</f>
        <v>Mansfield</v>
      </c>
      <c r="C108" s="595">
        <f>IF(Picks!C108="","",Picks!C108)</f>
        <v>7</v>
      </c>
      <c r="D108" s="45">
        <f>IF(Picks!D108="","",Picks!D108)</f>
        <v>1.7</v>
      </c>
      <c r="E108" s="80" t="str">
        <f>IF(Picks!E108="","",Picks!E108)</f>
        <v>√</v>
      </c>
      <c r="F108" s="130" t="str">
        <f>IF(Picks!F108="","",Picks!F108)</f>
        <v/>
      </c>
      <c r="G108" s="45" t="str">
        <f>IF(Picks!G108="","",Picks!G108)</f>
        <v/>
      </c>
    </row>
    <row r="109" spans="1:7" ht="13.5" thickBot="1">
      <c r="A109" s="131"/>
      <c r="B109" s="126" t="str">
        <f>IF(Picks!B109="","",Picks!B109)</f>
        <v>Stevenage</v>
      </c>
      <c r="C109" s="596">
        <f>IF(Picks!C109="","",Picks!C109)</f>
        <v>7</v>
      </c>
      <c r="D109" s="127">
        <f>IF(Picks!D109="","",Picks!D109)</f>
        <v>1.85</v>
      </c>
      <c r="E109" s="80" t="str">
        <f>IF(Picks!E109="","",Picks!E109)</f>
        <v>x</v>
      </c>
      <c r="F109" s="130" t="str">
        <f>IF(Picks!F109="","",Picks!F109)</f>
        <v/>
      </c>
      <c r="G109" s="45" t="str">
        <f>IF(Picks!G109="","",Picks!G109)</f>
        <v/>
      </c>
    </row>
    <row r="110" spans="1:7" ht="13.9" thickTop="1" thickBot="1">
      <c r="A110" s="113" t="str">
        <f>IF(Picks!A110="","",Picks!A110)</f>
        <v>Liam Wah</v>
      </c>
      <c r="B110" s="108" t="str">
        <f>IF(Picks!B110="","",Picks!B110)</f>
        <v/>
      </c>
      <c r="C110" s="595"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5"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6"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Charlton</v>
      </c>
      <c r="C113" s="595">
        <f>IF(Picks!C113="","",Picks!C113)</f>
        <v>7</v>
      </c>
      <c r="D113" s="109">
        <f>IF(Picks!D113="","",Picks!D113)</f>
        <v>2</v>
      </c>
      <c r="E113" s="110" t="str">
        <f>IF(Picks!E113="","",Picks!E113)</f>
        <v>x</v>
      </c>
      <c r="F113" s="111">
        <f>IF(Picks!F113="","",Picks!F113)</f>
        <v>-4.75</v>
      </c>
      <c r="G113" s="112">
        <f>IF(Picks!G113="","",Picks!G113)</f>
        <v>22.224999999999998</v>
      </c>
    </row>
    <row r="114" spans="1:7" ht="13.15">
      <c r="A114" s="113"/>
      <c r="B114" s="60" t="str">
        <f>IF(Picks!B114="","",Picks!B114)</f>
        <v>Shrewsbury</v>
      </c>
      <c r="C114" s="595">
        <f>IF(Picks!C114="","",Picks!C114)</f>
        <v>7</v>
      </c>
      <c r="D114" s="45">
        <f>IF(Picks!D114="","",Picks!D114)</f>
        <v>2.25</v>
      </c>
      <c r="E114" s="80" t="str">
        <f>IF(Picks!E114="","",Picks!E114)</f>
        <v>√</v>
      </c>
      <c r="F114" s="130" t="str">
        <f>IF(Picks!F114="","",Picks!F114)</f>
        <v/>
      </c>
      <c r="G114" s="45" t="str">
        <f>IF(Picks!G114="","",Picks!G114)</f>
        <v/>
      </c>
    </row>
    <row r="115" spans="1:7" ht="13.5" thickBot="1">
      <c r="A115" s="131"/>
      <c r="B115" s="60" t="str">
        <f>IF(Picks!B115="","",Picks!B115)</f>
        <v>Swindon</v>
      </c>
      <c r="C115" s="596">
        <f>IF(Picks!C115="","",Picks!C115)</f>
        <v>7</v>
      </c>
      <c r="D115" s="127">
        <f>IF(Picks!D115="","",Picks!D115)</f>
        <v>2.1</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Barrow</v>
      </c>
      <c r="C116" s="595">
        <f>IF(Picks!C116="","",Picks!C116)</f>
        <v>7</v>
      </c>
      <c r="D116" s="109">
        <f>IF(Picks!D116="","",Picks!D116)</f>
        <v>2.2999999999999998</v>
      </c>
      <c r="E116" s="110" t="str">
        <f>IF(Picks!E116="","",Picks!E116)</f>
        <v>x</v>
      </c>
      <c r="F116" s="111">
        <f>IF(Picks!F116="","",Picks!F116)</f>
        <v>-7</v>
      </c>
      <c r="G116" s="112">
        <f>IF(Picks!G116="","",Picks!G116)</f>
        <v>35.972499999999997</v>
      </c>
    </row>
    <row r="117" spans="1:7" ht="13.15">
      <c r="A117" s="113"/>
      <c r="B117" s="60" t="str">
        <f>IF(Picks!B117="","",Picks!B117)</f>
        <v>Sutton</v>
      </c>
      <c r="C117" s="595">
        <f>IF(Picks!C117="","",Picks!C117)</f>
        <v>7</v>
      </c>
      <c r="D117" s="45">
        <f>IF(Picks!D117="","",Picks!D117)</f>
        <v>2.25</v>
      </c>
      <c r="E117" s="80" t="str">
        <f>IF(Picks!E117="","",Picks!E117)</f>
        <v>x</v>
      </c>
      <c r="F117" s="130" t="str">
        <f>IF(Picks!F117="","",Picks!F117)</f>
        <v/>
      </c>
      <c r="G117" s="45" t="str">
        <f>IF(Picks!G117="","",Picks!G117)</f>
        <v/>
      </c>
    </row>
    <row r="118" spans="1:7" ht="13.5" thickBot="1">
      <c r="A118" s="131"/>
      <c r="B118" s="126" t="str">
        <f>IF(Picks!B118="","",Picks!B118)</f>
        <v>Northampton</v>
      </c>
      <c r="C118" s="596">
        <f>IF(Picks!C118="","",Picks!C118)</f>
        <v>7</v>
      </c>
      <c r="D118" s="127">
        <f>IF(Picks!D118="","",Picks!D118)</f>
        <v>3.1</v>
      </c>
      <c r="E118" s="80" t="str">
        <f>IF(Picks!E118="","",Picks!E118)</f>
        <v>x</v>
      </c>
      <c r="F118" s="130" t="str">
        <f>IF(Picks!F118="","",Picks!F118)</f>
        <v/>
      </c>
      <c r="G118" s="45" t="str">
        <f>IF(Picks!G118="","",Picks!G118)</f>
        <v/>
      </c>
    </row>
    <row r="119" spans="1:7" ht="13.9" thickTop="1" thickBot="1">
      <c r="A119" s="113" t="str">
        <f>IF(Picks!A119="","",Picks!A119)</f>
        <v>Mark Saunders</v>
      </c>
      <c r="B119" s="108" t="str">
        <f>IF(Picks!B119="","",Picks!B119)</f>
        <v>Burnley</v>
      </c>
      <c r="C119" s="595">
        <f>IF(Picks!C119="","",Picks!C119)</f>
        <v>7</v>
      </c>
      <c r="D119" s="109">
        <f>IF(Picks!D119="","",Picks!D119)</f>
        <v>1.5</v>
      </c>
      <c r="E119" s="110" t="str">
        <f>IF(Picks!E119="","",Picks!E119)</f>
        <v>√</v>
      </c>
      <c r="F119" s="111">
        <f>IF(Picks!F119="","",Picks!F119)</f>
        <v>-0.91666666666666607</v>
      </c>
      <c r="G119" s="112">
        <f>IF(Picks!G119="","",Picks!G119)</f>
        <v>13.25</v>
      </c>
    </row>
    <row r="120" spans="1:7" ht="13.15">
      <c r="A120" s="113"/>
      <c r="B120" s="60" t="str">
        <f>IF(Picks!B120="","",Picks!B120)</f>
        <v>Sheff U</v>
      </c>
      <c r="C120" s="595">
        <f>IF(Picks!C120="","",Picks!C120)</f>
        <v>7</v>
      </c>
      <c r="D120" s="45">
        <f>IF(Picks!D120="","",Picks!D120)</f>
        <v>1.8333333333333335</v>
      </c>
      <c r="E120" s="80" t="str">
        <f>IF(Picks!E120="","",Picks!E120)</f>
        <v>√</v>
      </c>
      <c r="F120" s="130" t="str">
        <f>IF(Picks!F120="","",Picks!F120)</f>
        <v/>
      </c>
      <c r="G120" s="45" t="str">
        <f>IF(Picks!G120="","",Picks!G120)</f>
        <v/>
      </c>
    </row>
    <row r="121" spans="1:7" ht="13.5" thickBot="1">
      <c r="A121" s="131"/>
      <c r="B121" s="126" t="str">
        <f>IF(Picks!B121="","",Picks!B121)</f>
        <v>Watford</v>
      </c>
      <c r="C121" s="596">
        <f>IF(Picks!C121="","",Picks!C121)</f>
        <v>7</v>
      </c>
      <c r="D121" s="127">
        <f>IF(Picks!D121="","",Picks!D121)</f>
        <v>2</v>
      </c>
      <c r="E121" s="80" t="str">
        <f>IF(Picks!E121="","",Picks!E121)</f>
        <v>x</v>
      </c>
      <c r="F121" s="130" t="str">
        <f>IF(Picks!F121="","",Picks!F121)</f>
        <v/>
      </c>
      <c r="G121" s="45" t="str">
        <f>IF(Picks!G121="","",Picks!G121)</f>
        <v/>
      </c>
    </row>
    <row r="122" spans="1:7" ht="13.9" thickTop="1" thickBot="1">
      <c r="A122" s="113" t="str">
        <f>IF(Picks!A122="","",Picks!A122)</f>
        <v>Martin Molyneux</v>
      </c>
      <c r="B122" s="108" t="str">
        <f>IF(Picks!B122="","",Picks!B122)</f>
        <v>Middlesbro</v>
      </c>
      <c r="C122" s="595">
        <f>IF(Picks!C122="","",Picks!C122)</f>
        <v>7</v>
      </c>
      <c r="D122" s="109">
        <f>IF(Picks!D122="","",Picks!D122)</f>
        <v>2.15</v>
      </c>
      <c r="E122" s="110" t="str">
        <f>IF(Picks!E122="","",Picks!E122)</f>
        <v>√</v>
      </c>
      <c r="F122" s="111">
        <f>IF(Picks!F122="","",Picks!F122)</f>
        <v>17.963636363636361</v>
      </c>
      <c r="G122" s="112">
        <f>IF(Picks!G122="","",Picks!G122)</f>
        <v>17.963636363636361</v>
      </c>
    </row>
    <row r="123" spans="1:7" ht="13.15">
      <c r="A123" s="113"/>
      <c r="B123" s="60" t="str">
        <f>IF(Picks!B123="","",Picks!B123)</f>
        <v>Sheff U</v>
      </c>
      <c r="C123" s="595">
        <f>IF(Picks!C123="","",Picks!C123)</f>
        <v>7</v>
      </c>
      <c r="D123" s="45">
        <f>IF(Picks!D123="","",Picks!D123)</f>
        <v>1.8333333333333335</v>
      </c>
      <c r="E123" s="80" t="str">
        <f>IF(Picks!E123="","",Picks!E123)</f>
        <v>√</v>
      </c>
      <c r="F123" s="130" t="str">
        <f>IF(Picks!F123="","",Picks!F123)</f>
        <v/>
      </c>
      <c r="G123" s="45" t="str">
        <f>IF(Picks!G123="","",Picks!G123)</f>
        <v/>
      </c>
    </row>
    <row r="124" spans="1:7" ht="13.5" thickBot="1">
      <c r="A124" s="131"/>
      <c r="B124" s="126" t="str">
        <f>IF(Picks!B124="","",Picks!B124)</f>
        <v>Sunderland</v>
      </c>
      <c r="C124" s="596">
        <f>IF(Picks!C124="","",Picks!C124)</f>
        <v>7</v>
      </c>
      <c r="D124" s="127">
        <f>IF(Picks!D124="","",Picks!D124)</f>
        <v>1.9090909090909092</v>
      </c>
      <c r="E124" s="80" t="str">
        <f>IF(Picks!E124="","",Picks!E124)</f>
        <v>√</v>
      </c>
      <c r="F124" s="130" t="str">
        <f>IF(Picks!F124="","",Picks!F124)</f>
        <v/>
      </c>
      <c r="G124" s="45" t="str">
        <f>IF(Picks!G124="","",Picks!G124)</f>
        <v/>
      </c>
    </row>
    <row r="125" spans="1:7" ht="13.9" thickTop="1" thickBot="1">
      <c r="A125" s="113" t="str">
        <f>IF(Picks!A125="","",Picks!A125)</f>
        <v>Martin Tarbuck</v>
      </c>
      <c r="B125" s="108" t="str">
        <f>IF(Picks!B125="","",Picks!B125)</f>
        <v>Derby</v>
      </c>
      <c r="C125" s="595">
        <f>IF(Picks!C125="","",Picks!C125)</f>
        <v>7</v>
      </c>
      <c r="D125" s="109">
        <f>IF(Picks!D125="","",Picks!D125)</f>
        <v>2.2999999999999998</v>
      </c>
      <c r="E125" s="110" t="str">
        <f>IF(Picks!E125="","",Picks!E125)</f>
        <v>x</v>
      </c>
      <c r="F125" s="111">
        <f>IF(Picks!F125="","",Picks!F125)</f>
        <v>-4.8499999999999996</v>
      </c>
      <c r="G125" s="112">
        <f>IF(Picks!G125="","",Picks!G125)</f>
        <v>35.658999999999999</v>
      </c>
    </row>
    <row r="126" spans="1:7" ht="13.15">
      <c r="A126" s="113"/>
      <c r="B126" s="60" t="str">
        <f>IF(Picks!B126="","",Picks!B126)</f>
        <v>Middlesbro</v>
      </c>
      <c r="C126" s="595">
        <f>IF(Picks!C126="","",Picks!C126)</f>
        <v>7</v>
      </c>
      <c r="D126" s="45">
        <f>IF(Picks!D126="","",Picks!D126)</f>
        <v>2.15</v>
      </c>
      <c r="E126" s="80" t="str">
        <f>IF(Picks!E126="","",Picks!E126)</f>
        <v>√</v>
      </c>
      <c r="F126" s="130" t="str">
        <f>IF(Picks!F126="","",Picks!F126)</f>
        <v/>
      </c>
      <c r="G126" s="45" t="str">
        <f>IF(Picks!G126="","",Picks!G126)</f>
        <v/>
      </c>
    </row>
    <row r="127" spans="1:7" ht="13.5" thickBot="1">
      <c r="A127" s="131"/>
      <c r="B127" s="126" t="str">
        <f>IF(Picks!B127="","",Picks!B127)</f>
        <v>Orient</v>
      </c>
      <c r="C127" s="596">
        <f>IF(Picks!C127="","",Picks!C127)</f>
        <v>7</v>
      </c>
      <c r="D127" s="127">
        <f>IF(Picks!D127="","",Picks!D127)</f>
        <v>3.2</v>
      </c>
      <c r="E127" s="80" t="str">
        <f>IF(Picks!E127="","",Picks!E127)</f>
        <v>x</v>
      </c>
      <c r="F127" s="130" t="str">
        <f>IF(Picks!F127="","",Picks!F127)</f>
        <v/>
      </c>
      <c r="G127" s="45" t="str">
        <f>IF(Picks!G127="","",Picks!G127)</f>
        <v/>
      </c>
    </row>
    <row r="128" spans="1:7" ht="13.9" thickTop="1" thickBot="1">
      <c r="A128" s="113" t="str">
        <f>IF(Picks!A128="","",Picks!A128)</f>
        <v>Mike Penk</v>
      </c>
      <c r="B128" s="108" t="str">
        <f>IF(Picks!B128="","",Picks!B128)</f>
        <v>Millwall</v>
      </c>
      <c r="C128" s="595">
        <f>IF(Picks!C128="","",Picks!C128)</f>
        <v>7</v>
      </c>
      <c r="D128" s="109">
        <f>IF(Picks!D128="","",Picks!D128)</f>
        <v>2.75</v>
      </c>
      <c r="E128" s="110" t="str">
        <f>IF(Picks!E128="","",Picks!E128)</f>
        <v>√</v>
      </c>
      <c r="F128" s="111">
        <f>IF(Picks!F128="","",Picks!F128)</f>
        <v>24.40625</v>
      </c>
      <c r="G128" s="112">
        <f>IF(Picks!G128="","",Picks!G128)</f>
        <v>24.40625</v>
      </c>
    </row>
    <row r="129" spans="1:7" ht="13.15">
      <c r="A129" s="113"/>
      <c r="B129" s="60" t="str">
        <f>IF(Picks!B129="","",Picks!B129)</f>
        <v>Sheff U</v>
      </c>
      <c r="C129" s="595">
        <f>IF(Picks!C129="","",Picks!C129)</f>
        <v>7</v>
      </c>
      <c r="D129" s="45">
        <f>IF(Picks!D129="","",Picks!D129)</f>
        <v>1.8333333333333335</v>
      </c>
      <c r="E129" s="80" t="str">
        <f>IF(Picks!E129="","",Picks!E129)</f>
        <v>√</v>
      </c>
      <c r="F129" s="130" t="str">
        <f>IF(Picks!F129="","",Picks!F129)</f>
        <v/>
      </c>
      <c r="G129" s="45" t="str">
        <f>IF(Picks!G129="","",Picks!G129)</f>
        <v/>
      </c>
    </row>
    <row r="130" spans="1:7" ht="13.5" thickBot="1">
      <c r="A130" s="131"/>
      <c r="B130" s="126" t="str">
        <f>IF(Picks!B130="","",Picks!B130)</f>
        <v>Plymouth</v>
      </c>
      <c r="C130" s="596">
        <f>IF(Picks!C130="","",Picks!C130)</f>
        <v>7</v>
      </c>
      <c r="D130" s="127">
        <f>IF(Picks!D130="","",Picks!D130)</f>
        <v>2.0499999999999998</v>
      </c>
      <c r="E130" s="80" t="str">
        <f>IF(Picks!E130="","",Picks!E130)</f>
        <v>√</v>
      </c>
      <c r="F130" s="130" t="str">
        <f>IF(Picks!F130="","",Picks!F130)</f>
        <v/>
      </c>
      <c r="G130" s="45" t="str">
        <f>IF(Picks!G130="","",Picks!G130)</f>
        <v/>
      </c>
    </row>
    <row r="131" spans="1:7" ht="13.9" thickTop="1" thickBot="1">
      <c r="A131" s="113" t="str">
        <f>IF(Picks!A131="","",Picks!A131)</f>
        <v>Mo Sudell</v>
      </c>
      <c r="B131" s="108" t="str">
        <f>IF(Picks!B131="","",Picks!B131)</f>
        <v>Stevenage</v>
      </c>
      <c r="C131" s="595">
        <f>IF(Picks!C131="","",Picks!C131)</f>
        <v>7</v>
      </c>
      <c r="D131" s="109">
        <f>IF(Picks!D131="","",Picks!D131)</f>
        <v>1.85</v>
      </c>
      <c r="E131" s="110" t="str">
        <f>IF(Picks!E131="","",Picks!E131)</f>
        <v>x</v>
      </c>
      <c r="F131" s="111">
        <f>IF(Picks!F131="","",Picks!F131)</f>
        <v>-7</v>
      </c>
      <c r="G131" s="112">
        <f>IF(Picks!G131="","",Picks!G131)</f>
        <v>21.069999999999997</v>
      </c>
    </row>
    <row r="132" spans="1:7" ht="13.15">
      <c r="A132" s="113"/>
      <c r="B132" s="60" t="str">
        <f>IF(Picks!B132="","",Picks!B132)</f>
        <v>Morecambe</v>
      </c>
      <c r="C132" s="595">
        <f>IF(Picks!C132="","",Picks!C132)</f>
        <v>7</v>
      </c>
      <c r="D132" s="45">
        <f>IF(Picks!D132="","",Picks!D132)</f>
        <v>2.4</v>
      </c>
      <c r="E132" s="80" t="str">
        <f>IF(Picks!E132="","",Picks!E132)</f>
        <v>x</v>
      </c>
      <c r="F132" s="130" t="str">
        <f>IF(Picks!F132="","",Picks!F132)</f>
        <v/>
      </c>
      <c r="G132" s="45" t="str">
        <f>IF(Picks!G132="","",Picks!G132)</f>
        <v/>
      </c>
    </row>
    <row r="133" spans="1:7" ht="13.5" thickBot="1">
      <c r="A133" s="131"/>
      <c r="B133" s="126" t="str">
        <f>IF(Picks!B133="","",Picks!B133)</f>
        <v>Charlton</v>
      </c>
      <c r="C133" s="596">
        <f>IF(Picks!C133="","",Picks!C133)</f>
        <v>7</v>
      </c>
      <c r="D133" s="127">
        <f>IF(Picks!D133="","",Picks!D133)</f>
        <v>2</v>
      </c>
      <c r="E133" s="80" t="str">
        <f>IF(Picks!E133="","",Picks!E133)</f>
        <v>x</v>
      </c>
      <c r="F133" s="130" t="str">
        <f>IF(Picks!F133="","",Picks!F133)</f>
        <v/>
      </c>
      <c r="G133" s="45" t="str">
        <f>IF(Picks!G133="","",Picks!G133)</f>
        <v/>
      </c>
    </row>
    <row r="134" spans="1:7" ht="13.9" thickTop="1" thickBot="1">
      <c r="A134" s="113" t="str">
        <f>IF(Picks!A134="","",Picks!A134)</f>
        <v>Nick Blocksidge</v>
      </c>
      <c r="B134" s="108" t="str">
        <f>IF(Picks!B134="","",Picks!B134)</f>
        <v/>
      </c>
      <c r="C134" s="595" t="str">
        <f>IF(Picks!C134="","",Picks!C134)</f>
        <v/>
      </c>
      <c r="D134" s="109" t="str">
        <f>IF(Picks!D134="","",Picks!D134)</f>
        <v/>
      </c>
      <c r="E134" s="110" t="str">
        <f>IF(Picks!E134="","",Picks!E134)</f>
        <v/>
      </c>
      <c r="F134" s="111">
        <f>IF(Picks!F134="","",Picks!F134)</f>
        <v>-10</v>
      </c>
      <c r="G134" s="112" t="str">
        <f>IF(Picks!G134="","",Picks!G134)</f>
        <v/>
      </c>
    </row>
    <row r="135" spans="1:7" ht="13.15">
      <c r="A135" s="113"/>
      <c r="B135" s="60" t="str">
        <f>IF(Picks!B135="","",Picks!B135)</f>
        <v/>
      </c>
      <c r="C135" s="595" t="str">
        <f>IF(Picks!C135="","",Picks!C135)</f>
        <v/>
      </c>
      <c r="D135" s="45" t="str">
        <f>IF(Picks!D135="","",Picks!D135)</f>
        <v/>
      </c>
      <c r="E135" s="80" t="str">
        <f>IF(Picks!E135="","",Picks!E135)</f>
        <v/>
      </c>
      <c r="F135" s="130" t="str">
        <f>IF(Picks!F135="","",Picks!F135)</f>
        <v/>
      </c>
      <c r="G135" s="45" t="str">
        <f>IF(Picks!G135="","",Picks!G135)</f>
        <v/>
      </c>
    </row>
    <row r="136" spans="1:7" ht="13.5" thickBot="1">
      <c r="A136" s="131"/>
      <c r="B136" s="126" t="str">
        <f>IF(Picks!B136="","",Picks!B136)</f>
        <v/>
      </c>
      <c r="C136" s="596" t="str">
        <f>IF(Picks!C136="","",Picks!C136)</f>
        <v/>
      </c>
      <c r="D136" s="127" t="str">
        <f>IF(Picks!D136="","",Picks!D136)</f>
        <v/>
      </c>
      <c r="E136" s="80" t="str">
        <f>IF(Picks!E136="","",Picks!E136)</f>
        <v/>
      </c>
      <c r="F136" s="130" t="str">
        <f>IF(Picks!F136="","",Picks!F136)</f>
        <v/>
      </c>
      <c r="G136" s="45" t="str">
        <f>IF(Picks!G136="","",Picks!G136)</f>
        <v/>
      </c>
    </row>
    <row r="137" spans="1:7" ht="13.9" thickTop="1" thickBot="1">
      <c r="A137" s="113" t="str">
        <f>IF(Picks!A137="","",Picks!A137)</f>
        <v>Nigel Heyes</v>
      </c>
      <c r="B137" s="108" t="str">
        <f>IF(Picks!B137="","",Picks!B137)</f>
        <v>Sunderland</v>
      </c>
      <c r="C137" s="595">
        <f>IF(Picks!C137="","",Picks!C137)</f>
        <v>7</v>
      </c>
      <c r="D137" s="109">
        <f>IF(Picks!D137="","",Picks!D137)</f>
        <v>1.9090909090909092</v>
      </c>
      <c r="E137" s="110" t="str">
        <f>IF(Picks!E137="","",Picks!E137)</f>
        <v>√</v>
      </c>
      <c r="F137" s="111">
        <f>IF(Picks!F137="","",Picks!F137)</f>
        <v>1.454545454545455</v>
      </c>
      <c r="G137" s="112">
        <f>IF(Picks!G137="","",Picks!G137)</f>
        <v>24.145454545454545</v>
      </c>
    </row>
    <row r="138" spans="1:7" ht="13.15">
      <c r="A138" s="113"/>
      <c r="B138" s="60" t="str">
        <f>IF(Picks!B138="","",Picks!B138)</f>
        <v>Morecambe</v>
      </c>
      <c r="C138" s="595">
        <f>IF(Picks!C138="","",Picks!C138)</f>
        <v>7</v>
      </c>
      <c r="D138" s="45">
        <f>IF(Picks!D138="","",Picks!D138)</f>
        <v>2.4</v>
      </c>
      <c r="E138" s="80" t="str">
        <f>IF(Picks!E138="","",Picks!E138)</f>
        <v>x</v>
      </c>
      <c r="F138" s="130" t="str">
        <f>IF(Picks!F138="","",Picks!F138)</f>
        <v/>
      </c>
      <c r="G138" s="45" t="str">
        <f>IF(Picks!G138="","",Picks!G138)</f>
        <v/>
      </c>
    </row>
    <row r="139" spans="1:7" ht="13.5" thickBot="1">
      <c r="A139" s="131"/>
      <c r="B139" s="126" t="str">
        <f>IF(Picks!B139="","",Picks!B139)</f>
        <v>Shrewsbury</v>
      </c>
      <c r="C139" s="596">
        <f>IF(Picks!C139="","",Picks!C139)</f>
        <v>7</v>
      </c>
      <c r="D139" s="127">
        <f>IF(Picks!D139="","",Picks!D139)</f>
        <v>2.25</v>
      </c>
      <c r="E139" s="80" t="str">
        <f>IF(Picks!E139="","",Picks!E139)</f>
        <v>√</v>
      </c>
      <c r="F139" s="130" t="str">
        <f>IF(Picks!F139="","",Picks!F139)</f>
        <v/>
      </c>
      <c r="G139" s="45" t="str">
        <f>IF(Picks!G139="","",Picks!G139)</f>
        <v/>
      </c>
    </row>
    <row r="140" spans="1:7" ht="13.9" thickTop="1" thickBot="1">
      <c r="A140" s="113" t="str">
        <f>IF(Picks!A140="","",Picks!A140)</f>
        <v>Paul Adderley</v>
      </c>
      <c r="B140" s="108" t="str">
        <f>IF(Picks!B140="","",Picks!B140)</f>
        <v>Sheff U</v>
      </c>
      <c r="C140" s="595">
        <f>IF(Picks!C140="","",Picks!C140)</f>
        <v>7</v>
      </c>
      <c r="D140" s="109">
        <f>IF(Picks!D140="","",Picks!D140)</f>
        <v>1.8333333333333335</v>
      </c>
      <c r="E140" s="110" t="str">
        <f>IF(Picks!E140="","",Picks!E140)</f>
        <v>√</v>
      </c>
      <c r="F140" s="111">
        <f>IF(Picks!F140="","",Picks!F140)</f>
        <v>0.2424242424242431</v>
      </c>
      <c r="G140" s="112">
        <f>IF(Picks!G140="","",Picks!G140)</f>
        <v>16.72727272727273</v>
      </c>
    </row>
    <row r="141" spans="1:7" ht="13.15">
      <c r="A141" s="113"/>
      <c r="B141" s="60" t="str">
        <f>IF(Picks!B141="","",Picks!B141)</f>
        <v>Watford</v>
      </c>
      <c r="C141" s="595">
        <f>IF(Picks!C141="","",Picks!C141)</f>
        <v>7</v>
      </c>
      <c r="D141" s="45">
        <f>IF(Picks!D141="","",Picks!D141)</f>
        <v>2</v>
      </c>
      <c r="E141" s="80" t="str">
        <f>IF(Picks!E141="","",Picks!E141)</f>
        <v>x</v>
      </c>
      <c r="F141" s="130" t="str">
        <f>IF(Picks!F141="","",Picks!F141)</f>
        <v/>
      </c>
      <c r="G141" s="45" t="str">
        <f>IF(Picks!G141="","",Picks!G141)</f>
        <v/>
      </c>
    </row>
    <row r="142" spans="1:7" ht="13.5" thickBot="1">
      <c r="A142" s="131"/>
      <c r="B142" s="126" t="str">
        <f>IF(Picks!B142="","",Picks!B142)</f>
        <v>Sunderland</v>
      </c>
      <c r="C142" s="596">
        <f>IF(Picks!C142="","",Picks!C142)</f>
        <v>7</v>
      </c>
      <c r="D142" s="127">
        <f>IF(Picks!D142="","",Picks!D142)</f>
        <v>1.9090909090909092</v>
      </c>
      <c r="E142" s="80" t="str">
        <f>IF(Picks!E142="","",Picks!E142)</f>
        <v>√</v>
      </c>
      <c r="F142" s="130" t="str">
        <f>IF(Picks!F142="","",Picks!F142)</f>
        <v/>
      </c>
      <c r="G142" s="45" t="str">
        <f>IF(Picks!G142="","",Picks!G142)</f>
        <v/>
      </c>
    </row>
    <row r="143" spans="1:7" ht="13.9" thickTop="1" thickBot="1">
      <c r="A143" s="113" t="str">
        <f>IF(Picks!A143="","",Picks!A143)</f>
        <v>Paul Allen</v>
      </c>
      <c r="B143" s="108" t="str">
        <f>IF(Picks!B143="","",Picks!B143)</f>
        <v>Southampton draw</v>
      </c>
      <c r="C143" s="595">
        <f>IF(Picks!C143="","",Picks!C143)</f>
        <v>7</v>
      </c>
      <c r="D143" s="109">
        <f>IF(Picks!D143="","",Picks!D143)</f>
        <v>3.1</v>
      </c>
      <c r="E143" s="110" t="str">
        <f>IF(Picks!E143="","",Picks!E143)</f>
        <v>x</v>
      </c>
      <c r="F143" s="111">
        <f>IF(Picks!F143="","",Picks!F143)</f>
        <v>10.059999999999999</v>
      </c>
      <c r="G143" s="112">
        <f>IF(Picks!G143="","",Picks!G143)</f>
        <v>66.046000000000006</v>
      </c>
    </row>
    <row r="144" spans="1:7" ht="13.15">
      <c r="A144" s="113"/>
      <c r="B144" s="60" t="str">
        <f>IF(Picks!B144="","",Picks!B144)</f>
        <v>West Ham draw</v>
      </c>
      <c r="C144" s="595">
        <f>IF(Picks!C144="","",Picks!C144)</f>
        <v>7</v>
      </c>
      <c r="D144" s="45">
        <f>IF(Picks!D144="","",Picks!D144)</f>
        <v>3.2</v>
      </c>
      <c r="E144" s="80" t="str">
        <f>IF(Picks!E144="","",Picks!E144)</f>
        <v>√</v>
      </c>
      <c r="F144" s="130" t="str">
        <f>IF(Picks!F144="","",Picks!F144)</f>
        <v/>
      </c>
      <c r="G144" s="45" t="str">
        <f>IF(Picks!G144="","",Picks!G144)</f>
        <v/>
      </c>
    </row>
    <row r="145" spans="1:7" ht="13.5" thickBot="1">
      <c r="A145" s="131"/>
      <c r="B145" s="126" t="str">
        <f>IF(Picks!B145="","",Picks!B145)</f>
        <v>Palace draw</v>
      </c>
      <c r="C145" s="596">
        <f>IF(Picks!C145="","",Picks!C145)</f>
        <v>7</v>
      </c>
      <c r="D145" s="127">
        <f>IF(Picks!D145="","",Picks!D145)</f>
        <v>3.3</v>
      </c>
      <c r="E145" s="80" t="str">
        <f>IF(Picks!E145="","",Picks!E145)</f>
        <v>√</v>
      </c>
      <c r="F145" s="130" t="str">
        <f>IF(Picks!F145="","",Picks!F145)</f>
        <v/>
      </c>
      <c r="G145" s="45" t="str">
        <f>IF(Picks!G145="","",Picks!G145)</f>
        <v/>
      </c>
    </row>
    <row r="146" spans="1:7" ht="13.9" thickTop="1" thickBot="1">
      <c r="A146" s="113" t="str">
        <f>IF(Picks!A146="","",Picks!A146)</f>
        <v>Paul Barnes</v>
      </c>
      <c r="B146" s="108" t="str">
        <f>IF(Picks!B146="","",Picks!B146)</f>
        <v>Wolves</v>
      </c>
      <c r="C146" s="595">
        <f>IF(Picks!C146="","",Picks!C146)</f>
        <v>7</v>
      </c>
      <c r="D146" s="109">
        <f>IF(Picks!D146="","",Picks!D146)</f>
        <v>2.625</v>
      </c>
      <c r="E146" s="110" t="str">
        <f>IF(Picks!E146="","",Picks!E146)</f>
        <v>√</v>
      </c>
      <c r="F146" s="111">
        <f>IF(Picks!F146="","",Picks!F146)</f>
        <v>1.96875</v>
      </c>
      <c r="G146" s="112">
        <f>IF(Picks!G146="","",Picks!G146)</f>
        <v>34.865624999999994</v>
      </c>
    </row>
    <row r="147" spans="1:7" ht="13.15">
      <c r="A147" s="113"/>
      <c r="B147" s="60" t="str">
        <f>IF(Picks!B147="","",Picks!B147)</f>
        <v>West Ham</v>
      </c>
      <c r="C147" s="595">
        <f>IF(Picks!C147="","",Picks!C147)</f>
        <v>7</v>
      </c>
      <c r="D147" s="45">
        <f>IF(Picks!D147="","",Picks!D147)</f>
        <v>3.3</v>
      </c>
      <c r="E147" s="80" t="str">
        <f>IF(Picks!E147="","",Picks!E147)</f>
        <v>x</v>
      </c>
      <c r="F147" s="130" t="str">
        <f>IF(Picks!F147="","",Picks!F147)</f>
        <v/>
      </c>
      <c r="G147" s="45" t="str">
        <f>IF(Picks!G147="","",Picks!G147)</f>
        <v/>
      </c>
    </row>
    <row r="148" spans="1:7" ht="13.5" thickBot="1">
      <c r="A148" s="131"/>
      <c r="B148" s="126" t="str">
        <f>IF(Picks!B148="","",Picks!B148)</f>
        <v>Man U</v>
      </c>
      <c r="C148" s="596">
        <f>IF(Picks!C148="","",Picks!C148)</f>
        <v>1</v>
      </c>
      <c r="D148" s="127">
        <f>IF(Picks!D148="","",Picks!D148)</f>
        <v>1.75</v>
      </c>
      <c r="E148" s="80" t="str">
        <f>IF(Picks!E148="","",Picks!E148)</f>
        <v>√</v>
      </c>
      <c r="F148" s="130" t="str">
        <f>IF(Picks!F148="","",Picks!F148)</f>
        <v/>
      </c>
      <c r="G148" s="45" t="str">
        <f>IF(Picks!G148="","",Picks!G148)</f>
        <v/>
      </c>
    </row>
    <row r="149" spans="1:7" ht="13.9" thickTop="1" thickBot="1">
      <c r="A149" s="113" t="str">
        <f>IF(Picks!A149="","",Picks!A149)</f>
        <v>Paul England</v>
      </c>
      <c r="B149" s="108" t="str">
        <f>IF(Picks!B149="","",Picks!B149)</f>
        <v>Swindon</v>
      </c>
      <c r="C149" s="595">
        <f>IF(Picks!C149="","",Picks!C149)</f>
        <v>7</v>
      </c>
      <c r="D149" s="109">
        <f>IF(Picks!D149="","",Picks!D149)</f>
        <v>2.1</v>
      </c>
      <c r="E149" s="110" t="str">
        <f>IF(Picks!E149="","",Picks!E149)</f>
        <v>x</v>
      </c>
      <c r="F149" s="111">
        <f>IF(Picks!F149="","",Picks!F149)</f>
        <v>-1.25</v>
      </c>
      <c r="G149" s="112">
        <f>IF(Picks!G149="","",Picks!G149)</f>
        <v>12.925000000000004</v>
      </c>
    </row>
    <row r="150" spans="1:7" ht="13.15">
      <c r="A150" s="113"/>
      <c r="B150" s="60" t="str">
        <f>IF(Picks!B150="","",Picks!B150)</f>
        <v>Mansfield</v>
      </c>
      <c r="C150" s="595">
        <f>IF(Picks!C150="","",Picks!C150)</f>
        <v>7</v>
      </c>
      <c r="D150" s="45">
        <f>IF(Picks!D150="","",Picks!D150)</f>
        <v>1.7</v>
      </c>
      <c r="E150" s="80" t="str">
        <f>IF(Picks!E150="","",Picks!E150)</f>
        <v>√</v>
      </c>
      <c r="F150" s="130" t="str">
        <f>IF(Picks!F150="","",Picks!F150)</f>
        <v/>
      </c>
      <c r="G150" s="45" t="str">
        <f>IF(Picks!G150="","",Picks!G150)</f>
        <v/>
      </c>
    </row>
    <row r="151" spans="1:7" ht="13.5" thickBot="1">
      <c r="A151" s="131"/>
      <c r="B151" s="126" t="str">
        <f>IF(Picks!B151="","",Picks!B151)</f>
        <v>Barnsley</v>
      </c>
      <c r="C151" s="596">
        <f>IF(Picks!C151="","",Picks!C151)</f>
        <v>7</v>
      </c>
      <c r="D151" s="127">
        <f>IF(Picks!D151="","",Picks!D151)</f>
        <v>1.5</v>
      </c>
      <c r="E151" s="80" t="str">
        <f>IF(Picks!E151="","",Picks!E151)</f>
        <v>√</v>
      </c>
      <c r="F151" s="130" t="str">
        <f>IF(Picks!F151="","",Picks!F151)</f>
        <v/>
      </c>
      <c r="G151" s="45" t="str">
        <f>IF(Picks!G151="","",Picks!G151)</f>
        <v/>
      </c>
    </row>
    <row r="152" spans="1:7" ht="13.9" thickTop="1" thickBot="1">
      <c r="A152" s="113" t="str">
        <f>IF(Picks!A152="","",Picks!A152)</f>
        <v>Paul Fairhurst</v>
      </c>
      <c r="B152" s="108" t="str">
        <f>IF(Picks!B152="","",Picks!B152)</f>
        <v>Bristol C</v>
      </c>
      <c r="C152" s="595">
        <f>IF(Picks!C152="","",Picks!C152)</f>
        <v>7</v>
      </c>
      <c r="D152" s="109">
        <f>IF(Picks!D152="","",Picks!D152)</f>
        <v>3</v>
      </c>
      <c r="E152" s="110" t="str">
        <f>IF(Picks!E152="","",Picks!E152)</f>
        <v>√</v>
      </c>
      <c r="F152" s="111">
        <f>IF(Picks!F152="","",Picks!F152)</f>
        <v>3.6363636363636367</v>
      </c>
      <c r="G152" s="112">
        <f>IF(Picks!G152="","",Picks!G152)</f>
        <v>49.018181818181816</v>
      </c>
    </row>
    <row r="153" spans="1:7" ht="13.15">
      <c r="A153" s="113"/>
      <c r="B153" s="60" t="str">
        <f>IF(Picks!B153="","",Picks!B153)</f>
        <v>Burnley draw</v>
      </c>
      <c r="C153" s="595">
        <f>IF(Picks!C153="","",Picks!C153)</f>
        <v>7</v>
      </c>
      <c r="D153" s="45">
        <f>IF(Picks!D153="","",Picks!D153)</f>
        <v>3.9</v>
      </c>
      <c r="E153" s="80" t="str">
        <f>IF(Picks!E153="","",Picks!E153)</f>
        <v>x</v>
      </c>
      <c r="F153" s="130" t="str">
        <f>IF(Picks!F153="","",Picks!F153)</f>
        <v/>
      </c>
      <c r="G153" s="45" t="str">
        <f>IF(Picks!G153="","",Picks!G153)</f>
        <v/>
      </c>
    </row>
    <row r="154" spans="1:7" ht="13.5" thickBot="1">
      <c r="A154" s="131"/>
      <c r="B154" s="126" t="str">
        <f>IF(Picks!B154="","",Picks!B154)</f>
        <v>Sunderland</v>
      </c>
      <c r="C154" s="596">
        <f>IF(Picks!C154="","",Picks!C154)</f>
        <v>7</v>
      </c>
      <c r="D154" s="127">
        <f>IF(Picks!D154="","",Picks!D154)</f>
        <v>1.9090909090909092</v>
      </c>
      <c r="E154" s="80" t="str">
        <f>IF(Picks!E154="","",Picks!E154)</f>
        <v>√</v>
      </c>
      <c r="F154" s="130" t="str">
        <f>IF(Picks!F154="","",Picks!F154)</f>
        <v/>
      </c>
      <c r="G154" s="45" t="str">
        <f>IF(Picks!G154="","",Picks!G154)</f>
        <v/>
      </c>
    </row>
    <row r="155" spans="1:7" ht="13.9" thickTop="1" thickBot="1">
      <c r="A155" s="113" t="str">
        <f>IF(Picks!A155="","",Picks!A155)</f>
        <v>Paul Fiddler</v>
      </c>
      <c r="B155" s="108" t="str">
        <f>IF(Picks!B155="","",Picks!B155)</f>
        <v>Wigan</v>
      </c>
      <c r="C155" s="595">
        <f>IF(Picks!C155="","",Picks!C155)</f>
        <v>7</v>
      </c>
      <c r="D155" s="109">
        <f>IF(Picks!D155="","",Picks!D155)</f>
        <v>2.375</v>
      </c>
      <c r="E155" s="110" t="str">
        <f>IF(Picks!E155="","",Picks!E155)</f>
        <v>√</v>
      </c>
      <c r="F155" s="111">
        <f>IF(Picks!F155="","",Picks!F155)</f>
        <v>0.4375</v>
      </c>
      <c r="G155" s="112">
        <f>IF(Picks!G155="","",Picks!G155)</f>
        <v>13.09375</v>
      </c>
    </row>
    <row r="156" spans="1:7" ht="13.15">
      <c r="A156" s="113"/>
      <c r="B156" s="60" t="str">
        <f>IF(Picks!B156="","",Picks!B156)</f>
        <v>Barnsley</v>
      </c>
      <c r="C156" s="595">
        <f>IF(Picks!C156="","",Picks!C156)</f>
        <v>7</v>
      </c>
      <c r="D156" s="45">
        <f>IF(Picks!D156="","",Picks!D156)</f>
        <v>1.5</v>
      </c>
      <c r="E156" s="80" t="str">
        <f>IF(Picks!E156="","",Picks!E156)</f>
        <v>√</v>
      </c>
      <c r="F156" s="130" t="str">
        <f>IF(Picks!F156="","",Picks!F156)</f>
        <v/>
      </c>
      <c r="G156" s="45" t="str">
        <f>IF(Picks!G156="","",Picks!G156)</f>
        <v/>
      </c>
    </row>
    <row r="157" spans="1:7" ht="13.5" thickBot="1">
      <c r="A157" s="131"/>
      <c r="B157" s="126" t="str">
        <f>IF(Picks!B157="","",Picks!B157)</f>
        <v>Newcastle</v>
      </c>
      <c r="C157" s="596">
        <f>IF(Picks!C157="","",Picks!C157)</f>
        <v>7</v>
      </c>
      <c r="D157" s="127">
        <f>IF(Picks!D157="","",Picks!D157)</f>
        <v>1.5</v>
      </c>
      <c r="E157" s="80" t="str">
        <f>IF(Picks!E157="","",Picks!E157)</f>
        <v>x</v>
      </c>
      <c r="F157" s="130" t="str">
        <f>IF(Picks!F157="","",Picks!F157)</f>
        <v/>
      </c>
      <c r="G157" s="45" t="str">
        <f>IF(Picks!G157="","",Picks!G157)</f>
        <v/>
      </c>
    </row>
    <row r="158" spans="1:7" ht="13.9" thickTop="1" thickBot="1">
      <c r="A158" s="113" t="str">
        <f>IF(Picks!A158="","",Picks!A158)</f>
        <v>Pete Baron</v>
      </c>
      <c r="B158" s="108" t="str">
        <f>IF(Picks!B158="","",Picks!B158)</f>
        <v>Wolves</v>
      </c>
      <c r="C158" s="595">
        <f>IF(Picks!C158="","",Picks!C158)</f>
        <v>7</v>
      </c>
      <c r="D158" s="109">
        <f>IF(Picks!D158="","",Picks!D158)</f>
        <v>2.625</v>
      </c>
      <c r="E158" s="110" t="str">
        <f>IF(Picks!E158="","",Picks!E158)</f>
        <v>√</v>
      </c>
      <c r="F158" s="111">
        <f>IF(Picks!F158="","",Picks!F158)</f>
        <v>50.453125</v>
      </c>
      <c r="G158" s="112">
        <f>IF(Picks!G158="","",Picks!G158)</f>
        <v>50.453125</v>
      </c>
    </row>
    <row r="159" spans="1:7" ht="13.15">
      <c r="A159" s="113"/>
      <c r="B159" s="60" t="str">
        <f>IF(Picks!B159="","",Picks!B159)</f>
        <v>Millwall</v>
      </c>
      <c r="C159" s="595">
        <f>IF(Picks!C159="","",Picks!C159)</f>
        <v>7</v>
      </c>
      <c r="D159" s="45">
        <f>IF(Picks!D159="","",Picks!D159)</f>
        <v>2.75</v>
      </c>
      <c r="E159" s="80" t="str">
        <f>IF(Picks!E159="","",Picks!E159)</f>
        <v>√</v>
      </c>
      <c r="F159" s="130" t="str">
        <f>IF(Picks!F159="","",Picks!F159)</f>
        <v/>
      </c>
      <c r="G159" s="45" t="str">
        <f>IF(Picks!G159="","",Picks!G159)</f>
        <v/>
      </c>
    </row>
    <row r="160" spans="1:7" ht="13.5" thickBot="1">
      <c r="A160" s="131"/>
      <c r="B160" s="126" t="str">
        <f>IF(Picks!B160="","",Picks!B160)</f>
        <v>Ipswich draw</v>
      </c>
      <c r="C160" s="596">
        <f>IF(Picks!C160="","",Picks!C160)</f>
        <v>7</v>
      </c>
      <c r="D160" s="127">
        <f>IF(Picks!D160="","",Picks!D160)</f>
        <v>3.3</v>
      </c>
      <c r="E160" s="80" t="str">
        <f>IF(Picks!E160="","",Picks!E160)</f>
        <v>√</v>
      </c>
      <c r="F160" s="130" t="str">
        <f>IF(Picks!F160="","",Picks!F160)</f>
        <v/>
      </c>
      <c r="G160" s="45" t="str">
        <f>IF(Picks!G160="","",Picks!G160)</f>
        <v/>
      </c>
    </row>
    <row r="161" spans="1:7" ht="13.9" thickTop="1" thickBot="1">
      <c r="A161" s="113" t="str">
        <f>IF(Picks!A161="","",Picks!A161)</f>
        <v>Phil Miller</v>
      </c>
      <c r="B161" s="108" t="str">
        <f>IF(Picks!B161="","",Picks!B161)</f>
        <v/>
      </c>
      <c r="C161" s="595" t="str">
        <f>IF(Picks!C161="","",Picks!C161)</f>
        <v/>
      </c>
      <c r="D161" s="109" t="str">
        <f>IF(Picks!D161="","",Picks!D161)</f>
        <v/>
      </c>
      <c r="E161" s="110" t="str">
        <f>IF(Picks!E161="","",Picks!E161)</f>
        <v/>
      </c>
      <c r="F161" s="111">
        <f>IF(Picks!F161="","",Picks!F161)</f>
        <v>-10</v>
      </c>
      <c r="G161" s="112" t="str">
        <f>IF(Picks!G161="","",Picks!G161)</f>
        <v/>
      </c>
    </row>
    <row r="162" spans="1:7" ht="13.15">
      <c r="A162" s="113"/>
      <c r="B162" s="60" t="str">
        <f>IF(Picks!B162="","",Picks!B162)</f>
        <v/>
      </c>
      <c r="C162" s="595" t="str">
        <f>IF(Picks!C162="","",Picks!C162)</f>
        <v/>
      </c>
      <c r="D162" s="45" t="str">
        <f>IF(Picks!D162="","",Picks!D162)</f>
        <v/>
      </c>
      <c r="E162" s="80" t="str">
        <f>IF(Picks!E162="","",Picks!E162)</f>
        <v/>
      </c>
      <c r="F162" s="130" t="str">
        <f>IF(Picks!F162="","",Picks!F162)</f>
        <v/>
      </c>
      <c r="G162" s="45" t="str">
        <f>IF(Picks!G162="","",Picks!G162)</f>
        <v/>
      </c>
    </row>
    <row r="163" spans="1:7" ht="13.5" thickBot="1">
      <c r="A163" s="131"/>
      <c r="B163" s="126" t="str">
        <f>IF(Picks!B163="","",Picks!B163)</f>
        <v/>
      </c>
      <c r="C163" s="596" t="str">
        <f>IF(Picks!C163="","",Picks!C163)</f>
        <v/>
      </c>
      <c r="D163" s="127" t="str">
        <f>IF(Picks!D163="","",Picks!D163)</f>
        <v/>
      </c>
      <c r="E163" s="80" t="str">
        <f>IF(Picks!E163="","",Picks!E163)</f>
        <v/>
      </c>
      <c r="F163" s="130" t="str">
        <f>IF(Picks!F163="","",Picks!F163)</f>
        <v/>
      </c>
      <c r="G163" s="45" t="str">
        <f>IF(Picks!G163="","",Picks!G163)</f>
        <v/>
      </c>
    </row>
    <row r="164" spans="1:7" ht="13.9" thickTop="1" thickBot="1">
      <c r="A164" s="113" t="str">
        <f>IF(Picks!A164="","",Picks!A164)</f>
        <v>Rob England</v>
      </c>
      <c r="B164" s="108" t="str">
        <f>IF(Picks!B164="","",Picks!B164)</f>
        <v>Blackpool</v>
      </c>
      <c r="C164" s="595">
        <f>IF(Picks!C164="","",Picks!C164)</f>
        <v>7</v>
      </c>
      <c r="D164" s="109">
        <f>IF(Picks!D164="","",Picks!D164)</f>
        <v>2.15</v>
      </c>
      <c r="E164" s="110" t="str">
        <f>IF(Picks!E164="","",Picks!E164)</f>
        <v>x</v>
      </c>
      <c r="F164" s="111">
        <f>IF(Picks!F164="","",Picks!F164)</f>
        <v>-5.7777777777777777</v>
      </c>
      <c r="G164" s="112">
        <f>IF(Picks!G164="","",Picks!G164)</f>
        <v>13.700000000000003</v>
      </c>
    </row>
    <row r="165" spans="1:7" ht="13.15">
      <c r="A165" s="113"/>
      <c r="B165" s="60" t="str">
        <f>IF(Picks!B165="","",Picks!B165)</f>
        <v>Ipswich</v>
      </c>
      <c r="C165" s="595">
        <f>IF(Picks!C165="","",Picks!C165)</f>
        <v>7</v>
      </c>
      <c r="D165" s="45">
        <f>IF(Picks!D165="","",Picks!D165)</f>
        <v>2.1</v>
      </c>
      <c r="E165" s="80" t="str">
        <f>IF(Picks!E165="","",Picks!E165)</f>
        <v>x</v>
      </c>
      <c r="F165" s="130" t="str">
        <f>IF(Picks!F165="","",Picks!F165)</f>
        <v/>
      </c>
      <c r="G165" s="45" t="str">
        <f>IF(Picks!G165="","",Picks!G165)</f>
        <v/>
      </c>
    </row>
    <row r="166" spans="1:7" ht="13.5" thickBot="1">
      <c r="A166" s="131"/>
      <c r="B166" s="126" t="str">
        <f>IF(Picks!B166="","",Picks!B166)</f>
        <v>Man C</v>
      </c>
      <c r="C166" s="596">
        <f>IF(Picks!C166="","",Picks!C166)</f>
        <v>1</v>
      </c>
      <c r="D166" s="127">
        <f>IF(Picks!D166="","",Picks!D166)</f>
        <v>1.2222222222222223</v>
      </c>
      <c r="E166" s="80" t="str">
        <f>IF(Picks!E166="","",Picks!E166)</f>
        <v>√</v>
      </c>
      <c r="F166" s="130" t="str">
        <f>IF(Picks!F166="","",Picks!F166)</f>
        <v/>
      </c>
      <c r="G166" s="45" t="str">
        <f>IF(Picks!G166="","",Picks!G166)</f>
        <v/>
      </c>
    </row>
    <row r="167" spans="1:7" ht="13.9" thickTop="1" thickBot="1">
      <c r="A167" s="113" t="str">
        <f>IF(Picks!A167="","",Picks!A167)</f>
        <v>Sally Williams</v>
      </c>
      <c r="B167" s="108" t="str">
        <f>IF(Picks!B167="","",Picks!B167)</f>
        <v>Wigan</v>
      </c>
      <c r="C167" s="595">
        <f>IF(Picks!C167="","",Picks!C167)</f>
        <v>7</v>
      </c>
      <c r="D167" s="109">
        <f>IF(Picks!D167="","",Picks!D167)</f>
        <v>2.375</v>
      </c>
      <c r="E167" s="110" t="str">
        <f>IF(Picks!E167="","",Picks!E167)</f>
        <v>√</v>
      </c>
      <c r="F167" s="111">
        <f>IF(Picks!F167="","",Picks!F167)</f>
        <v>5.5</v>
      </c>
      <c r="G167" s="112">
        <f>IF(Picks!G167="","",Picks!G167)</f>
        <v>47.35</v>
      </c>
    </row>
    <row r="168" spans="1:7" ht="13.15">
      <c r="A168" s="113"/>
      <c r="B168" s="60" t="str">
        <f>IF(Picks!B168="","",Picks!B168)</f>
        <v>Bolton</v>
      </c>
      <c r="C168" s="595">
        <f>IF(Picks!C168="","",Picks!C168)</f>
        <v>7</v>
      </c>
      <c r="D168" s="45">
        <f>IF(Picks!D168="","",Picks!D168)</f>
        <v>3</v>
      </c>
      <c r="E168" s="80" t="str">
        <f>IF(Picks!E168="","",Picks!E168)</f>
        <v>√</v>
      </c>
      <c r="F168" s="130" t="str">
        <f>IF(Picks!F168="","",Picks!F168)</f>
        <v/>
      </c>
      <c r="G168" s="45" t="str">
        <f>IF(Picks!G168="","",Picks!G168)</f>
        <v/>
      </c>
    </row>
    <row r="169" spans="1:7" ht="13.5" thickBot="1">
      <c r="A169" s="131"/>
      <c r="B169" s="126" t="str">
        <f>IF(Picks!B169="","",Picks!B169)</f>
        <v>Salford</v>
      </c>
      <c r="C169" s="596">
        <f>IF(Picks!C169="","",Picks!C169)</f>
        <v>7</v>
      </c>
      <c r="D169" s="127">
        <f>IF(Picks!D169="","",Picks!D169)</f>
        <v>3.1</v>
      </c>
      <c r="E169" s="80" t="str">
        <f>IF(Picks!E169="","",Picks!E169)</f>
        <v>x</v>
      </c>
      <c r="F169" s="130" t="str">
        <f>IF(Picks!F169="","",Picks!F169)</f>
        <v/>
      </c>
      <c r="G169" s="45" t="str">
        <f>IF(Picks!G169="","",Picks!G169)</f>
        <v/>
      </c>
    </row>
    <row r="170" spans="1:7" ht="13.9" thickTop="1" thickBot="1">
      <c r="A170" s="113" t="str">
        <f>IF(Picks!A170="","",Picks!A170)</f>
        <v>Simon Greenhalgh</v>
      </c>
      <c r="B170" s="108" t="str">
        <f>IF(Picks!B170="","",Picks!B170)</f>
        <v>Sheff W</v>
      </c>
      <c r="C170" s="595">
        <f>IF(Picks!C170="","",Picks!C170)</f>
        <v>7</v>
      </c>
      <c r="D170" s="109">
        <f>IF(Picks!D170="","",Picks!D170)</f>
        <v>3.4</v>
      </c>
      <c r="E170" s="110" t="str">
        <f>IF(Picks!E170="","",Picks!E170)</f>
        <v>x</v>
      </c>
      <c r="F170" s="111">
        <f>IF(Picks!F170="","",Picks!F170)</f>
        <v>-2.8</v>
      </c>
      <c r="G170" s="112">
        <f>IF(Picks!G170="","",Picks!G170)</f>
        <v>85.807999999999993</v>
      </c>
    </row>
    <row r="171" spans="1:7" ht="13.15">
      <c r="A171" s="113"/>
      <c r="B171" s="60" t="str">
        <f>IF(Picks!B171="","",Picks!B171)</f>
        <v>Bradford</v>
      </c>
      <c r="C171" s="595">
        <f>IF(Picks!C171="","",Picks!C171)</f>
        <v>7</v>
      </c>
      <c r="D171" s="45">
        <f>IF(Picks!D171="","",Picks!D171)</f>
        <v>4.2</v>
      </c>
      <c r="E171" s="80" t="str">
        <f>IF(Picks!E171="","",Picks!E171)</f>
        <v>√</v>
      </c>
      <c r="F171" s="130" t="str">
        <f>IF(Picks!F171="","",Picks!F171)</f>
        <v/>
      </c>
      <c r="G171" s="45" t="str">
        <f>IF(Picks!G171="","",Picks!G171)</f>
        <v/>
      </c>
    </row>
    <row r="172" spans="1:7" ht="13.5" thickBot="1">
      <c r="A172" s="131"/>
      <c r="B172" s="126" t="str">
        <f>IF(Picks!B172="","",Picks!B172)</f>
        <v>Salford</v>
      </c>
      <c r="C172" s="596">
        <f>IF(Picks!C172="","",Picks!C172)</f>
        <v>7</v>
      </c>
      <c r="D172" s="127">
        <f>IF(Picks!D172="","",Picks!D172)</f>
        <v>3.1</v>
      </c>
      <c r="E172" s="80" t="str">
        <f>IF(Picks!E172="","",Picks!E172)</f>
        <v>x</v>
      </c>
      <c r="F172" s="130" t="str">
        <f>IF(Picks!F172="","",Picks!F172)</f>
        <v/>
      </c>
      <c r="G172" s="45" t="str">
        <f>IF(Picks!G172="","",Picks!G172)</f>
        <v/>
      </c>
    </row>
    <row r="173" spans="1:7" ht="13.9" thickTop="1" thickBot="1">
      <c r="A173" s="113" t="str">
        <f>IF(Picks!A173="","",Picks!A173)</f>
        <v>Stephen Barr</v>
      </c>
      <c r="B173" s="60" t="str">
        <f>IF(Picks!B173="","",Picks!B173)</f>
        <v>Middlesbro</v>
      </c>
      <c r="C173" s="595">
        <f>IF(Picks!C173="","",Picks!C173)</f>
        <v>7</v>
      </c>
      <c r="D173" s="109">
        <f>IF(Picks!D173="","",Picks!D173)</f>
        <v>2.15</v>
      </c>
      <c r="E173" s="110" t="str">
        <f>IF(Picks!E173="","",Picks!E173)</f>
        <v>√</v>
      </c>
      <c r="F173" s="111">
        <f>IF(Picks!F173="","",Picks!F173)</f>
        <v>2.2375000000000007</v>
      </c>
      <c r="G173" s="112">
        <f>IF(Picks!G173="","",Picks!G173)</f>
        <v>23.224374999999995</v>
      </c>
    </row>
    <row r="174" spans="1:7" ht="13.15">
      <c r="A174" s="113"/>
      <c r="B174" s="60" t="str">
        <f>IF(Picks!B174="","",Picks!B174)</f>
        <v>West Brom</v>
      </c>
      <c r="C174" s="595">
        <f>IF(Picks!C174="","",Picks!C174)</f>
        <v>6</v>
      </c>
      <c r="D174" s="45">
        <f>IF(Picks!D174="","",Picks!D174)</f>
        <v>2.0499999999999998</v>
      </c>
      <c r="E174" s="80" t="str">
        <f>IF(Picks!E174="","",Picks!E174)</f>
        <v>x</v>
      </c>
      <c r="F174" s="130" t="str">
        <f>IF(Picks!F174="","",Picks!F174)</f>
        <v/>
      </c>
      <c r="G174" s="45" t="str">
        <f>IF(Picks!G174="","",Picks!G174)</f>
        <v/>
      </c>
    </row>
    <row r="175" spans="1:7" ht="13.5" thickBot="1">
      <c r="A175" s="131"/>
      <c r="B175" s="126" t="str">
        <f>IF(Picks!B175="","",Picks!B175)</f>
        <v>Shrewsbury</v>
      </c>
      <c r="C175" s="596">
        <f>IF(Picks!C175="","",Picks!C175)</f>
        <v>7</v>
      </c>
      <c r="D175" s="127">
        <f>IF(Picks!D175="","",Picks!D175)</f>
        <v>2.25</v>
      </c>
      <c r="E175" s="80" t="str">
        <f>IF(Picks!E175="","",Picks!E175)</f>
        <v>√</v>
      </c>
      <c r="F175" s="130" t="str">
        <f>IF(Picks!F175="","",Picks!F175)</f>
        <v/>
      </c>
      <c r="G175" s="45" t="str">
        <f>IF(Picks!G175="","",Picks!G175)</f>
        <v/>
      </c>
    </row>
    <row r="176" spans="1:7" ht="13.9" thickTop="1" thickBot="1">
      <c r="A176" s="113" t="str">
        <f>IF(Picks!A176="","",Picks!A176)</f>
        <v>Steve Carter</v>
      </c>
      <c r="B176" s="60" t="str">
        <f>IF(Picks!B176="","",Picks!B176)</f>
        <v>Charlton</v>
      </c>
      <c r="C176" s="595">
        <f>IF(Picks!C176="","",Picks!C176)</f>
        <v>7</v>
      </c>
      <c r="D176" s="109">
        <f>IF(Picks!D176="","",Picks!D176)</f>
        <v>2</v>
      </c>
      <c r="E176" s="110" t="str">
        <f>IF(Picks!E176="","",Picks!E176)</f>
        <v>x</v>
      </c>
      <c r="F176" s="111">
        <f>IF(Picks!F176="","",Picks!F176)</f>
        <v>-4.75</v>
      </c>
      <c r="G176" s="112">
        <f>IF(Picks!G176="","",Picks!G176)</f>
        <v>25.150000000000006</v>
      </c>
    </row>
    <row r="177" spans="1:7" ht="13.15">
      <c r="A177" s="113"/>
      <c r="B177" s="60" t="str">
        <f>IF(Picks!B177="","",Picks!B177)</f>
        <v>Morecambe</v>
      </c>
      <c r="C177" s="595">
        <f>IF(Picks!C177="","",Picks!C177)</f>
        <v>7</v>
      </c>
      <c r="D177" s="45">
        <f>IF(Picks!D177="","",Picks!D177)</f>
        <v>2.4</v>
      </c>
      <c r="E177" s="80" t="str">
        <f>IF(Picks!E177="","",Picks!E177)</f>
        <v>x</v>
      </c>
      <c r="F177" s="130" t="str">
        <f>IF(Picks!F177="","",Picks!F177)</f>
        <v/>
      </c>
      <c r="G177" s="45" t="str">
        <f>IF(Picks!G177="","",Picks!G177)</f>
        <v/>
      </c>
    </row>
    <row r="178" spans="1:7" ht="13.5" thickBot="1">
      <c r="A178" s="131"/>
      <c r="B178" s="126" t="str">
        <f>IF(Picks!B178="","",Picks!B178)</f>
        <v>Shrewsbury</v>
      </c>
      <c r="C178" s="596">
        <f>IF(Picks!C178="","",Picks!C178)</f>
        <v>7</v>
      </c>
      <c r="D178" s="127">
        <f>IF(Picks!D178="","",Picks!D178)</f>
        <v>2.25</v>
      </c>
      <c r="E178" s="80" t="str">
        <f>IF(Picks!E178="","",Picks!E178)</f>
        <v>√</v>
      </c>
      <c r="F178" s="130" t="str">
        <f>IF(Picks!F178="","",Picks!F178)</f>
        <v/>
      </c>
      <c r="G178" s="45" t="str">
        <f>IF(Picks!G178="","",Picks!G178)</f>
        <v/>
      </c>
    </row>
    <row r="179" spans="1:7" ht="13.9" thickTop="1" thickBot="1">
      <c r="A179" s="113" t="str">
        <f>IF(Picks!A179="","",Picks!A179)</f>
        <v>Tom Robinson</v>
      </c>
      <c r="B179" s="60" t="str">
        <f>IF(Picks!B179="","",Picks!B179)</f>
        <v>Mansfield</v>
      </c>
      <c r="C179" s="595">
        <f>IF(Picks!C179="","",Picks!C179)</f>
        <v>7</v>
      </c>
      <c r="D179" s="109">
        <f>IF(Picks!D179="","",Picks!D179)</f>
        <v>1.7</v>
      </c>
      <c r="E179" s="110" t="str">
        <f>IF(Picks!E179="","",Picks!E179)</f>
        <v>√</v>
      </c>
      <c r="F179" s="111">
        <f>IF(Picks!F179="","",Picks!F179)</f>
        <v>3.6099999999999994</v>
      </c>
      <c r="G179" s="112">
        <f>IF(Picks!G179="","",Picks!G179)</f>
        <v>39.600999999999999</v>
      </c>
    </row>
    <row r="180" spans="1:7" ht="13.15">
      <c r="A180" s="113"/>
      <c r="B180" s="60" t="str">
        <f>IF(Picks!B180="","",Picks!B180)</f>
        <v>Northampton</v>
      </c>
      <c r="C180" s="595">
        <f>IF(Picks!C180="","",Picks!C180)</f>
        <v>7</v>
      </c>
      <c r="D180" s="45">
        <f>IF(Picks!D180="","",Picks!D180)</f>
        <v>3.1</v>
      </c>
      <c r="E180" s="80" t="str">
        <f>IF(Picks!E180="","",Picks!E180)</f>
        <v>x</v>
      </c>
      <c r="F180" s="130" t="str">
        <f>IF(Picks!F180="","",Picks!F180)</f>
        <v/>
      </c>
      <c r="G180" s="45" t="str">
        <f>IF(Picks!G180="","",Picks!G180)</f>
        <v/>
      </c>
    </row>
    <row r="181" spans="1:7" ht="13.5" thickBot="1">
      <c r="A181" s="131"/>
      <c r="B181" s="126" t="str">
        <f>IF(Picks!B181="","",Picks!B181)</f>
        <v>Palace draw</v>
      </c>
      <c r="C181" s="596">
        <f>IF(Picks!C181="","",Picks!C181)</f>
        <v>7</v>
      </c>
      <c r="D181" s="127">
        <f>IF(Picks!D181="","",Picks!D181)</f>
        <v>3.3</v>
      </c>
      <c r="E181" s="80" t="str">
        <f>IF(Picks!E181="","",Picks!E181)</f>
        <v>√</v>
      </c>
      <c r="F181" s="130" t="str">
        <f>IF(Picks!F181="","",Picks!F181)</f>
        <v/>
      </c>
      <c r="G181" s="45" t="str">
        <f>IF(Picks!G181="","",Picks!G181)</f>
        <v/>
      </c>
    </row>
    <row r="182" spans="1:7" ht="13.9" thickTop="1" thickBot="1">
      <c r="A182" s="113" t="str">
        <f>IF(Picks!A182="","",Picks!A182)</f>
        <v>Vinny Topping</v>
      </c>
      <c r="B182" s="60" t="str">
        <f>IF(Picks!B182="","",Picks!B182)</f>
        <v>Sheff U</v>
      </c>
      <c r="C182" s="595">
        <f>IF(Picks!C182="","",Picks!C182)</f>
        <v>7</v>
      </c>
      <c r="D182" s="109">
        <f>IF(Picks!D182="","",Picks!D182)</f>
        <v>1.8333333333333335</v>
      </c>
      <c r="E182" s="110" t="str">
        <f>IF(Picks!E182="","",Picks!E182)</f>
        <v>√</v>
      </c>
      <c r="F182" s="111">
        <f>IF(Picks!F182="","",Picks!F182)</f>
        <v>1.5625</v>
      </c>
      <c r="G182" s="112">
        <f>IF(Picks!G182="","",Picks!G182)</f>
        <v>25.46875</v>
      </c>
    </row>
    <row r="183" spans="1:7" ht="13.15">
      <c r="A183" s="113"/>
      <c r="B183" s="60" t="str">
        <f>IF(Picks!B183="","",Picks!B183)</f>
        <v>Wigan</v>
      </c>
      <c r="C183" s="595">
        <f>IF(Picks!C183="","",Picks!C183)</f>
        <v>7</v>
      </c>
      <c r="D183" s="45">
        <f>IF(Picks!D183="","",Picks!D183)</f>
        <v>2.375</v>
      </c>
      <c r="E183" s="80" t="str">
        <f>IF(Picks!E183="","",Picks!E183)</f>
        <v>√</v>
      </c>
      <c r="F183" s="130" t="str">
        <f>IF(Picks!F183="","",Picks!F183)</f>
        <v/>
      </c>
      <c r="G183" s="45" t="str">
        <f>IF(Picks!G183="","",Picks!G183)</f>
        <v/>
      </c>
    </row>
    <row r="184" spans="1:7" ht="13.5" thickBot="1">
      <c r="A184" s="131"/>
      <c r="B184" s="126" t="str">
        <f>IF(Picks!B184="","",Picks!B184)</f>
        <v>Carlisle</v>
      </c>
      <c r="C184" s="596">
        <f>IF(Picks!C184="","",Picks!C184)</f>
        <v>7</v>
      </c>
      <c r="D184" s="127">
        <f>IF(Picks!D184="","",Picks!D184)</f>
        <v>2.5</v>
      </c>
      <c r="E184" s="80" t="str">
        <f>IF(Picks!E184="","",Picks!E184)</f>
        <v>x</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E10" sqref="E10"/>
    </sheetView>
  </sheetViews>
  <sheetFormatPr defaultRowHeight="12.75"/>
  <cols>
    <col min="1" max="1" width="6.33203125" style="62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3">
        <v>38</v>
      </c>
      <c r="B1" s="332">
        <v>2021</v>
      </c>
      <c r="C1" s="511" t="s">
        <v>521</v>
      </c>
      <c r="D1" s="511"/>
      <c r="E1" s="144"/>
      <c r="F1" s="144"/>
      <c r="G1" s="144"/>
      <c r="H1" s="77"/>
      <c r="I1" s="77"/>
      <c r="J1" s="77"/>
      <c r="K1" s="77"/>
      <c r="L1" s="77"/>
      <c r="M1" s="77"/>
      <c r="N1" s="77"/>
      <c r="O1" s="77"/>
      <c r="P1" s="77"/>
      <c r="Q1" s="77"/>
      <c r="R1" s="77"/>
      <c r="S1" s="77"/>
    </row>
    <row r="2" spans="1:19">
      <c r="A2" s="624"/>
      <c r="B2" s="78"/>
      <c r="C2" s="144"/>
      <c r="D2" s="144"/>
      <c r="E2" s="144"/>
      <c r="F2" s="144"/>
      <c r="G2" s="144"/>
      <c r="H2" s="77"/>
      <c r="I2" s="77"/>
      <c r="J2" s="77"/>
      <c r="K2" s="77"/>
      <c r="L2" s="77"/>
      <c r="M2" s="77"/>
      <c r="N2" s="77"/>
      <c r="O2" s="77"/>
      <c r="P2" s="77"/>
      <c r="Q2" s="77"/>
      <c r="R2" s="77"/>
      <c r="S2" s="77"/>
    </row>
    <row r="3" spans="1:19" ht="35.1" customHeight="1">
      <c r="A3" s="624"/>
      <c r="B3" s="729" t="str">
        <f>CONCATENATE(CurrentSeason," - ",SeasonTitle)</f>
        <v>PL41 - Spring 2023</v>
      </c>
      <c r="C3" s="730"/>
      <c r="D3" s="730"/>
      <c r="E3" s="730"/>
      <c r="F3" s="731"/>
      <c r="G3" s="143"/>
      <c r="I3" s="232" t="s">
        <v>317</v>
      </c>
      <c r="J3" s="114"/>
      <c r="K3" s="114"/>
      <c r="L3" s="77"/>
      <c r="M3" s="77"/>
      <c r="N3" s="77"/>
      <c r="O3" s="77"/>
      <c r="P3" s="77"/>
      <c r="Q3" s="77"/>
      <c r="R3" s="77"/>
    </row>
    <row r="4" spans="1:19" s="217" customFormat="1" ht="29.85" customHeight="1">
      <c r="A4" s="624"/>
      <c r="B4" s="525" t="s">
        <v>558</v>
      </c>
      <c r="C4" s="481" t="s">
        <v>494</v>
      </c>
      <c r="D4" s="481" t="s">
        <v>563</v>
      </c>
      <c r="E4" s="481" t="s">
        <v>564</v>
      </c>
      <c r="F4" s="482" t="s">
        <v>565</v>
      </c>
      <c r="G4" s="229"/>
      <c r="H4" s="140"/>
      <c r="I4" s="233" t="s">
        <v>223</v>
      </c>
      <c r="J4" s="233" t="s">
        <v>224</v>
      </c>
      <c r="K4" s="233" t="s">
        <v>225</v>
      </c>
      <c r="L4" s="140"/>
      <c r="M4" s="140"/>
      <c r="N4" s="140"/>
      <c r="O4" s="140"/>
      <c r="P4" s="140"/>
      <c r="Q4" s="140"/>
    </row>
    <row r="5" spans="1:19" ht="20.100000000000001" customHeight="1">
      <c r="A5" s="624"/>
      <c r="B5" s="663">
        <v>44933</v>
      </c>
      <c r="C5" s="664">
        <v>1</v>
      </c>
      <c r="D5" s="664"/>
      <c r="E5" s="665"/>
      <c r="F5" s="665"/>
      <c r="G5" s="144"/>
      <c r="H5" s="205" t="s">
        <v>452</v>
      </c>
      <c r="I5" s="524">
        <f>IF($B5="","",$B5-5)</f>
        <v>44928</v>
      </c>
      <c r="J5" s="171">
        <f>IF($B5="","",$B5-3)</f>
        <v>44930</v>
      </c>
      <c r="K5" s="171">
        <f>IF($B5="","",$B5+2)</f>
        <v>44935</v>
      </c>
      <c r="L5" s="77"/>
      <c r="M5" s="77"/>
      <c r="N5" s="77"/>
      <c r="O5" s="77"/>
      <c r="P5" s="77"/>
      <c r="Q5" s="77"/>
    </row>
    <row r="6" spans="1:19" ht="20.100000000000001" customHeight="1">
      <c r="A6" s="624"/>
      <c r="B6" s="663">
        <v>44940</v>
      </c>
      <c r="C6" s="664">
        <v>2</v>
      </c>
      <c r="D6" s="664"/>
      <c r="E6" s="665" t="s">
        <v>559</v>
      </c>
      <c r="F6" s="665"/>
      <c r="G6" s="144"/>
      <c r="H6" s="205" t="s">
        <v>440</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4"/>
      <c r="B7" s="663">
        <v>44947</v>
      </c>
      <c r="C7" s="666">
        <v>3</v>
      </c>
      <c r="D7" s="666"/>
      <c r="E7" s="667" t="s">
        <v>560</v>
      </c>
      <c r="F7" s="665"/>
      <c r="G7" s="144"/>
      <c r="H7" s="205" t="s">
        <v>441</v>
      </c>
      <c r="I7" s="524">
        <f t="shared" si="0"/>
        <v>44942</v>
      </c>
      <c r="J7" s="171">
        <f t="shared" si="1"/>
        <v>44944</v>
      </c>
      <c r="K7" s="171">
        <f t="shared" si="2"/>
        <v>44949</v>
      </c>
      <c r="L7" s="77"/>
      <c r="M7" s="77"/>
      <c r="N7" s="77"/>
      <c r="O7" s="77"/>
      <c r="P7" s="77"/>
      <c r="Q7" s="77"/>
    </row>
    <row r="8" spans="1:19" ht="20.100000000000001" customHeight="1">
      <c r="A8" s="624"/>
      <c r="B8" s="663">
        <v>44954</v>
      </c>
      <c r="C8" s="664">
        <v>4</v>
      </c>
      <c r="D8" s="664"/>
      <c r="E8" s="667"/>
      <c r="F8" s="665"/>
      <c r="G8" s="144"/>
      <c r="H8" s="81" t="s">
        <v>465</v>
      </c>
      <c r="I8" s="524">
        <f t="shared" si="0"/>
        <v>44949</v>
      </c>
      <c r="J8" s="171">
        <f t="shared" si="1"/>
        <v>44951</v>
      </c>
      <c r="K8" s="171">
        <f t="shared" si="2"/>
        <v>44956</v>
      </c>
      <c r="L8" s="77"/>
      <c r="M8" s="77"/>
      <c r="N8" s="77"/>
      <c r="O8" s="77"/>
      <c r="P8" s="77"/>
      <c r="Q8" s="77"/>
    </row>
    <row r="9" spans="1:19" ht="20.100000000000001" customHeight="1">
      <c r="A9" s="624"/>
      <c r="B9" s="663">
        <v>44961</v>
      </c>
      <c r="C9" s="664">
        <v>5</v>
      </c>
      <c r="D9" s="664"/>
      <c r="E9" s="665" t="s">
        <v>133</v>
      </c>
      <c r="F9" s="665"/>
      <c r="G9" s="144"/>
      <c r="H9" s="77"/>
      <c r="I9" s="524">
        <f t="shared" si="0"/>
        <v>44956</v>
      </c>
      <c r="J9" s="171">
        <f t="shared" si="1"/>
        <v>44958</v>
      </c>
      <c r="K9" s="171">
        <f t="shared" si="2"/>
        <v>44963</v>
      </c>
      <c r="L9" s="77"/>
      <c r="M9" s="77"/>
      <c r="N9" s="77"/>
      <c r="O9" s="77"/>
      <c r="P9" s="77"/>
      <c r="Q9" s="77"/>
    </row>
    <row r="10" spans="1:19" ht="20.100000000000001" customHeight="1">
      <c r="A10" s="624"/>
      <c r="B10" s="663">
        <v>44968</v>
      </c>
      <c r="C10" s="664">
        <v>6</v>
      </c>
      <c r="D10" s="664" t="s">
        <v>237</v>
      </c>
      <c r="E10" s="665" t="s">
        <v>134</v>
      </c>
      <c r="F10" s="665"/>
      <c r="G10" s="145"/>
      <c r="H10" s="77"/>
      <c r="I10" s="524">
        <f t="shared" si="0"/>
        <v>44963</v>
      </c>
      <c r="J10" s="171">
        <f t="shared" si="1"/>
        <v>44965</v>
      </c>
      <c r="K10" s="171">
        <f t="shared" si="2"/>
        <v>44970</v>
      </c>
      <c r="L10" s="77"/>
      <c r="M10" s="77"/>
      <c r="N10" s="77"/>
      <c r="O10" s="77"/>
      <c r="P10" s="77"/>
      <c r="Q10" s="77"/>
    </row>
    <row r="11" spans="1:19" ht="20.100000000000001" customHeight="1">
      <c r="A11" s="624"/>
      <c r="B11" s="663">
        <v>44968</v>
      </c>
      <c r="C11" s="664">
        <v>7</v>
      </c>
      <c r="D11" s="664" t="s">
        <v>237</v>
      </c>
      <c r="E11" s="665"/>
      <c r="F11" s="665"/>
      <c r="G11" s="145"/>
      <c r="H11" s="77"/>
      <c r="I11" s="524">
        <f t="shared" si="0"/>
        <v>44963</v>
      </c>
      <c r="J11" s="171">
        <f t="shared" si="1"/>
        <v>44965</v>
      </c>
      <c r="K11" s="171">
        <f t="shared" si="2"/>
        <v>44970</v>
      </c>
      <c r="L11" s="77"/>
      <c r="M11" s="77"/>
      <c r="N11" s="77"/>
      <c r="O11" s="77"/>
      <c r="P11" s="77"/>
      <c r="Q11" s="77"/>
    </row>
    <row r="12" spans="1:19" ht="20.100000000000001" customHeight="1">
      <c r="A12" s="624"/>
      <c r="B12" s="663">
        <v>44975</v>
      </c>
      <c r="C12" s="664">
        <v>8</v>
      </c>
      <c r="D12" s="664"/>
      <c r="E12" s="665" t="s">
        <v>135</v>
      </c>
      <c r="F12" s="665"/>
      <c r="G12" s="145"/>
      <c r="H12" s="205"/>
      <c r="I12" s="524">
        <f t="shared" si="0"/>
        <v>44970</v>
      </c>
      <c r="J12" s="171">
        <f t="shared" si="1"/>
        <v>44972</v>
      </c>
      <c r="K12" s="171">
        <f t="shared" si="2"/>
        <v>44977</v>
      </c>
      <c r="L12" s="77"/>
      <c r="M12" s="77"/>
      <c r="N12" s="77"/>
      <c r="O12" s="77"/>
      <c r="P12" s="77"/>
      <c r="Q12" s="77"/>
    </row>
    <row r="13" spans="1:19" ht="20.100000000000001" customHeight="1">
      <c r="A13" s="624"/>
      <c r="B13" s="663">
        <v>44982</v>
      </c>
      <c r="C13" s="666">
        <v>9</v>
      </c>
      <c r="D13" s="666"/>
      <c r="E13" s="665" t="s">
        <v>136</v>
      </c>
      <c r="F13" s="665"/>
      <c r="G13" s="144"/>
      <c r="H13" s="77"/>
      <c r="I13" s="524">
        <f t="shared" si="0"/>
        <v>44977</v>
      </c>
      <c r="J13" s="171">
        <f t="shared" si="1"/>
        <v>44979</v>
      </c>
      <c r="K13" s="171">
        <f t="shared" si="2"/>
        <v>44984</v>
      </c>
      <c r="L13" s="77"/>
      <c r="M13" s="77"/>
      <c r="N13" s="77"/>
      <c r="O13" s="77"/>
      <c r="P13" s="77"/>
      <c r="Q13" s="77"/>
    </row>
    <row r="14" spans="1:19" ht="20.100000000000001" customHeight="1">
      <c r="A14" s="624"/>
      <c r="B14" s="663">
        <v>44989</v>
      </c>
      <c r="C14" s="664">
        <v>10</v>
      </c>
      <c r="D14" s="664"/>
      <c r="E14" s="665"/>
      <c r="F14" s="665"/>
      <c r="G14" s="144"/>
      <c r="H14" s="77"/>
      <c r="I14" s="524">
        <f t="shared" si="0"/>
        <v>44984</v>
      </c>
      <c r="J14" s="171">
        <f t="shared" si="1"/>
        <v>44986</v>
      </c>
      <c r="K14" s="171">
        <f t="shared" si="2"/>
        <v>44991</v>
      </c>
      <c r="L14" s="77"/>
      <c r="M14" s="77"/>
      <c r="N14" s="77"/>
      <c r="O14" s="77"/>
      <c r="P14" s="77"/>
      <c r="Q14" s="77"/>
    </row>
    <row r="15" spans="1:19" ht="20.100000000000001" customHeight="1">
      <c r="A15" s="624"/>
      <c r="B15" s="663">
        <v>44996</v>
      </c>
      <c r="C15" s="664">
        <v>11</v>
      </c>
      <c r="D15" s="664"/>
      <c r="E15" s="665" t="s">
        <v>137</v>
      </c>
      <c r="F15" s="665"/>
      <c r="G15" s="144"/>
      <c r="H15" s="77"/>
      <c r="I15" s="524">
        <f t="shared" si="0"/>
        <v>44991</v>
      </c>
      <c r="J15" s="171">
        <f t="shared" si="1"/>
        <v>44993</v>
      </c>
      <c r="K15" s="171">
        <f t="shared" si="2"/>
        <v>44998</v>
      </c>
      <c r="L15" s="77"/>
      <c r="M15" s="77"/>
      <c r="N15" s="77"/>
      <c r="O15" s="77"/>
      <c r="P15" s="77"/>
      <c r="Q15" s="77"/>
    </row>
    <row r="16" spans="1:19" ht="20.100000000000001" customHeight="1">
      <c r="A16" s="624"/>
      <c r="B16" s="663">
        <v>45003</v>
      </c>
      <c r="C16" s="664">
        <v>12</v>
      </c>
      <c r="D16" s="664" t="s">
        <v>237</v>
      </c>
      <c r="E16" s="665" t="s">
        <v>138</v>
      </c>
      <c r="F16" s="665"/>
      <c r="G16" s="144"/>
      <c r="H16" s="77"/>
      <c r="I16" s="171">
        <f t="shared" si="0"/>
        <v>44998</v>
      </c>
      <c r="J16" s="171">
        <f t="shared" si="1"/>
        <v>45000</v>
      </c>
      <c r="K16" s="171">
        <f t="shared" si="2"/>
        <v>45005</v>
      </c>
      <c r="L16" s="77"/>
      <c r="M16" s="77"/>
      <c r="N16" s="77"/>
      <c r="O16" s="77"/>
      <c r="P16" s="77"/>
      <c r="Q16" s="77"/>
    </row>
    <row r="17" spans="1:17" ht="20.100000000000001" customHeight="1">
      <c r="A17" s="624"/>
      <c r="B17" s="663">
        <v>45003</v>
      </c>
      <c r="C17" s="666">
        <v>13</v>
      </c>
      <c r="D17" s="666" t="s">
        <v>237</v>
      </c>
      <c r="E17" s="665"/>
      <c r="F17" s="665"/>
      <c r="G17" s="144"/>
      <c r="H17" s="77"/>
      <c r="I17" s="171">
        <f t="shared" si="0"/>
        <v>44998</v>
      </c>
      <c r="J17" s="171">
        <f t="shared" si="1"/>
        <v>45000</v>
      </c>
      <c r="K17" s="171">
        <f t="shared" si="2"/>
        <v>45005</v>
      </c>
      <c r="L17" s="77"/>
      <c r="M17" s="77"/>
      <c r="N17" s="77"/>
      <c r="O17" s="77"/>
      <c r="P17" s="77"/>
      <c r="Q17" s="77"/>
    </row>
    <row r="18" spans="1:17" ht="20.100000000000001" customHeight="1">
      <c r="A18" s="624"/>
      <c r="B18" s="663">
        <v>45010</v>
      </c>
      <c r="C18" s="664">
        <v>14</v>
      </c>
      <c r="D18" s="664"/>
      <c r="E18" s="665" t="s">
        <v>139</v>
      </c>
      <c r="F18" s="665"/>
      <c r="G18" s="144"/>
      <c r="H18" s="77"/>
      <c r="I18" s="171">
        <f t="shared" si="0"/>
        <v>45005</v>
      </c>
      <c r="J18" s="171">
        <f t="shared" si="1"/>
        <v>45007</v>
      </c>
      <c r="K18" s="171">
        <f t="shared" si="2"/>
        <v>45012</v>
      </c>
      <c r="L18" s="77"/>
      <c r="M18" s="77"/>
      <c r="N18" s="77"/>
      <c r="O18" s="77"/>
      <c r="P18" s="77"/>
      <c r="Q18" s="77"/>
    </row>
    <row r="19" spans="1:17" ht="20.100000000000001" customHeight="1">
      <c r="A19" s="624"/>
      <c r="B19" s="663">
        <v>45017</v>
      </c>
      <c r="C19" s="664">
        <v>15</v>
      </c>
      <c r="D19" s="664"/>
      <c r="E19" s="665" t="s">
        <v>140</v>
      </c>
      <c r="F19" s="665"/>
      <c r="G19" s="144"/>
      <c r="H19" s="77"/>
      <c r="I19" s="171">
        <f t="shared" si="0"/>
        <v>45012</v>
      </c>
      <c r="J19" s="171">
        <f t="shared" si="1"/>
        <v>45014</v>
      </c>
      <c r="K19" s="171">
        <f t="shared" si="2"/>
        <v>45019</v>
      </c>
      <c r="L19" s="77"/>
      <c r="M19" s="77"/>
      <c r="N19" s="77"/>
      <c r="O19" s="77"/>
      <c r="P19" s="77"/>
      <c r="Q19" s="77"/>
    </row>
    <row r="20" spans="1:17" ht="20.100000000000001" customHeight="1">
      <c r="A20" s="624"/>
      <c r="B20" s="663">
        <v>45024</v>
      </c>
      <c r="C20" s="664">
        <v>16</v>
      </c>
      <c r="D20" s="664"/>
      <c r="E20" s="665" t="s">
        <v>141</v>
      </c>
      <c r="F20" s="665"/>
      <c r="G20" s="144"/>
      <c r="H20" s="77"/>
      <c r="I20" s="171">
        <f t="shared" si="0"/>
        <v>45019</v>
      </c>
      <c r="J20" s="171">
        <f t="shared" si="1"/>
        <v>45021</v>
      </c>
      <c r="K20" s="171">
        <f t="shared" si="2"/>
        <v>45026</v>
      </c>
      <c r="L20" s="77"/>
      <c r="M20" s="77"/>
      <c r="N20" s="77"/>
      <c r="O20" s="77"/>
      <c r="P20" s="77"/>
      <c r="Q20" s="77"/>
    </row>
    <row r="21" spans="1:17" ht="20.100000000000001" customHeight="1">
      <c r="A21" s="624"/>
      <c r="B21" s="663">
        <v>45031</v>
      </c>
      <c r="C21" s="664" t="s">
        <v>561</v>
      </c>
      <c r="D21" s="664"/>
      <c r="E21" s="665" t="s">
        <v>142</v>
      </c>
      <c r="F21" s="665"/>
      <c r="G21" s="144"/>
      <c r="H21" s="77"/>
      <c r="I21" s="171">
        <f t="shared" si="0"/>
        <v>45026</v>
      </c>
      <c r="J21" s="171">
        <f t="shared" si="1"/>
        <v>45028</v>
      </c>
      <c r="K21" s="171">
        <f t="shared" si="2"/>
        <v>45033</v>
      </c>
      <c r="L21" s="77"/>
      <c r="M21" s="77"/>
      <c r="N21" s="77"/>
      <c r="O21" s="77"/>
      <c r="P21" s="77"/>
      <c r="Q21" s="77"/>
    </row>
    <row r="22" spans="1:17" ht="20.100000000000001" customHeight="1">
      <c r="A22" s="624"/>
      <c r="B22" s="663">
        <v>45038</v>
      </c>
      <c r="C22" s="664">
        <v>18</v>
      </c>
      <c r="D22" s="664"/>
      <c r="E22" s="665" t="s">
        <v>18</v>
      </c>
      <c r="F22" s="665"/>
      <c r="G22" s="144"/>
      <c r="H22" s="77"/>
      <c r="I22" s="171">
        <f t="shared" si="0"/>
        <v>45033</v>
      </c>
      <c r="J22" s="171">
        <f t="shared" si="1"/>
        <v>45035</v>
      </c>
      <c r="K22" s="171">
        <f t="shared" si="2"/>
        <v>45040</v>
      </c>
      <c r="L22" s="77"/>
      <c r="M22" s="77"/>
      <c r="N22" s="77"/>
      <c r="O22" s="77"/>
      <c r="P22" s="77"/>
      <c r="Q22" s="77"/>
    </row>
    <row r="23" spans="1:17" ht="20.100000000000001" customHeight="1">
      <c r="A23" s="624"/>
      <c r="B23" s="663">
        <v>45045</v>
      </c>
      <c r="C23" s="664">
        <v>19</v>
      </c>
      <c r="D23" s="664"/>
      <c r="E23" s="665" t="s">
        <v>143</v>
      </c>
      <c r="F23" s="665"/>
      <c r="G23" s="144"/>
      <c r="H23" s="77"/>
      <c r="I23" s="171">
        <f t="shared" si="0"/>
        <v>45040</v>
      </c>
      <c r="J23" s="171">
        <f t="shared" si="1"/>
        <v>45042</v>
      </c>
      <c r="K23" s="171">
        <f t="shared" si="2"/>
        <v>45047</v>
      </c>
      <c r="L23" s="77"/>
      <c r="M23" s="77"/>
      <c r="N23" s="77"/>
      <c r="O23" s="77"/>
      <c r="P23" s="77"/>
      <c r="Q23" s="77"/>
    </row>
    <row r="24" spans="1:17" ht="20.100000000000001" customHeight="1">
      <c r="A24" s="624"/>
      <c r="B24" s="663">
        <v>45052</v>
      </c>
      <c r="C24" s="664">
        <v>20</v>
      </c>
      <c r="D24" s="664"/>
      <c r="E24" s="665"/>
      <c r="F24" s="665"/>
      <c r="G24" s="144"/>
      <c r="H24" s="77"/>
      <c r="I24" s="171">
        <f t="shared" si="0"/>
        <v>45047</v>
      </c>
      <c r="J24" s="171">
        <f t="shared" si="1"/>
        <v>45049</v>
      </c>
      <c r="K24" s="171">
        <f t="shared" si="2"/>
        <v>45054</v>
      </c>
      <c r="L24" s="77"/>
      <c r="M24" s="77"/>
      <c r="N24" s="77"/>
      <c r="O24" s="77"/>
      <c r="P24" s="77"/>
      <c r="Q24" s="77"/>
    </row>
    <row r="25" spans="1:17" ht="20" customHeight="1">
      <c r="A25" s="624"/>
      <c r="B25" s="78"/>
      <c r="C25" s="144"/>
      <c r="D25" s="144"/>
      <c r="E25" s="641" t="s">
        <v>562</v>
      </c>
      <c r="F25" s="642" t="s">
        <v>528</v>
      </c>
      <c r="G25" s="77"/>
      <c r="H25" s="77"/>
      <c r="I25" s="77"/>
      <c r="J25" s="77"/>
      <c r="K25" s="77"/>
      <c r="L25" s="77"/>
      <c r="M25" s="77"/>
      <c r="N25" s="77"/>
      <c r="O25" s="77"/>
      <c r="P25" s="77"/>
      <c r="Q25" s="77"/>
    </row>
    <row r="26" spans="1:17">
      <c r="A26" s="624"/>
      <c r="B26" s="78"/>
      <c r="C26" s="144"/>
      <c r="D26" s="144"/>
      <c r="E26" s="144"/>
      <c r="F26" s="77"/>
      <c r="G26" s="77"/>
      <c r="H26" s="77"/>
      <c r="I26" s="77"/>
      <c r="J26" s="77"/>
      <c r="K26" s="77"/>
      <c r="L26" s="77"/>
      <c r="M26" s="77"/>
      <c r="N26" s="77"/>
      <c r="O26" s="77"/>
      <c r="P26" s="77"/>
      <c r="Q26" s="77"/>
    </row>
    <row r="27" spans="1:17">
      <c r="A27" s="624"/>
      <c r="B27" s="78"/>
      <c r="C27" s="144"/>
      <c r="D27" s="144"/>
      <c r="E27" s="144"/>
      <c r="F27" s="77"/>
      <c r="G27" s="77"/>
      <c r="H27" s="77"/>
      <c r="I27" s="77"/>
      <c r="J27" s="77"/>
      <c r="K27" s="77"/>
      <c r="L27" s="77"/>
      <c r="M27" s="77"/>
      <c r="N27" s="77"/>
      <c r="O27" s="77"/>
      <c r="P27" s="77"/>
      <c r="Q27" s="77"/>
    </row>
    <row r="28" spans="1:17">
      <c r="A28" s="624"/>
      <c r="B28" s="78"/>
      <c r="C28" s="144"/>
      <c r="D28" s="144"/>
      <c r="E28" s="144"/>
      <c r="F28" s="77"/>
      <c r="G28" s="77"/>
      <c r="H28" s="77"/>
      <c r="I28" s="77"/>
      <c r="J28" s="77"/>
      <c r="K28" s="77"/>
      <c r="L28" s="77"/>
      <c r="M28" s="77"/>
      <c r="N28" s="77"/>
      <c r="O28" s="77"/>
      <c r="P28" s="77"/>
      <c r="Q28" s="77"/>
    </row>
    <row r="29" spans="1:17">
      <c r="A29" s="624"/>
      <c r="B29" s="78"/>
      <c r="C29" s="144"/>
      <c r="D29" s="144"/>
      <c r="E29" s="144"/>
      <c r="F29" s="77"/>
      <c r="G29" s="77"/>
      <c r="H29" s="77"/>
      <c r="I29" s="77"/>
      <c r="J29" s="77"/>
      <c r="K29" s="77"/>
      <c r="L29" s="77"/>
      <c r="M29" s="77"/>
      <c r="N29" s="77"/>
      <c r="O29" s="77"/>
      <c r="P29" s="77"/>
      <c r="Q29" s="77"/>
    </row>
    <row r="30" spans="1:17">
      <c r="A30" s="624"/>
      <c r="B30" s="78"/>
      <c r="C30" s="144"/>
      <c r="D30" s="144"/>
      <c r="E30" s="144"/>
      <c r="F30" s="77"/>
      <c r="G30" s="77"/>
      <c r="H30" s="77"/>
      <c r="I30" s="77"/>
      <c r="J30" s="77"/>
      <c r="K30" s="77"/>
      <c r="L30" s="77"/>
      <c r="M30" s="77"/>
      <c r="N30" s="77"/>
      <c r="O30" s="77"/>
      <c r="P30" s="77"/>
      <c r="Q30" s="77"/>
    </row>
    <row r="31" spans="1:17">
      <c r="A31" s="624"/>
      <c r="B31" s="78"/>
      <c r="C31" s="144"/>
      <c r="D31" s="144"/>
      <c r="E31" s="144"/>
      <c r="F31" s="77"/>
      <c r="G31" s="77"/>
      <c r="H31" s="77"/>
      <c r="I31" s="77"/>
      <c r="J31" s="77"/>
      <c r="K31" s="77"/>
      <c r="L31" s="77"/>
      <c r="M31" s="77"/>
      <c r="N31" s="77"/>
      <c r="O31" s="77"/>
      <c r="P31" s="77"/>
      <c r="Q31" s="77"/>
    </row>
    <row r="32" spans="1:17">
      <c r="A32" s="624"/>
      <c r="B32" s="78"/>
      <c r="C32" s="144"/>
      <c r="D32" s="144"/>
      <c r="E32" s="144"/>
      <c r="F32" s="77"/>
      <c r="G32" s="77"/>
      <c r="H32" s="77"/>
      <c r="I32" s="77"/>
      <c r="J32" s="77"/>
      <c r="K32" s="77"/>
      <c r="L32" s="77"/>
      <c r="M32" s="77"/>
      <c r="N32" s="77"/>
      <c r="O32" s="77"/>
      <c r="P32" s="77"/>
      <c r="Q32" s="77"/>
    </row>
    <row r="33" spans="1:17">
      <c r="A33" s="624"/>
      <c r="B33" s="78"/>
      <c r="C33" s="144"/>
      <c r="D33" s="144"/>
      <c r="E33" s="144"/>
      <c r="F33" s="77"/>
      <c r="G33" s="77"/>
      <c r="H33" s="77"/>
      <c r="I33" s="77"/>
      <c r="J33" s="77"/>
      <c r="K33" s="77"/>
      <c r="L33" s="77"/>
      <c r="M33" s="77"/>
      <c r="N33" s="77"/>
      <c r="O33" s="77"/>
      <c r="P33" s="77"/>
      <c r="Q33" s="77"/>
    </row>
    <row r="34" spans="1:17">
      <c r="A34" s="624"/>
      <c r="B34" s="78"/>
      <c r="C34" s="144"/>
      <c r="D34" s="144"/>
      <c r="E34" s="144"/>
      <c r="F34" s="77"/>
      <c r="G34" s="77"/>
      <c r="H34" s="77"/>
      <c r="I34" s="77"/>
      <c r="J34" s="77"/>
      <c r="K34" s="77"/>
      <c r="L34" s="77"/>
      <c r="M34" s="77"/>
      <c r="N34" s="77"/>
      <c r="O34" s="77"/>
      <c r="P34" s="77"/>
      <c r="Q34" s="77"/>
    </row>
    <row r="35" spans="1:17">
      <c r="A35" s="624"/>
      <c r="B35" s="78"/>
      <c r="C35" s="144"/>
      <c r="D35" s="144"/>
      <c r="E35" s="144"/>
      <c r="F35" s="77"/>
      <c r="G35" s="77"/>
      <c r="H35" s="77"/>
      <c r="I35" s="77"/>
      <c r="J35" s="77"/>
      <c r="K35" s="77"/>
      <c r="L35" s="77"/>
      <c r="M35" s="77"/>
      <c r="N35" s="77"/>
      <c r="O35" s="77"/>
      <c r="P35" s="77"/>
      <c r="Q35" s="77"/>
    </row>
    <row r="36" spans="1:17">
      <c r="A36" s="624"/>
      <c r="B36" s="78"/>
      <c r="C36" s="144"/>
      <c r="D36" s="144"/>
      <c r="E36" s="144"/>
      <c r="F36" s="77"/>
      <c r="G36" s="77"/>
      <c r="H36" s="77"/>
      <c r="I36" s="77"/>
      <c r="J36" s="77"/>
      <c r="K36" s="77"/>
      <c r="L36" s="77"/>
      <c r="M36" s="77"/>
      <c r="N36" s="77"/>
      <c r="O36" s="77"/>
      <c r="P36" s="77"/>
      <c r="Q36" s="77"/>
    </row>
    <row r="37" spans="1:17">
      <c r="A37" s="624"/>
      <c r="B37" s="78"/>
      <c r="C37" s="144"/>
      <c r="D37" s="144"/>
      <c r="E37" s="144"/>
      <c r="F37" s="77"/>
      <c r="G37" s="77"/>
      <c r="H37" s="77"/>
      <c r="I37" s="77"/>
      <c r="J37" s="77"/>
      <c r="K37" s="77"/>
      <c r="L37" s="77"/>
      <c r="M37" s="77"/>
      <c r="N37" s="77"/>
      <c r="O37" s="77"/>
      <c r="P37" s="77"/>
      <c r="Q37" s="77"/>
    </row>
    <row r="38" spans="1:17">
      <c r="A38" s="624"/>
      <c r="B38" s="78"/>
      <c r="C38" s="144"/>
      <c r="D38" s="144"/>
      <c r="E38" s="144"/>
      <c r="F38" s="77"/>
      <c r="G38" s="77"/>
      <c r="H38" s="77"/>
      <c r="I38" s="77"/>
      <c r="J38" s="77"/>
      <c r="K38" s="77"/>
      <c r="L38" s="77"/>
      <c r="M38" s="77"/>
      <c r="N38" s="77"/>
      <c r="O38" s="77"/>
      <c r="P38" s="77"/>
      <c r="Q38" s="77"/>
    </row>
    <row r="39" spans="1:17">
      <c r="A39" s="624"/>
      <c r="B39" s="78"/>
      <c r="C39" s="144"/>
      <c r="D39" s="144"/>
      <c r="E39" s="144"/>
      <c r="F39" s="77"/>
      <c r="G39" s="77"/>
      <c r="H39" s="77"/>
      <c r="I39" s="77"/>
      <c r="J39" s="77"/>
      <c r="K39" s="77"/>
      <c r="L39" s="77"/>
      <c r="M39" s="77"/>
      <c r="N39" s="77"/>
      <c r="O39" s="77"/>
      <c r="P39" s="77"/>
      <c r="Q39" s="77"/>
    </row>
    <row r="40" spans="1:17">
      <c r="A40" s="624"/>
      <c r="B40" s="78"/>
      <c r="C40" s="144"/>
      <c r="D40" s="144"/>
      <c r="E40" s="144"/>
      <c r="F40" s="77"/>
      <c r="G40" s="77"/>
      <c r="H40" s="77"/>
      <c r="I40" s="77"/>
      <c r="J40" s="77"/>
      <c r="K40" s="77"/>
      <c r="L40" s="77"/>
      <c r="M40" s="77"/>
      <c r="N40" s="77"/>
      <c r="O40" s="77"/>
      <c r="P40" s="77"/>
      <c r="Q40" s="77"/>
    </row>
    <row r="41" spans="1:17">
      <c r="A41" s="624"/>
      <c r="B41" s="78"/>
      <c r="C41" s="144"/>
      <c r="D41" s="144"/>
      <c r="E41" s="144"/>
      <c r="F41" s="77"/>
      <c r="G41" s="77"/>
      <c r="H41" s="77"/>
      <c r="I41" s="77"/>
      <c r="J41" s="77"/>
      <c r="K41" s="77"/>
      <c r="L41" s="77"/>
      <c r="M41" s="77"/>
      <c r="N41" s="77"/>
      <c r="O41" s="77"/>
      <c r="P41" s="77"/>
      <c r="Q41" s="77"/>
    </row>
    <row r="42" spans="1:17">
      <c r="A42" s="624"/>
      <c r="B42" s="78"/>
      <c r="C42" s="144"/>
      <c r="D42" s="144"/>
      <c r="E42" s="144"/>
      <c r="F42" s="77"/>
      <c r="G42" s="77"/>
      <c r="H42" s="77"/>
      <c r="I42" s="77"/>
      <c r="J42" s="77"/>
      <c r="K42" s="77"/>
      <c r="L42" s="77"/>
      <c r="M42" s="77"/>
      <c r="N42" s="77"/>
      <c r="O42" s="77"/>
      <c r="P42" s="77"/>
      <c r="Q42" s="77"/>
    </row>
    <row r="43" spans="1:17">
      <c r="A43" s="624"/>
      <c r="B43" s="78"/>
      <c r="C43" s="144"/>
      <c r="D43" s="144"/>
      <c r="E43" s="144"/>
      <c r="F43" s="77"/>
      <c r="G43" s="77"/>
      <c r="H43" s="77"/>
      <c r="I43" s="77"/>
      <c r="J43" s="77"/>
      <c r="K43" s="77"/>
      <c r="L43" s="77"/>
      <c r="M43" s="77"/>
      <c r="N43" s="77"/>
      <c r="O43" s="77"/>
      <c r="P43" s="77"/>
      <c r="Q43" s="77"/>
    </row>
    <row r="44" spans="1:17">
      <c r="A44" s="624"/>
      <c r="B44" s="78"/>
      <c r="C44" s="144"/>
      <c r="D44" s="144"/>
      <c r="E44" s="144"/>
      <c r="F44" s="77"/>
      <c r="G44" s="77"/>
      <c r="H44" s="77"/>
      <c r="I44" s="77"/>
      <c r="J44" s="77"/>
      <c r="K44" s="77"/>
      <c r="L44" s="77"/>
      <c r="M44" s="77"/>
      <c r="N44" s="77"/>
      <c r="O44" s="77"/>
      <c r="P44" s="77"/>
      <c r="Q44" s="77"/>
    </row>
    <row r="45" spans="1:17">
      <c r="A45" s="624"/>
      <c r="B45" s="78"/>
      <c r="C45" s="144"/>
      <c r="D45" s="144"/>
      <c r="E45" s="144"/>
      <c r="F45" s="77"/>
      <c r="G45" s="77"/>
      <c r="H45" s="77"/>
      <c r="I45" s="77"/>
      <c r="J45" s="77"/>
      <c r="K45" s="77"/>
      <c r="L45" s="77"/>
      <c r="M45" s="77"/>
      <c r="N45" s="77"/>
      <c r="O45" s="77"/>
      <c r="P45" s="77"/>
      <c r="Q45" s="77"/>
    </row>
    <row r="46" spans="1:17">
      <c r="A46" s="624"/>
      <c r="B46" s="78"/>
      <c r="C46" s="144"/>
      <c r="D46" s="144"/>
      <c r="E46" s="144"/>
      <c r="F46" s="77"/>
      <c r="G46" s="77"/>
      <c r="H46" s="77"/>
      <c r="I46" s="77"/>
      <c r="J46" s="77"/>
      <c r="K46" s="77"/>
      <c r="L46" s="77"/>
      <c r="M46" s="77"/>
      <c r="N46" s="77"/>
      <c r="O46" s="77"/>
      <c r="P46" s="77"/>
      <c r="Q46" s="77"/>
    </row>
    <row r="47" spans="1:17">
      <c r="A47" s="62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499</v>
      </c>
      <c r="B1" s="91" t="s">
        <v>30</v>
      </c>
      <c r="C1" s="514"/>
      <c r="D1" s="59" t="s">
        <v>149</v>
      </c>
      <c r="E1" s="59" t="s">
        <v>31</v>
      </c>
      <c r="F1" s="8" t="s">
        <v>159</v>
      </c>
      <c r="G1" s="32" t="s">
        <v>48</v>
      </c>
      <c r="H1" s="35" t="s">
        <v>31</v>
      </c>
      <c r="I1" s="176" t="s">
        <v>55</v>
      </c>
      <c r="J1" s="35" t="s">
        <v>51</v>
      </c>
      <c r="K1" s="35" t="s">
        <v>500</v>
      </c>
      <c r="L1" t="s">
        <v>20</v>
      </c>
      <c r="M1" s="29" t="s">
        <v>22</v>
      </c>
      <c r="N1" t="s">
        <v>21</v>
      </c>
      <c r="O1" t="s">
        <v>23</v>
      </c>
      <c r="P1" t="s">
        <v>24</v>
      </c>
      <c r="Q1" s="175" t="s">
        <v>195</v>
      </c>
      <c r="R1" s="175" t="s">
        <v>194</v>
      </c>
      <c r="S1" s="175" t="s">
        <v>196</v>
      </c>
    </row>
    <row r="2" spans="1:19">
      <c r="A2" s="4">
        <v>1</v>
      </c>
      <c r="B2" s="91">
        <f>IF(Match!B2="","",Match!B2)</f>
        <v>44967</v>
      </c>
      <c r="C2" s="514">
        <f>IF(B2="","",WEEKDAY(B2))</f>
        <v>6</v>
      </c>
      <c r="D2" s="60" t="str">
        <f>IF(Match!D2="","",Match!D2)</f>
        <v>Premier</v>
      </c>
      <c r="E2" s="59" t="str">
        <f>IF(Match!U2="","",Match!U2)</f>
        <v>Birmingham  v  West Brom   13/5  9/4  21/20</v>
      </c>
      <c r="F2" s="59" t="str">
        <f>IF(Match!V2="","",Match!V2)</f>
        <v xml:space="preserve">Birmingham 2-0 West Brom </v>
      </c>
      <c r="G2" s="33" t="str">
        <f t="shared" ref="G2:G32" si="0">IF(E2="","",L2)</f>
        <v>Birmingham</v>
      </c>
      <c r="H2" s="34" t="str">
        <f t="shared" ref="H2:H45" si="1">IF(E2="","",M2)</f>
        <v>13/5</v>
      </c>
      <c r="I2" s="177">
        <f>IF(E2="","",Q2)</f>
        <v>3.6</v>
      </c>
      <c r="J2" s="34">
        <f>INDEX(Picks!T:T,MATCH(G2,Picks!R:R,0))</f>
        <v>1</v>
      </c>
      <c r="K2" s="34">
        <f>IF(INDEX(Match!P:P,MATCH(A2,Match!A:A,0))="OFF",0,1)</f>
        <v>1</v>
      </c>
      <c r="L2" t="str">
        <f>INDEX(Match!Q:Q,MATCH(E2,Match!U:U,0))</f>
        <v>Birmingham</v>
      </c>
      <c r="M2" t="str">
        <f>INDEX(Match!X:X,MATCH(E2,Match!U:U,0))</f>
        <v>13/5</v>
      </c>
      <c r="N2" t="str">
        <f>INDEX(Match!R:R,MATCH(E2,Match!U:U,0))</f>
        <v>West Brom</v>
      </c>
      <c r="O2" t="str">
        <f>INDEX(Match!Y:Y,MATCH(E2,Match!U:U,0))</f>
        <v>9/4</v>
      </c>
      <c r="P2" t="str">
        <f>INDEX(Match!Z:Z,MATCH(E2,Match!U:U,0))</f>
        <v>21/20</v>
      </c>
      <c r="Q2" s="174">
        <f>INDEX(Match!AA:AA,MATCH(E2,Match!U:U,0))</f>
        <v>3.6</v>
      </c>
      <c r="R2" s="174">
        <f>INDEX(Match!AB:AB,MATCH(E2,Match!U:U,0))</f>
        <v>3.25</v>
      </c>
      <c r="S2" s="174">
        <f>INDEX(Match!AC:AC,MATCH(E2,Match!U:U,0))</f>
        <v>2.0499999999999998</v>
      </c>
    </row>
    <row r="3" spans="1:19">
      <c r="A3" s="4">
        <v>2</v>
      </c>
      <c r="B3" s="91">
        <f>IF(Match!B3="","",Match!B3)</f>
        <v>44968</v>
      </c>
      <c r="C3" s="514">
        <f t="shared" ref="C3:C66" si="2">IF(B3="","",WEEKDAY(B3))</f>
        <v>7</v>
      </c>
      <c r="D3" s="60" t="str">
        <f>IF(Match!D3="","",Match!D3)</f>
        <v>Premier</v>
      </c>
      <c r="E3" s="59" t="str">
        <f>IF(Match!U3="","",Match!U3)</f>
        <v>Arsenal  v  Brentford   4/11  15/4  15/2</v>
      </c>
      <c r="F3" s="59" t="str">
        <f>IF(Match!V3="","",Match!V3)</f>
        <v xml:space="preserve">Arsenal 1-1 Brentford </v>
      </c>
      <c r="G3" s="33" t="str">
        <f t="shared" si="0"/>
        <v>Arsenal</v>
      </c>
      <c r="H3" s="34" t="str">
        <f t="shared" si="1"/>
        <v>4/11</v>
      </c>
      <c r="I3" s="177">
        <f t="shared" ref="I3:I47" si="3">IF(E3="","",Q3)</f>
        <v>1.3636363636363638</v>
      </c>
      <c r="J3" s="34">
        <f>INDEX(Picks!T:T,MATCH(G3,Picks!R:R,0))</f>
        <v>0</v>
      </c>
      <c r="K3" s="34">
        <f>IF(INDEX(Match!P:P,MATCH(A3,Match!A:A,0))="OFF",0,1)</f>
        <v>1</v>
      </c>
      <c r="L3" t="str">
        <f>INDEX(Match!Q:Q,MATCH(E3,Match!U:U,0))</f>
        <v>Arsenal</v>
      </c>
      <c r="M3" t="str">
        <f>INDEX(Match!X:X,MATCH(E3,Match!U:U,0))</f>
        <v>4/11</v>
      </c>
      <c r="N3" t="str">
        <f>INDEX(Match!R:R,MATCH(E3,Match!U:U,0))</f>
        <v>Brentford</v>
      </c>
      <c r="O3" t="str">
        <f>INDEX(Match!Y:Y,MATCH(E3,Match!U:U,0))</f>
        <v>15/4</v>
      </c>
      <c r="P3" t="str">
        <f>INDEX(Match!Z:Z,MATCH(E3,Match!U:U,0))</f>
        <v>15/2</v>
      </c>
      <c r="Q3" s="174">
        <f>INDEX(Match!AA:AA,MATCH(E3,Match!U:U,0))</f>
        <v>1.3636363636363638</v>
      </c>
      <c r="R3" s="174">
        <f>INDEX(Match!AB:AB,MATCH(E3,Match!U:U,0))</f>
        <v>4.75</v>
      </c>
      <c r="S3" s="174">
        <f>INDEX(Match!AC:AC,MATCH(E3,Match!U:U,0))</f>
        <v>8.5</v>
      </c>
    </row>
    <row r="4" spans="1:19">
      <c r="A4" s="4">
        <v>3</v>
      </c>
      <c r="B4" s="91">
        <f>IF(Match!B4="","",Match!B4)</f>
        <v>44968</v>
      </c>
      <c r="C4" s="514">
        <f t="shared" si="2"/>
        <v>7</v>
      </c>
      <c r="D4" s="60" t="str">
        <f>IF(Match!D4="","",Match!D4)</f>
        <v>Premier</v>
      </c>
      <c r="E4" s="59" t="str">
        <f>IF(Match!U4="","",Match!U4)</f>
        <v>Bournemouth  v  Newcastle   6/1  3/1  1/2</v>
      </c>
      <c r="F4" s="59" t="str">
        <f>IF(Match!V4="","",Match!V4)</f>
        <v xml:space="preserve">Bournemouth 1-1 Newcastle </v>
      </c>
      <c r="G4" s="33" t="str">
        <f t="shared" si="0"/>
        <v>Bournemouth</v>
      </c>
      <c r="H4" s="34" t="str">
        <f t="shared" si="1"/>
        <v>6/1</v>
      </c>
      <c r="I4" s="177">
        <f t="shared" si="3"/>
        <v>7</v>
      </c>
      <c r="J4" s="34">
        <f>INDEX(Picks!T:T,MATCH(G4,Picks!R:R,0))</f>
        <v>0</v>
      </c>
      <c r="K4" s="34">
        <f>IF(INDEX(Match!P:P,MATCH(A4,Match!A:A,0))="OFF",0,1)</f>
        <v>1</v>
      </c>
      <c r="L4" t="str">
        <f>INDEX(Match!Q:Q,MATCH(E4,Match!U:U,0))</f>
        <v>Bournemouth</v>
      </c>
      <c r="M4" t="str">
        <f>INDEX(Match!X:X,MATCH(E4,Match!U:U,0))</f>
        <v>6/1</v>
      </c>
      <c r="N4" t="str">
        <f>INDEX(Match!R:R,MATCH(E4,Match!U:U,0))</f>
        <v>Newcastle</v>
      </c>
      <c r="O4" t="str">
        <f>INDEX(Match!Y:Y,MATCH(E4,Match!U:U,0))</f>
        <v>3/1</v>
      </c>
      <c r="P4" t="str">
        <f>INDEX(Match!Z:Z,MATCH(E4,Match!U:U,0))</f>
        <v>1/2</v>
      </c>
      <c r="Q4" s="174">
        <f>INDEX(Match!AA:AA,MATCH(E4,Match!U:U,0))</f>
        <v>7</v>
      </c>
      <c r="R4" s="174">
        <f>INDEX(Match!AB:AB,MATCH(E4,Match!U:U,0))</f>
        <v>4</v>
      </c>
      <c r="S4" s="174">
        <f>INDEX(Match!AC:AC,MATCH(E4,Match!U:U,0))</f>
        <v>1.5</v>
      </c>
    </row>
    <row r="5" spans="1:19">
      <c r="A5" s="4">
        <v>4</v>
      </c>
      <c r="B5" s="91">
        <f>IF(Match!B5="","",Match!B5)</f>
        <v>44968</v>
      </c>
      <c r="C5" s="514">
        <f t="shared" si="2"/>
        <v>7</v>
      </c>
      <c r="D5" s="60" t="str">
        <f>IF(Match!D5="","",Match!D5)</f>
        <v>Premier</v>
      </c>
      <c r="E5" s="59" t="str">
        <f>IF(Match!U5="","",Match!U5)</f>
        <v>Fulham  v  Forest   19/20  12/5  29/10</v>
      </c>
      <c r="F5" s="59" t="str">
        <f>IF(Match!V5="","",Match!V5)</f>
        <v xml:space="preserve">Fulham 2-0 Forest </v>
      </c>
      <c r="G5" s="33" t="str">
        <f t="shared" si="0"/>
        <v>Fulham</v>
      </c>
      <c r="H5" s="34" t="str">
        <f t="shared" si="1"/>
        <v>19/20</v>
      </c>
      <c r="I5" s="177">
        <f t="shared" si="3"/>
        <v>1.95</v>
      </c>
      <c r="J5" s="34">
        <f>INDEX(Picks!T:T,MATCH(G5,Picks!R:R,0))</f>
        <v>1</v>
      </c>
      <c r="K5" s="34">
        <f>IF(INDEX(Match!P:P,MATCH(A5,Match!A:A,0))="OFF",0,1)</f>
        <v>1</v>
      </c>
      <c r="L5" t="str">
        <f>INDEX(Match!Q:Q,MATCH(E5,Match!U:U,0))</f>
        <v>Fulham</v>
      </c>
      <c r="M5" t="str">
        <f>INDEX(Match!X:X,MATCH(E5,Match!U:U,0))</f>
        <v>19/20</v>
      </c>
      <c r="N5" t="str">
        <f>INDEX(Match!R:R,MATCH(E5,Match!U:U,0))</f>
        <v>Forest</v>
      </c>
      <c r="O5" t="str">
        <f>INDEX(Match!Y:Y,MATCH(E5,Match!U:U,0))</f>
        <v>12/5</v>
      </c>
      <c r="P5" t="str">
        <f>INDEX(Match!Z:Z,MATCH(E5,Match!U:U,0))</f>
        <v>29/10</v>
      </c>
      <c r="Q5" s="174">
        <f>INDEX(Match!AA:AA,MATCH(E5,Match!U:U,0))</f>
        <v>1.95</v>
      </c>
      <c r="R5" s="174">
        <f>INDEX(Match!AB:AB,MATCH(E5,Match!U:U,0))</f>
        <v>3.4</v>
      </c>
      <c r="S5" s="174">
        <f>INDEX(Match!AC:AC,MATCH(E5,Match!U:U,0))</f>
        <v>3.9</v>
      </c>
    </row>
    <row r="6" spans="1:19">
      <c r="A6" s="4">
        <v>5</v>
      </c>
      <c r="B6" s="91">
        <f>IF(Match!B6="","",Match!B6)</f>
        <v>44968</v>
      </c>
      <c r="C6" s="514">
        <f t="shared" si="2"/>
        <v>7</v>
      </c>
      <c r="D6" s="60" t="str">
        <f>IF(Match!D6="","",Match!D6)</f>
        <v>Premier</v>
      </c>
      <c r="E6" s="59" t="str">
        <f>IF(Match!U6="","",Match!U6)</f>
        <v>Leicester  v  Spurs   12/5  13/5  21/20</v>
      </c>
      <c r="F6" s="59" t="str">
        <f>IF(Match!V6="","",Match!V6)</f>
        <v xml:space="preserve">Leicester 4-1 Spurs </v>
      </c>
      <c r="G6" s="33" t="str">
        <f t="shared" si="0"/>
        <v>Leicester</v>
      </c>
      <c r="H6" s="34" t="str">
        <f t="shared" si="1"/>
        <v>12/5</v>
      </c>
      <c r="I6" s="177">
        <f t="shared" si="3"/>
        <v>3.4</v>
      </c>
      <c r="J6" s="34">
        <f>INDEX(Picks!T:T,MATCH(G6,Picks!R:R,0))</f>
        <v>1</v>
      </c>
      <c r="K6" s="34">
        <f>IF(INDEX(Match!P:P,MATCH(A6,Match!A:A,0))="OFF",0,1)</f>
        <v>1</v>
      </c>
      <c r="L6" t="str">
        <f>INDEX(Match!Q:Q,MATCH(E6,Match!U:U,0))</f>
        <v>Leicester</v>
      </c>
      <c r="M6" t="str">
        <f>INDEX(Match!X:X,MATCH(E6,Match!U:U,0))</f>
        <v>12/5</v>
      </c>
      <c r="N6" t="str">
        <f>INDEX(Match!R:R,MATCH(E6,Match!U:U,0))</f>
        <v>Spurs</v>
      </c>
      <c r="O6" t="str">
        <f>INDEX(Match!Y:Y,MATCH(E6,Match!U:U,0))</f>
        <v>13/5</v>
      </c>
      <c r="P6" t="str">
        <f>INDEX(Match!Z:Z,MATCH(E6,Match!U:U,0))</f>
        <v>21/20</v>
      </c>
      <c r="Q6" s="174">
        <f>INDEX(Match!AA:AA,MATCH(E6,Match!U:U,0))</f>
        <v>3.4</v>
      </c>
      <c r="R6" s="174">
        <f>INDEX(Match!AB:AB,MATCH(E6,Match!U:U,0))</f>
        <v>3.6</v>
      </c>
      <c r="S6" s="174">
        <f>INDEX(Match!AC:AC,MATCH(E6,Match!U:U,0))</f>
        <v>2.0499999999999998</v>
      </c>
    </row>
    <row r="7" spans="1:19">
      <c r="A7" s="4">
        <v>6</v>
      </c>
      <c r="B7" s="91">
        <f>IF(Match!B7="","",Match!B7)</f>
        <v>44968</v>
      </c>
      <c r="C7" s="514">
        <f t="shared" si="2"/>
        <v>7</v>
      </c>
      <c r="D7" s="60" t="str">
        <f>IF(Match!D7="","",Match!D7)</f>
        <v>Premier</v>
      </c>
      <c r="E7" s="59" t="str">
        <f>IF(Match!U7="","",Match!U7)</f>
        <v>Palace  v  Brighton   13/5  23/10  11/10</v>
      </c>
      <c r="F7" s="59" t="str">
        <f>IF(Match!V7="","",Match!V7)</f>
        <v xml:space="preserve">Palace 1-1 Brighton </v>
      </c>
      <c r="G7" s="33" t="str">
        <f t="shared" si="0"/>
        <v>Palace</v>
      </c>
      <c r="H7" s="34" t="str">
        <f t="shared" si="1"/>
        <v>13/5</v>
      </c>
      <c r="I7" s="177">
        <f t="shared" si="3"/>
        <v>3.6</v>
      </c>
      <c r="J7" s="34">
        <f>INDEX(Picks!T:T,MATCH(G7,Picks!R:R,0))</f>
        <v>0</v>
      </c>
      <c r="K7" s="34">
        <f>IF(INDEX(Match!P:P,MATCH(A7,Match!A:A,0))="OFF",0,1)</f>
        <v>1</v>
      </c>
      <c r="L7" t="str">
        <f>INDEX(Match!Q:Q,MATCH(E7,Match!U:U,0))</f>
        <v>Palace</v>
      </c>
      <c r="M7" t="str">
        <f>INDEX(Match!X:X,MATCH(E7,Match!U:U,0))</f>
        <v>13/5</v>
      </c>
      <c r="N7" t="str">
        <f>INDEX(Match!R:R,MATCH(E7,Match!U:U,0))</f>
        <v>Brighton</v>
      </c>
      <c r="O7" t="str">
        <f>INDEX(Match!Y:Y,MATCH(E7,Match!U:U,0))</f>
        <v>23/10</v>
      </c>
      <c r="P7" t="str">
        <f>INDEX(Match!Z:Z,MATCH(E7,Match!U:U,0))</f>
        <v>11/10</v>
      </c>
      <c r="Q7" s="174">
        <f>INDEX(Match!AA:AA,MATCH(E7,Match!U:U,0))</f>
        <v>3.6</v>
      </c>
      <c r="R7" s="174">
        <f>INDEX(Match!AB:AB,MATCH(E7,Match!U:U,0))</f>
        <v>3.3</v>
      </c>
      <c r="S7" s="174">
        <f>INDEX(Match!AC:AC,MATCH(E7,Match!U:U,0))</f>
        <v>2.1</v>
      </c>
    </row>
    <row r="8" spans="1:19">
      <c r="A8" s="4">
        <v>7</v>
      </c>
      <c r="B8" s="91">
        <f>IF(Match!B8="","",Match!B8)</f>
        <v>44968</v>
      </c>
      <c r="C8" s="514">
        <f t="shared" si="2"/>
        <v>7</v>
      </c>
      <c r="D8" s="60" t="str">
        <f>IF(Match!D8="","",Match!D8)</f>
        <v>Premier</v>
      </c>
      <c r="E8" s="59" t="str">
        <f>IF(Match!U8="","",Match!U8)</f>
        <v>Southampton  v  Wolves   9/5  21/10  13/8</v>
      </c>
      <c r="F8" s="59" t="str">
        <f>IF(Match!V8="","",Match!V8)</f>
        <v xml:space="preserve">Southampton 1-2 Wolves </v>
      </c>
      <c r="G8" s="33" t="str">
        <f t="shared" si="0"/>
        <v>Southampton</v>
      </c>
      <c r="H8" s="34" t="str">
        <f t="shared" si="1"/>
        <v>9/5</v>
      </c>
      <c r="I8" s="177">
        <f t="shared" si="3"/>
        <v>2.8</v>
      </c>
      <c r="J8" s="34">
        <f>INDEX(Picks!T:T,MATCH(G8,Picks!R:R,0))</f>
        <v>0</v>
      </c>
      <c r="K8" s="34">
        <f>IF(INDEX(Match!P:P,MATCH(A8,Match!A:A,0))="OFF",0,1)</f>
        <v>1</v>
      </c>
      <c r="L8" t="str">
        <f>INDEX(Match!Q:Q,MATCH(E8,Match!U:U,0))</f>
        <v>Southampton</v>
      </c>
      <c r="M8" t="str">
        <f>INDEX(Match!X:X,MATCH(E8,Match!U:U,0))</f>
        <v>9/5</v>
      </c>
      <c r="N8" t="str">
        <f>INDEX(Match!R:R,MATCH(E8,Match!U:U,0))</f>
        <v>Wolves</v>
      </c>
      <c r="O8" t="str">
        <f>INDEX(Match!Y:Y,MATCH(E8,Match!U:U,0))</f>
        <v>21/10</v>
      </c>
      <c r="P8" t="str">
        <f>INDEX(Match!Z:Z,MATCH(E8,Match!U:U,0))</f>
        <v>13/8</v>
      </c>
      <c r="Q8" s="174">
        <f>INDEX(Match!AA:AA,MATCH(E8,Match!U:U,0))</f>
        <v>2.8</v>
      </c>
      <c r="R8" s="174">
        <f>INDEX(Match!AB:AB,MATCH(E8,Match!U:U,0))</f>
        <v>3.1</v>
      </c>
      <c r="S8" s="174">
        <f>INDEX(Match!AC:AC,MATCH(E8,Match!U:U,0))</f>
        <v>2.625</v>
      </c>
    </row>
    <row r="9" spans="1:19">
      <c r="A9" s="4">
        <v>8</v>
      </c>
      <c r="B9" s="91">
        <f>IF(Match!B9="","",Match!B9)</f>
        <v>44968</v>
      </c>
      <c r="C9" s="514">
        <f t="shared" si="2"/>
        <v>7</v>
      </c>
      <c r="D9" s="60" t="str">
        <f>IF(Match!D9="","",Match!D9)</f>
        <v>Premier</v>
      </c>
      <c r="E9" s="59" t="str">
        <f>IF(Match!U9="","",Match!U9)</f>
        <v>West Ham  v  Chelsea   23/10  11/5  5/4</v>
      </c>
      <c r="F9" s="59" t="str">
        <f>IF(Match!V9="","",Match!V9)</f>
        <v xml:space="preserve">West Ham 1-1 Chelsea </v>
      </c>
      <c r="G9" s="33" t="str">
        <f t="shared" si="0"/>
        <v>West Ham</v>
      </c>
      <c r="H9" s="34" t="str">
        <f t="shared" si="1"/>
        <v>23/10</v>
      </c>
      <c r="I9" s="177">
        <f t="shared" si="3"/>
        <v>3.3</v>
      </c>
      <c r="J9" s="34">
        <f>INDEX(Picks!T:T,MATCH(G9,Picks!R:R,0))</f>
        <v>0</v>
      </c>
      <c r="K9" s="34">
        <f>IF(INDEX(Match!P:P,MATCH(A9,Match!A:A,0))="OFF",0,1)</f>
        <v>1</v>
      </c>
      <c r="L9" t="str">
        <f>INDEX(Match!Q:Q,MATCH(E9,Match!U:U,0))</f>
        <v>West Ham</v>
      </c>
      <c r="M9" t="str">
        <f>INDEX(Match!X:X,MATCH(E9,Match!U:U,0))</f>
        <v>23/10</v>
      </c>
      <c r="N9" t="str">
        <f>INDEX(Match!R:R,MATCH(E9,Match!U:U,0))</f>
        <v>Chelsea</v>
      </c>
      <c r="O9" t="str">
        <f>INDEX(Match!Y:Y,MATCH(E9,Match!U:U,0))</f>
        <v>11/5</v>
      </c>
      <c r="P9" t="str">
        <f>INDEX(Match!Z:Z,MATCH(E9,Match!U:U,0))</f>
        <v>5/4</v>
      </c>
      <c r="Q9" s="174">
        <f>INDEX(Match!AA:AA,MATCH(E9,Match!U:U,0))</f>
        <v>3.3</v>
      </c>
      <c r="R9" s="174">
        <f>INDEX(Match!AB:AB,MATCH(E9,Match!U:U,0))</f>
        <v>3.2</v>
      </c>
      <c r="S9" s="174">
        <f>INDEX(Match!AC:AC,MATCH(E9,Match!U:U,0))</f>
        <v>2.25</v>
      </c>
    </row>
    <row r="10" spans="1:19">
      <c r="A10" s="4">
        <v>9</v>
      </c>
      <c r="B10" s="91">
        <f>IF(Match!B10="","",Match!B10)</f>
        <v>44968</v>
      </c>
      <c r="C10" s="514">
        <f t="shared" si="2"/>
        <v>7</v>
      </c>
      <c r="D10" s="60" t="str">
        <f>IF(Match!D10="","",Match!D10)</f>
        <v>Champ</v>
      </c>
      <c r="E10" s="59" t="str">
        <f>IF(Match!U10="","",Match!U10)</f>
        <v>Blackpool  v  Rotherham   23/20  11/5  12/5</v>
      </c>
      <c r="F10" s="59" t="str">
        <f>IF(Match!V10="","",Match!V10)</f>
        <v xml:space="preserve">Blackpool 0-0 Rotherham </v>
      </c>
      <c r="G10" s="33" t="str">
        <f t="shared" si="0"/>
        <v>Blackpool</v>
      </c>
      <c r="H10" s="34" t="str">
        <f t="shared" si="1"/>
        <v>23/20</v>
      </c>
      <c r="I10" s="177">
        <f t="shared" si="3"/>
        <v>2.15</v>
      </c>
      <c r="J10" s="34">
        <f>INDEX(Picks!T:T,MATCH(G10,Picks!R:R,0))</f>
        <v>0</v>
      </c>
      <c r="K10" s="34">
        <f>IF(INDEX(Match!P:P,MATCH(A10,Match!A:A,0))="OFF",0,1)</f>
        <v>1</v>
      </c>
      <c r="L10" t="str">
        <f>INDEX(Match!Q:Q,MATCH(E10,Match!U:U,0))</f>
        <v>Blackpool</v>
      </c>
      <c r="M10" t="str">
        <f>INDEX(Match!X:X,MATCH(E10,Match!U:U,0))</f>
        <v>23/20</v>
      </c>
      <c r="N10" t="str">
        <f>INDEX(Match!R:R,MATCH(E10,Match!U:U,0))</f>
        <v>Rotherham</v>
      </c>
      <c r="O10" t="str">
        <f>INDEX(Match!Y:Y,MATCH(E10,Match!U:U,0))</f>
        <v>11/5</v>
      </c>
      <c r="P10" t="str">
        <f>INDEX(Match!Z:Z,MATCH(E10,Match!U:U,0))</f>
        <v>12/5</v>
      </c>
      <c r="Q10" s="174">
        <f>INDEX(Match!AA:AA,MATCH(E10,Match!U:U,0))</f>
        <v>2.15</v>
      </c>
      <c r="R10" s="174">
        <f>INDEX(Match!AB:AB,MATCH(E10,Match!U:U,0))</f>
        <v>3.2</v>
      </c>
      <c r="S10" s="174">
        <f>INDEX(Match!AC:AC,MATCH(E10,Match!U:U,0))</f>
        <v>3.4</v>
      </c>
    </row>
    <row r="11" spans="1:19">
      <c r="A11" s="4">
        <v>10</v>
      </c>
      <c r="B11" s="91">
        <f>IF(Match!B11="","",Match!B11)</f>
        <v>44968</v>
      </c>
      <c r="C11" s="514">
        <f t="shared" si="2"/>
        <v>7</v>
      </c>
      <c r="D11" s="60" t="str">
        <f>IF(Match!D11="","",Match!D11)</f>
        <v>Champ</v>
      </c>
      <c r="E11" s="59" t="str">
        <f>IF(Match!U11="","",Match!U11)</f>
        <v>Bristol C  v  Norwich   2/1  23/10  13/10</v>
      </c>
      <c r="F11" s="59" t="str">
        <f>IF(Match!V11="","",Match!V11)</f>
        <v xml:space="preserve">Bristol C 1-0 Norwich </v>
      </c>
      <c r="G11" s="33" t="str">
        <f t="shared" si="0"/>
        <v>Bristol C</v>
      </c>
      <c r="H11" s="34" t="str">
        <f t="shared" si="1"/>
        <v>2/1</v>
      </c>
      <c r="I11" s="177">
        <f t="shared" si="3"/>
        <v>3</v>
      </c>
      <c r="J11" s="34">
        <f>INDEX(Picks!T:T,MATCH(G11,Picks!R:R,0))</f>
        <v>1</v>
      </c>
      <c r="K11" s="34">
        <f>IF(INDEX(Match!P:P,MATCH(A11,Match!A:A,0))="OFF",0,1)</f>
        <v>1</v>
      </c>
      <c r="L11" t="str">
        <f>INDEX(Match!Q:Q,MATCH(E11,Match!U:U,0))</f>
        <v>Bristol C</v>
      </c>
      <c r="M11" t="str">
        <f>INDEX(Match!X:X,MATCH(E11,Match!U:U,0))</f>
        <v>2/1</v>
      </c>
      <c r="N11" t="str">
        <f>INDEX(Match!R:R,MATCH(E11,Match!U:U,0))</f>
        <v>Norwich</v>
      </c>
      <c r="O11" t="str">
        <f>INDEX(Match!Y:Y,MATCH(E11,Match!U:U,0))</f>
        <v>23/10</v>
      </c>
      <c r="P11" t="str">
        <f>INDEX(Match!Z:Z,MATCH(E11,Match!U:U,0))</f>
        <v>13/10</v>
      </c>
      <c r="Q11" s="174">
        <f>INDEX(Match!AA:AA,MATCH(E11,Match!U:U,0))</f>
        <v>3</v>
      </c>
      <c r="R11" s="174">
        <f>INDEX(Match!AB:AB,MATCH(E11,Match!U:U,0))</f>
        <v>3.3</v>
      </c>
      <c r="S11" s="174">
        <f>INDEX(Match!AC:AC,MATCH(E11,Match!U:U,0))</f>
        <v>2.2999999999999998</v>
      </c>
    </row>
    <row r="12" spans="1:19">
      <c r="A12" s="4">
        <v>11</v>
      </c>
      <c r="B12" s="91">
        <f>IF(Match!B12="","",Match!B12)</f>
        <v>44968</v>
      </c>
      <c r="C12" s="514">
        <f t="shared" si="2"/>
        <v>7</v>
      </c>
      <c r="D12" s="60" t="str">
        <f>IF(Match!D12="","",Match!D12)</f>
        <v>Champ</v>
      </c>
      <c r="E12" s="59" t="str">
        <f>IF(Match!U12="","",Match!U12)</f>
        <v>Burnley  v  Preston   1/2  29/10  11/2</v>
      </c>
      <c r="F12" s="59" t="str">
        <f>IF(Match!V12="","",Match!V12)</f>
        <v xml:space="preserve">Burnley 3-0 Preston </v>
      </c>
      <c r="G12" s="33" t="str">
        <f t="shared" si="0"/>
        <v>Burnley</v>
      </c>
      <c r="H12" s="34" t="str">
        <f t="shared" si="1"/>
        <v>1/2</v>
      </c>
      <c r="I12" s="177">
        <f t="shared" si="3"/>
        <v>1.5</v>
      </c>
      <c r="J12" s="34">
        <f>INDEX(Picks!T:T,MATCH(G12,Picks!R:R,0))</f>
        <v>1</v>
      </c>
      <c r="K12" s="34">
        <f>IF(INDEX(Match!P:P,MATCH(A12,Match!A:A,0))="OFF",0,1)</f>
        <v>1</v>
      </c>
      <c r="L12" t="str">
        <f>INDEX(Match!Q:Q,MATCH(E12,Match!U:U,0))</f>
        <v>Burnley</v>
      </c>
      <c r="M12" t="str">
        <f>INDEX(Match!X:X,MATCH(E12,Match!U:U,0))</f>
        <v>1/2</v>
      </c>
      <c r="N12" t="str">
        <f>INDEX(Match!R:R,MATCH(E12,Match!U:U,0))</f>
        <v>Preston</v>
      </c>
      <c r="O12" t="str">
        <f>INDEX(Match!Y:Y,MATCH(E12,Match!U:U,0))</f>
        <v>29/10</v>
      </c>
      <c r="P12" t="str">
        <f>INDEX(Match!Z:Z,MATCH(E12,Match!U:U,0))</f>
        <v>11/2</v>
      </c>
      <c r="Q12" s="174">
        <f>INDEX(Match!AA:AA,MATCH(E12,Match!U:U,0))</f>
        <v>1.5</v>
      </c>
      <c r="R12" s="174">
        <f>INDEX(Match!AB:AB,MATCH(E12,Match!U:U,0))</f>
        <v>3.9</v>
      </c>
      <c r="S12" s="174">
        <f>INDEX(Match!AC:AC,MATCH(E12,Match!U:U,0))</f>
        <v>6.5</v>
      </c>
    </row>
    <row r="13" spans="1:19">
      <c r="A13" s="4">
        <v>12</v>
      </c>
      <c r="B13" s="91">
        <f>IF(Match!B13="","",Match!B13)</f>
        <v>44968</v>
      </c>
      <c r="C13" s="514">
        <f t="shared" si="2"/>
        <v>7</v>
      </c>
      <c r="D13" s="60" t="str">
        <f>IF(Match!D13="","",Match!D13)</f>
        <v>Champ</v>
      </c>
      <c r="E13" s="59" t="str">
        <f>IF(Match!U13="","",Match!U13)</f>
        <v>Cardiff  v  Middlesbro   12/5  9/4  23/20</v>
      </c>
      <c r="F13" s="59" t="str">
        <f>IF(Match!V13="","",Match!V13)</f>
        <v xml:space="preserve">Cardiff 1-3 Middlesbro </v>
      </c>
      <c r="G13" s="33" t="str">
        <f t="shared" si="0"/>
        <v>Cardiff</v>
      </c>
      <c r="H13" s="34" t="str">
        <f t="shared" si="1"/>
        <v>12/5</v>
      </c>
      <c r="I13" s="177">
        <f t="shared" si="3"/>
        <v>3.4</v>
      </c>
      <c r="J13" s="34">
        <f>INDEX(Picks!T:T,MATCH(G13,Picks!R:R,0))</f>
        <v>0</v>
      </c>
      <c r="K13" s="34">
        <f>IF(INDEX(Match!P:P,MATCH(A13,Match!A:A,0))="OFF",0,1)</f>
        <v>1</v>
      </c>
      <c r="L13" t="str">
        <f>INDEX(Match!Q:Q,MATCH(E13,Match!U:U,0))</f>
        <v>Cardiff</v>
      </c>
      <c r="M13" t="str">
        <f>INDEX(Match!X:X,MATCH(E13,Match!U:U,0))</f>
        <v>12/5</v>
      </c>
      <c r="N13" t="str">
        <f>INDEX(Match!R:R,MATCH(E13,Match!U:U,0))</f>
        <v>Middlesbro</v>
      </c>
      <c r="O13" t="str">
        <f>INDEX(Match!Y:Y,MATCH(E13,Match!U:U,0))</f>
        <v>9/4</v>
      </c>
      <c r="P13" t="str">
        <f>INDEX(Match!Z:Z,MATCH(E13,Match!U:U,0))</f>
        <v>23/20</v>
      </c>
      <c r="Q13" s="174">
        <f>INDEX(Match!AA:AA,MATCH(E13,Match!U:U,0))</f>
        <v>3.4</v>
      </c>
      <c r="R13" s="174">
        <f>INDEX(Match!AB:AB,MATCH(E13,Match!U:U,0))</f>
        <v>3.25</v>
      </c>
      <c r="S13" s="174">
        <f>INDEX(Match!AC:AC,MATCH(E13,Match!U:U,0))</f>
        <v>2.15</v>
      </c>
    </row>
    <row r="14" spans="1:19">
      <c r="A14" s="4">
        <v>13</v>
      </c>
      <c r="B14" s="91">
        <f>IF(Match!B14="","",Match!B14)</f>
        <v>44968</v>
      </c>
      <c r="C14" s="514">
        <f t="shared" si="2"/>
        <v>7</v>
      </c>
      <c r="D14" s="60" t="str">
        <f>IF(Match!D14="","",Match!D14)</f>
        <v>Champ</v>
      </c>
      <c r="E14" s="59" t="str">
        <f>IF(Match!U14="","",Match!U14)</f>
        <v>Coventry  v  Luton   6/5  11/5  9/4</v>
      </c>
      <c r="F14" s="59" t="str">
        <f>IF(Match!V14="","",Match!V14)</f>
        <v xml:space="preserve">Coventry 1-1 Luton </v>
      </c>
      <c r="G14" s="33" t="str">
        <f t="shared" si="0"/>
        <v>Coventry</v>
      </c>
      <c r="H14" s="34" t="str">
        <f t="shared" si="1"/>
        <v>6/5</v>
      </c>
      <c r="I14" s="177">
        <f t="shared" si="3"/>
        <v>2.2000000000000002</v>
      </c>
      <c r="J14" s="34">
        <f>INDEX(Picks!T:T,MATCH(G14,Picks!R:R,0))</f>
        <v>0</v>
      </c>
      <c r="K14" s="34">
        <f>IF(INDEX(Match!P:P,MATCH(A14,Match!A:A,0))="OFF",0,1)</f>
        <v>1</v>
      </c>
      <c r="L14" t="str">
        <f>INDEX(Match!Q:Q,MATCH(E14,Match!U:U,0))</f>
        <v>Coventry</v>
      </c>
      <c r="M14" t="str">
        <f>INDEX(Match!X:X,MATCH(E14,Match!U:U,0))</f>
        <v>6/5</v>
      </c>
      <c r="N14" t="str">
        <f>INDEX(Match!R:R,MATCH(E14,Match!U:U,0))</f>
        <v>Luton</v>
      </c>
      <c r="O14" t="str">
        <f>INDEX(Match!Y:Y,MATCH(E14,Match!U:U,0))</f>
        <v>11/5</v>
      </c>
      <c r="P14" t="str">
        <f>INDEX(Match!Z:Z,MATCH(E14,Match!U:U,0))</f>
        <v>9/4</v>
      </c>
      <c r="Q14" s="174">
        <f>INDEX(Match!AA:AA,MATCH(E14,Match!U:U,0))</f>
        <v>2.2000000000000002</v>
      </c>
      <c r="R14" s="174">
        <f>INDEX(Match!AB:AB,MATCH(E14,Match!U:U,0))</f>
        <v>3.2</v>
      </c>
      <c r="S14" s="174">
        <f>INDEX(Match!AC:AC,MATCH(E14,Match!U:U,0))</f>
        <v>3.25</v>
      </c>
    </row>
    <row r="15" spans="1:19">
      <c r="A15" s="4">
        <v>14</v>
      </c>
      <c r="B15" s="91">
        <f>IF(Match!B15="","",Match!B15)</f>
        <v>44968</v>
      </c>
      <c r="C15" s="514">
        <f t="shared" si="2"/>
        <v>7</v>
      </c>
      <c r="D15" s="60" t="str">
        <f>IF(Match!D15="","",Match!D15)</f>
        <v>Champ</v>
      </c>
      <c r="E15" s="59" t="str">
        <f>IF(Match!U15="","",Match!U15)</f>
        <v>QPR  v  Millwall   8/5  11/5  7/4</v>
      </c>
      <c r="F15" s="59" t="str">
        <f>IF(Match!V15="","",Match!V15)</f>
        <v xml:space="preserve">QPR 1-2 Millwall </v>
      </c>
      <c r="G15" s="33" t="str">
        <f t="shared" si="0"/>
        <v>QPR</v>
      </c>
      <c r="H15" s="34" t="str">
        <f t="shared" si="1"/>
        <v>8/5</v>
      </c>
      <c r="I15" s="177">
        <f t="shared" si="3"/>
        <v>2.6</v>
      </c>
      <c r="J15" s="34">
        <f>INDEX(Picks!T:T,MATCH(G15,Picks!R:R,0))</f>
        <v>0</v>
      </c>
      <c r="K15" s="34">
        <f>IF(INDEX(Match!P:P,MATCH(A15,Match!A:A,0))="OFF",0,1)</f>
        <v>1</v>
      </c>
      <c r="L15" t="str">
        <f>INDEX(Match!Q:Q,MATCH(E15,Match!U:U,0))</f>
        <v>QPR</v>
      </c>
      <c r="M15" t="str">
        <f>INDEX(Match!X:X,MATCH(E15,Match!U:U,0))</f>
        <v>8/5</v>
      </c>
      <c r="N15" t="str">
        <f>INDEX(Match!R:R,MATCH(E15,Match!U:U,0))</f>
        <v>Millwall</v>
      </c>
      <c r="O15" t="str">
        <f>INDEX(Match!Y:Y,MATCH(E15,Match!U:U,0))</f>
        <v>11/5</v>
      </c>
      <c r="P15" t="str">
        <f>INDEX(Match!Z:Z,MATCH(E15,Match!U:U,0))</f>
        <v>7/4</v>
      </c>
      <c r="Q15" s="174">
        <f>INDEX(Match!AA:AA,MATCH(E15,Match!U:U,0))</f>
        <v>2.6</v>
      </c>
      <c r="R15" s="174">
        <f>INDEX(Match!AB:AB,MATCH(E15,Match!U:U,0))</f>
        <v>3.2</v>
      </c>
      <c r="S15" s="174">
        <f>INDEX(Match!AC:AC,MATCH(E15,Match!U:U,0))</f>
        <v>2.75</v>
      </c>
    </row>
    <row r="16" spans="1:19">
      <c r="A16" s="4">
        <v>15</v>
      </c>
      <c r="B16" s="91">
        <f>IF(Match!B16="","",Match!B16)</f>
        <v>44968</v>
      </c>
      <c r="C16" s="514">
        <f t="shared" si="2"/>
        <v>7</v>
      </c>
      <c r="D16" s="60" t="str">
        <f>IF(Match!D16="","",Match!D16)</f>
        <v>Champ</v>
      </c>
      <c r="E16" s="59" t="str">
        <f>IF(Match!U16="","",Match!U16)</f>
        <v>Sheff U  v  Swansea   5/6  13/5  3/1</v>
      </c>
      <c r="F16" s="59" t="str">
        <f>IF(Match!V16="","",Match!V16)</f>
        <v xml:space="preserve">Sheff U 3-0 Swansea </v>
      </c>
      <c r="G16" s="33" t="str">
        <f t="shared" si="0"/>
        <v>Sheff U</v>
      </c>
      <c r="H16" s="34" t="str">
        <f t="shared" si="1"/>
        <v>5/6</v>
      </c>
      <c r="I16" s="177">
        <f t="shared" si="3"/>
        <v>1.8333333333333335</v>
      </c>
      <c r="J16" s="34">
        <f>INDEX(Picks!T:T,MATCH(G16,Picks!R:R,0))</f>
        <v>1</v>
      </c>
      <c r="K16" s="34">
        <f>IF(INDEX(Match!P:P,MATCH(A16,Match!A:A,0))="OFF",0,1)</f>
        <v>1</v>
      </c>
      <c r="L16" t="str">
        <f>INDEX(Match!Q:Q,MATCH(E16,Match!U:U,0))</f>
        <v>Sheff U</v>
      </c>
      <c r="M16" t="str">
        <f>INDEX(Match!X:X,MATCH(E16,Match!U:U,0))</f>
        <v>5/6</v>
      </c>
      <c r="N16" t="str">
        <f>INDEX(Match!R:R,MATCH(E16,Match!U:U,0))</f>
        <v>Swansea</v>
      </c>
      <c r="O16" t="str">
        <f>INDEX(Match!Y:Y,MATCH(E16,Match!U:U,0))</f>
        <v>13/5</v>
      </c>
      <c r="P16" t="str">
        <f>INDEX(Match!Z:Z,MATCH(E16,Match!U:U,0))</f>
        <v>3/1</v>
      </c>
      <c r="Q16" s="174">
        <f>INDEX(Match!AA:AA,MATCH(E16,Match!U:U,0))</f>
        <v>1.8333333333333335</v>
      </c>
      <c r="R16" s="174">
        <f>INDEX(Match!AB:AB,MATCH(E16,Match!U:U,0))</f>
        <v>3.6</v>
      </c>
      <c r="S16" s="174">
        <f>INDEX(Match!AC:AC,MATCH(E16,Match!U:U,0))</f>
        <v>4</v>
      </c>
    </row>
    <row r="17" spans="1:19">
      <c r="A17" s="4">
        <v>16</v>
      </c>
      <c r="B17" s="91">
        <f>IF(Match!B17="","",Match!B17)</f>
        <v>44968</v>
      </c>
      <c r="C17" s="514">
        <f t="shared" si="2"/>
        <v>7</v>
      </c>
      <c r="D17" s="60" t="str">
        <f>IF(Match!D17="","",Match!D17)</f>
        <v>Champ</v>
      </c>
      <c r="E17" s="59" t="str">
        <f>IF(Match!U17="","",Match!U17)</f>
        <v>Stoke  v  Hull   1/1  9/4  14/5</v>
      </c>
      <c r="F17" s="59" t="str">
        <f>IF(Match!V17="","",Match!V17)</f>
        <v xml:space="preserve">Stoke 0-0 Hull </v>
      </c>
      <c r="G17" s="33" t="str">
        <f t="shared" si="0"/>
        <v>Stoke</v>
      </c>
      <c r="H17" s="34" t="str">
        <f t="shared" si="1"/>
        <v>1/1</v>
      </c>
      <c r="I17" s="177">
        <f t="shared" si="3"/>
        <v>2</v>
      </c>
      <c r="J17" s="34">
        <f>INDEX(Picks!T:T,MATCH(G17,Picks!R:R,0))</f>
        <v>0</v>
      </c>
      <c r="K17" s="34">
        <f>IF(INDEX(Match!P:P,MATCH(A17,Match!A:A,0))="OFF",0,1)</f>
        <v>1</v>
      </c>
      <c r="L17" t="str">
        <f>INDEX(Match!Q:Q,MATCH(E17,Match!U:U,0))</f>
        <v>Stoke</v>
      </c>
      <c r="M17" t="str">
        <f>INDEX(Match!X:X,MATCH(E17,Match!U:U,0))</f>
        <v>1/1</v>
      </c>
      <c r="N17" t="str">
        <f>INDEX(Match!R:R,MATCH(E17,Match!U:U,0))</f>
        <v>Hull</v>
      </c>
      <c r="O17" t="str">
        <f>INDEX(Match!Y:Y,MATCH(E17,Match!U:U,0))</f>
        <v>9/4</v>
      </c>
      <c r="P17" t="str">
        <f>INDEX(Match!Z:Z,MATCH(E17,Match!U:U,0))</f>
        <v>14/5</v>
      </c>
      <c r="Q17" s="174">
        <f>INDEX(Match!AA:AA,MATCH(E17,Match!U:U,0))</f>
        <v>2</v>
      </c>
      <c r="R17" s="174">
        <f>INDEX(Match!AB:AB,MATCH(E17,Match!U:U,0))</f>
        <v>3.25</v>
      </c>
      <c r="S17" s="174">
        <f>INDEX(Match!AC:AC,MATCH(E17,Match!U:U,0))</f>
        <v>3.8</v>
      </c>
    </row>
    <row r="18" spans="1:19">
      <c r="A18" s="4">
        <v>17</v>
      </c>
      <c r="B18" s="91">
        <f>IF(Match!B18="","",Match!B18)</f>
        <v>44968</v>
      </c>
      <c r="C18" s="514">
        <f t="shared" si="2"/>
        <v>7</v>
      </c>
      <c r="D18" s="60" t="str">
        <f>IF(Match!D21="","",Match!D21)</f>
        <v>League 1</v>
      </c>
      <c r="E18" s="59" t="str">
        <f>IF(Match!U18="","",Match!U18)</f>
        <v>Sunderland  v  Reading   10/11  12/5  3/1</v>
      </c>
      <c r="F18" s="59" t="str">
        <f>IF(Match!V18="","",Match!V18)</f>
        <v xml:space="preserve">Sunderland 1-0 Reading </v>
      </c>
      <c r="G18" s="33" t="str">
        <f t="shared" si="0"/>
        <v>Sunderland</v>
      </c>
      <c r="H18" s="34" t="str">
        <f t="shared" si="1"/>
        <v>10/11</v>
      </c>
      <c r="I18" s="177">
        <f t="shared" si="3"/>
        <v>1.9090909090909092</v>
      </c>
      <c r="J18" s="34">
        <f>INDEX(Picks!T:T,MATCH(G18,Picks!R:R,0))</f>
        <v>1</v>
      </c>
      <c r="K18" s="34">
        <f>IF(INDEX(Match!P:P,MATCH(A18,Match!A:A,0))="OFF",0,1)</f>
        <v>1</v>
      </c>
      <c r="L18" t="str">
        <f>INDEX(Match!Q:Q,MATCH(E18,Match!U:U,0))</f>
        <v>Sunderland</v>
      </c>
      <c r="M18" t="str">
        <f>INDEX(Match!X:X,MATCH(E18,Match!U:U,0))</f>
        <v>10/11</v>
      </c>
      <c r="N18" t="str">
        <f>INDEX(Match!R:R,MATCH(E18,Match!U:U,0))</f>
        <v>Reading</v>
      </c>
      <c r="O18" t="str">
        <f>INDEX(Match!Y:Y,MATCH(E18,Match!U:U,0))</f>
        <v>12/5</v>
      </c>
      <c r="P18" t="str">
        <f>INDEX(Match!Z:Z,MATCH(E18,Match!U:U,0))</f>
        <v>3/1</v>
      </c>
      <c r="Q18" s="174">
        <f>INDEX(Match!AA:AA,MATCH(E18,Match!U:U,0))</f>
        <v>1.9090909090909092</v>
      </c>
      <c r="R18" s="174">
        <f>INDEX(Match!AB:AB,MATCH(E18,Match!U:U,0))</f>
        <v>3.4</v>
      </c>
      <c r="S18" s="174">
        <f>INDEX(Match!AC:AC,MATCH(E18,Match!U:U,0))</f>
        <v>4</v>
      </c>
    </row>
    <row r="19" spans="1:19">
      <c r="A19" s="4">
        <v>18</v>
      </c>
      <c r="B19" s="91">
        <f>IF(Match!B19="","",Match!B19)</f>
        <v>44968</v>
      </c>
      <c r="C19" s="514">
        <f t="shared" si="2"/>
        <v>7</v>
      </c>
      <c r="D19" s="60" t="str">
        <f>IF(Match!D19="","",Match!D19)</f>
        <v>Champ</v>
      </c>
      <c r="E19" s="59" t="str">
        <f>IF(Match!U19="","",Match!U19)</f>
        <v>Watford  v  Blackburn   1/1  9/4  14/5</v>
      </c>
      <c r="F19" s="59" t="str">
        <f>IF(Match!V19="","",Match!V19)</f>
        <v xml:space="preserve">Watford 1-1 Blackburn </v>
      </c>
      <c r="G19" s="33" t="str">
        <f t="shared" si="0"/>
        <v>Watford</v>
      </c>
      <c r="H19" s="34" t="str">
        <f t="shared" si="1"/>
        <v>1/1</v>
      </c>
      <c r="I19" s="177">
        <f t="shared" si="3"/>
        <v>2</v>
      </c>
      <c r="J19" s="34">
        <f>INDEX(Picks!T:T,MATCH(G19,Picks!R:R,0))</f>
        <v>0</v>
      </c>
      <c r="K19" s="34">
        <f>IF(INDEX(Match!P:P,MATCH(A19,Match!A:A,0))="OFF",0,1)</f>
        <v>1</v>
      </c>
      <c r="L19" t="str">
        <f>INDEX(Match!Q:Q,MATCH(E19,Match!U:U,0))</f>
        <v>Watford</v>
      </c>
      <c r="M19" t="str">
        <f>INDEX(Match!X:X,MATCH(E19,Match!U:U,0))</f>
        <v>1/1</v>
      </c>
      <c r="N19" t="str">
        <f>INDEX(Match!R:R,MATCH(E19,Match!U:U,0))</f>
        <v>Blackburn</v>
      </c>
      <c r="O19" t="str">
        <f>INDEX(Match!Y:Y,MATCH(E19,Match!U:U,0))</f>
        <v>9/4</v>
      </c>
      <c r="P19" t="str">
        <f>INDEX(Match!Z:Z,MATCH(E19,Match!U:U,0))</f>
        <v>14/5</v>
      </c>
      <c r="Q19" s="174">
        <f>INDEX(Match!AA:AA,MATCH(E19,Match!U:U,0))</f>
        <v>2</v>
      </c>
      <c r="R19" s="174">
        <f>INDEX(Match!AB:AB,MATCH(E19,Match!U:U,0))</f>
        <v>3.25</v>
      </c>
      <c r="S19" s="174">
        <f>INDEX(Match!AC:AC,MATCH(E19,Match!U:U,0))</f>
        <v>3.8</v>
      </c>
    </row>
    <row r="20" spans="1:19">
      <c r="A20" s="4">
        <v>19</v>
      </c>
      <c r="B20" s="91">
        <f>IF(Match!B20="","",Match!B20)</f>
        <v>44968</v>
      </c>
      <c r="C20" s="514">
        <f t="shared" si="2"/>
        <v>7</v>
      </c>
      <c r="D20" s="60" t="str">
        <f>IF(Match!D20="","",Match!D20)</f>
        <v>Champ</v>
      </c>
      <c r="E20" s="59" t="str">
        <f>IF(Match!U20="","",Match!U20)</f>
        <v>Wigan  v  Huddersfield   11/8  21/10  21/10</v>
      </c>
      <c r="F20" s="59" t="str">
        <f>IF(Match!V20="","",Match!V20)</f>
        <v xml:space="preserve">Wigan 1-0 Huddersfield </v>
      </c>
      <c r="G20" s="33" t="str">
        <f t="shared" si="0"/>
        <v>Wigan</v>
      </c>
      <c r="H20" s="34" t="str">
        <f t="shared" si="1"/>
        <v>11/8</v>
      </c>
      <c r="I20" s="177">
        <f t="shared" si="3"/>
        <v>2.375</v>
      </c>
      <c r="J20" s="34">
        <f>INDEX(Picks!T:T,MATCH(G20,Picks!R:R,0))</f>
        <v>1</v>
      </c>
      <c r="K20" s="34">
        <f>IF(INDEX(Match!P:P,MATCH(A20,Match!A:A,0))="OFF",0,1)</f>
        <v>1</v>
      </c>
      <c r="L20" t="str">
        <f>INDEX(Match!Q:Q,MATCH(E20,Match!U:U,0))</f>
        <v>Wigan</v>
      </c>
      <c r="M20" t="str">
        <f>INDEX(Match!X:X,MATCH(E20,Match!U:U,0))</f>
        <v>11/8</v>
      </c>
      <c r="N20" t="str">
        <f>INDEX(Match!R:R,MATCH(E20,Match!U:U,0))</f>
        <v>Huddersfield</v>
      </c>
      <c r="O20" t="str">
        <f>INDEX(Match!Y:Y,MATCH(E20,Match!U:U,0))</f>
        <v>21/10</v>
      </c>
      <c r="P20" t="str">
        <f>INDEX(Match!Z:Z,MATCH(E20,Match!U:U,0))</f>
        <v>21/10</v>
      </c>
      <c r="Q20" s="174">
        <f>INDEX(Match!AA:AA,MATCH(E20,Match!U:U,0))</f>
        <v>2.375</v>
      </c>
      <c r="R20" s="174">
        <f>INDEX(Match!AB:AB,MATCH(E20,Match!U:U,0))</f>
        <v>3.1</v>
      </c>
      <c r="S20" s="174">
        <f>INDEX(Match!AC:AC,MATCH(E20,Match!U:U,0))</f>
        <v>3.1</v>
      </c>
    </row>
    <row r="21" spans="1:19">
      <c r="A21" s="4">
        <v>20</v>
      </c>
      <c r="B21" s="91">
        <f>IF(Match!B21="","",Match!B21)</f>
        <v>44968</v>
      </c>
      <c r="C21" s="514">
        <f t="shared" si="2"/>
        <v>7</v>
      </c>
      <c r="D21" s="60" t="str">
        <f>IF(Match!D21="","",Match!D21)</f>
        <v>League 1</v>
      </c>
      <c r="E21" s="59" t="str">
        <f>IF(Match!U21="","",Match!U21)</f>
        <v>Barnsley  v  Cambridge   1/2  3/1  11/2</v>
      </c>
      <c r="F21" s="59" t="str">
        <f>IF(Match!V21="","",Match!V21)</f>
        <v xml:space="preserve">Barnsley 2-0 Cambridge </v>
      </c>
      <c r="G21" s="33" t="str">
        <f t="shared" si="0"/>
        <v>Barnsley</v>
      </c>
      <c r="H21" s="34" t="str">
        <f t="shared" si="1"/>
        <v>1/2</v>
      </c>
      <c r="I21" s="177">
        <f t="shared" si="3"/>
        <v>1.5</v>
      </c>
      <c r="J21" s="34">
        <f>INDEX(Picks!T:T,MATCH(G21,Picks!R:R,0))</f>
        <v>1</v>
      </c>
      <c r="K21" s="34">
        <f>IF(INDEX(Match!P:P,MATCH(A21,Match!A:A,0))="OFF",0,1)</f>
        <v>1</v>
      </c>
      <c r="L21" t="str">
        <f>INDEX(Match!Q:Q,MATCH(E21,Match!U:U,0))</f>
        <v>Barnsley</v>
      </c>
      <c r="M21" t="str">
        <f>INDEX(Match!X:X,MATCH(E21,Match!U:U,0))</f>
        <v>1/2</v>
      </c>
      <c r="N21" t="str">
        <f>INDEX(Match!R:R,MATCH(E21,Match!U:U,0))</f>
        <v>Cambridge</v>
      </c>
      <c r="O21" t="str">
        <f>INDEX(Match!Y:Y,MATCH(E21,Match!U:U,0))</f>
        <v>3/1</v>
      </c>
      <c r="P21" t="str">
        <f>INDEX(Match!Z:Z,MATCH(E21,Match!U:U,0))</f>
        <v>11/2</v>
      </c>
      <c r="Q21" s="174">
        <f>INDEX(Match!AA:AA,MATCH(E21,Match!U:U,0))</f>
        <v>1.5</v>
      </c>
      <c r="R21" s="174">
        <f>INDEX(Match!AB:AB,MATCH(E21,Match!U:U,0))</f>
        <v>4</v>
      </c>
      <c r="S21" s="174">
        <f>INDEX(Match!AC:AC,MATCH(E21,Match!U:U,0))</f>
        <v>6.5</v>
      </c>
    </row>
    <row r="22" spans="1:19">
      <c r="A22" s="4">
        <v>21</v>
      </c>
      <c r="B22" s="91">
        <f>IF(Match!B22="","",Match!B22)</f>
        <v>44968</v>
      </c>
      <c r="C22" s="514">
        <f t="shared" si="2"/>
        <v>7</v>
      </c>
      <c r="D22" s="60" t="str">
        <f>IF(Match!D22="","",Match!D22)</f>
        <v>League 1</v>
      </c>
      <c r="E22" s="59" t="str">
        <f>IF(Match!U22="","",Match!U22)</f>
        <v>Burton  v  Exeter   6/4  23/10  17/10</v>
      </c>
      <c r="F22" s="59" t="str">
        <f>IF(Match!V22="","",Match!V22)</f>
        <v xml:space="preserve">Burton 1-0 Exeter </v>
      </c>
      <c r="G22" s="33" t="str">
        <f t="shared" si="0"/>
        <v>Burton</v>
      </c>
      <c r="H22" s="34" t="str">
        <f t="shared" si="1"/>
        <v>6/4</v>
      </c>
      <c r="I22" s="177">
        <f t="shared" si="3"/>
        <v>2.5</v>
      </c>
      <c r="J22" s="34">
        <f>INDEX(Picks!T:T,MATCH(G22,Picks!R:R,0))</f>
        <v>1</v>
      </c>
      <c r="K22" s="34">
        <f>IF(INDEX(Match!P:P,MATCH(A22,Match!A:A,0))="OFF",0,1)</f>
        <v>1</v>
      </c>
      <c r="L22" t="str">
        <f>INDEX(Match!Q:Q,MATCH(E22,Match!U:U,0))</f>
        <v>Burton</v>
      </c>
      <c r="M22" t="str">
        <f>INDEX(Match!X:X,MATCH(E22,Match!U:U,0))</f>
        <v>6/4</v>
      </c>
      <c r="N22" t="str">
        <f>INDEX(Match!R:R,MATCH(E22,Match!U:U,0))</f>
        <v>Exeter</v>
      </c>
      <c r="O22" t="str">
        <f>INDEX(Match!Y:Y,MATCH(E22,Match!U:U,0))</f>
        <v>23/10</v>
      </c>
      <c r="P22" t="str">
        <f>INDEX(Match!Z:Z,MATCH(E22,Match!U:U,0))</f>
        <v>17/10</v>
      </c>
      <c r="Q22" s="174">
        <f>INDEX(Match!AA:AA,MATCH(E22,Match!U:U,0))</f>
        <v>2.5</v>
      </c>
      <c r="R22" s="174">
        <f>INDEX(Match!AB:AB,MATCH(E22,Match!U:U,0))</f>
        <v>3.3</v>
      </c>
      <c r="S22" s="174">
        <f>INDEX(Match!AC:AC,MATCH(E22,Match!U:U,0))</f>
        <v>2.7</v>
      </c>
    </row>
    <row r="23" spans="1:19">
      <c r="A23" s="4">
        <v>22</v>
      </c>
      <c r="B23" s="91">
        <f>IF(Match!B23="","",Match!B23)</f>
        <v>44968</v>
      </c>
      <c r="C23" s="514">
        <f t="shared" si="2"/>
        <v>7</v>
      </c>
      <c r="D23" s="60" t="str">
        <f>IF(Match!D23="","",Match!D23)</f>
        <v>League 1</v>
      </c>
      <c r="E23" s="59" t="str">
        <f>IF(Match!U23="","",Match!U23)</f>
        <v>Charlton  v  Fleetwood   1/1  12/5  13/5</v>
      </c>
      <c r="F23" s="59" t="str">
        <f>IF(Match!V23="","",Match!V23)</f>
        <v xml:space="preserve">Charlton 1-2 Fleetwood </v>
      </c>
      <c r="G23" s="33" t="str">
        <f t="shared" si="0"/>
        <v>Charlton</v>
      </c>
      <c r="H23" s="34" t="str">
        <f t="shared" si="1"/>
        <v>1/1</v>
      </c>
      <c r="I23" s="177">
        <f t="shared" si="3"/>
        <v>2</v>
      </c>
      <c r="J23" s="34">
        <f>INDEX(Picks!T:T,MATCH(G23,Picks!R:R,0))</f>
        <v>0</v>
      </c>
      <c r="K23" s="34">
        <f>IF(INDEX(Match!P:P,MATCH(A23,Match!A:A,0))="OFF",0,1)</f>
        <v>1</v>
      </c>
      <c r="L23" t="str">
        <f>INDEX(Match!Q:Q,MATCH(E23,Match!U:U,0))</f>
        <v>Charlton</v>
      </c>
      <c r="M23" t="str">
        <f>INDEX(Match!X:X,MATCH(E23,Match!U:U,0))</f>
        <v>1/1</v>
      </c>
      <c r="N23" t="str">
        <f>INDEX(Match!R:R,MATCH(E23,Match!U:U,0))</f>
        <v>Fleetwood</v>
      </c>
      <c r="O23" t="str">
        <f>INDEX(Match!Y:Y,MATCH(E23,Match!U:U,0))</f>
        <v>12/5</v>
      </c>
      <c r="P23" t="str">
        <f>INDEX(Match!Z:Z,MATCH(E23,Match!U:U,0))</f>
        <v>13/5</v>
      </c>
      <c r="Q23" s="174">
        <f>INDEX(Match!AA:AA,MATCH(E23,Match!U:U,0))</f>
        <v>2</v>
      </c>
      <c r="R23" s="174">
        <f>INDEX(Match!AB:AB,MATCH(E23,Match!U:U,0))</f>
        <v>3.4</v>
      </c>
      <c r="S23" s="174">
        <f>INDEX(Match!AC:AC,MATCH(E23,Match!U:U,0))</f>
        <v>3.6</v>
      </c>
    </row>
    <row r="24" spans="1:19">
      <c r="A24" s="4">
        <v>23</v>
      </c>
      <c r="B24" s="91">
        <f>IF(Match!B24="","",Match!B24)</f>
        <v>44968</v>
      </c>
      <c r="C24" s="514">
        <f t="shared" si="2"/>
        <v>7</v>
      </c>
      <c r="D24" s="60" t="str">
        <f>IF(Match!D24="","",Match!D24)</f>
        <v>League 1</v>
      </c>
      <c r="E24" s="59" t="str">
        <f>IF(Match!U24="","",Match!U24)</f>
        <v>Cheltenham  v  Accrington   7/5  9/4  15/8</v>
      </c>
      <c r="F24" s="59" t="str">
        <f>IF(Match!V24="","",Match!V24)</f>
        <v xml:space="preserve">Cheltenham 0-0 Accrington </v>
      </c>
      <c r="G24" s="33" t="str">
        <f t="shared" si="0"/>
        <v>Cheltenham</v>
      </c>
      <c r="H24" s="34" t="str">
        <f t="shared" si="1"/>
        <v>7/5</v>
      </c>
      <c r="I24" s="177">
        <f t="shared" si="3"/>
        <v>2.4</v>
      </c>
      <c r="J24" s="34">
        <f>INDEX(Picks!T:T,MATCH(G24,Picks!R:R,0))</f>
        <v>0</v>
      </c>
      <c r="K24" s="34">
        <f>IF(INDEX(Match!P:P,MATCH(A24,Match!A:A,0))="OFF",0,1)</f>
        <v>1</v>
      </c>
      <c r="L24" t="str">
        <f>INDEX(Match!Q:Q,MATCH(E24,Match!U:U,0))</f>
        <v>Cheltenham</v>
      </c>
      <c r="M24" t="str">
        <f>INDEX(Match!X:X,MATCH(E24,Match!U:U,0))</f>
        <v>7/5</v>
      </c>
      <c r="N24" t="str">
        <f>INDEX(Match!R:R,MATCH(E24,Match!U:U,0))</f>
        <v>Accrington</v>
      </c>
      <c r="O24" t="str">
        <f>INDEX(Match!Y:Y,MATCH(E24,Match!U:U,0))</f>
        <v>9/4</v>
      </c>
      <c r="P24" t="str">
        <f>INDEX(Match!Z:Z,MATCH(E24,Match!U:U,0))</f>
        <v>15/8</v>
      </c>
      <c r="Q24" s="174">
        <f>INDEX(Match!AA:AA,MATCH(E24,Match!U:U,0))</f>
        <v>2.4</v>
      </c>
      <c r="R24" s="174">
        <f>INDEX(Match!AB:AB,MATCH(E24,Match!U:U,0))</f>
        <v>3.25</v>
      </c>
      <c r="S24" s="174">
        <f>INDEX(Match!AC:AC,MATCH(E24,Match!U:U,0))</f>
        <v>2.875</v>
      </c>
    </row>
    <row r="25" spans="1:19">
      <c r="A25" s="4">
        <v>24</v>
      </c>
      <c r="B25" s="91">
        <f>IF(Match!B25="","",Match!B25)</f>
        <v>44968</v>
      </c>
      <c r="C25" s="514">
        <f t="shared" si="2"/>
        <v>7</v>
      </c>
      <c r="D25" s="60" t="str">
        <f>IF(Match!D25="","",Match!D25)</f>
        <v>League 1</v>
      </c>
      <c r="E25" s="59" t="str">
        <f>IF(Match!U25="","",Match!U25)</f>
        <v>Ipswich  v  Sheff W   11/10  23/10  12/5</v>
      </c>
      <c r="F25" s="59" t="str">
        <f>IF(Match!V25="","",Match!V25)</f>
        <v xml:space="preserve">Ipswich 2-2 Sheff W </v>
      </c>
      <c r="G25" s="33" t="str">
        <f t="shared" si="0"/>
        <v>Ipswich</v>
      </c>
      <c r="H25" s="34" t="str">
        <f t="shared" si="1"/>
        <v>11/10</v>
      </c>
      <c r="I25" s="177">
        <f t="shared" si="3"/>
        <v>2.1</v>
      </c>
      <c r="J25" s="34">
        <f>INDEX(Picks!T:T,MATCH(G25,Picks!R:R,0))</f>
        <v>0</v>
      </c>
      <c r="K25" s="34">
        <f>IF(INDEX(Match!P:P,MATCH(A25,Match!A:A,0))="OFF",0,1)</f>
        <v>1</v>
      </c>
      <c r="L25" t="str">
        <f>INDEX(Match!Q:Q,MATCH(E25,Match!U:U,0))</f>
        <v>Ipswich</v>
      </c>
      <c r="M25" t="str">
        <f>INDEX(Match!X:X,MATCH(E25,Match!U:U,0))</f>
        <v>11/10</v>
      </c>
      <c r="N25" t="str">
        <f>INDEX(Match!R:R,MATCH(E25,Match!U:U,0))</f>
        <v>Sheff W</v>
      </c>
      <c r="O25" t="str">
        <f>INDEX(Match!Y:Y,MATCH(E25,Match!U:U,0))</f>
        <v>23/10</v>
      </c>
      <c r="P25" t="str">
        <f>INDEX(Match!Z:Z,MATCH(E25,Match!U:U,0))</f>
        <v>12/5</v>
      </c>
      <c r="Q25" s="174">
        <f>INDEX(Match!AA:AA,MATCH(E25,Match!U:U,0))</f>
        <v>2.1</v>
      </c>
      <c r="R25" s="174">
        <f>INDEX(Match!AB:AB,MATCH(E25,Match!U:U,0))</f>
        <v>3.3</v>
      </c>
      <c r="S25" s="174">
        <f>INDEX(Match!AC:AC,MATCH(E25,Match!U:U,0))</f>
        <v>3.4</v>
      </c>
    </row>
    <row r="26" spans="1:19">
      <c r="A26" s="4">
        <v>25</v>
      </c>
      <c r="B26" s="91">
        <f>IF(Match!B26="","",Match!B26)</f>
        <v>44968</v>
      </c>
      <c r="C26" s="514">
        <f t="shared" si="2"/>
        <v>7</v>
      </c>
      <c r="D26" s="60" t="str">
        <f>IF(Match!D26="","",Match!D26)</f>
        <v>League 1</v>
      </c>
      <c r="E26" s="59" t="str">
        <f>IF(Match!U26="","",Match!U26)</f>
        <v>Lincoln  v  Bristol R   13/10  23/10  12/5</v>
      </c>
      <c r="F26" s="59" t="str">
        <f>IF(Match!V26="","",Match!V26)</f>
        <v xml:space="preserve">Lincoln 1-0 Bristol R </v>
      </c>
      <c r="G26" s="33" t="str">
        <f t="shared" si="0"/>
        <v>Lincoln</v>
      </c>
      <c r="H26" s="34" t="str">
        <f t="shared" si="1"/>
        <v>13/10</v>
      </c>
      <c r="I26" s="177">
        <f t="shared" si="3"/>
        <v>2.2999999999999998</v>
      </c>
      <c r="J26" s="34">
        <f>INDEX(Picks!T:T,MATCH(G26,Picks!R:R,0))</f>
        <v>1</v>
      </c>
      <c r="K26" s="34">
        <f>IF(INDEX(Match!P:P,MATCH(A26,Match!A:A,0))="OFF",0,1)</f>
        <v>1</v>
      </c>
      <c r="L26" t="str">
        <f>INDEX(Match!Q:Q,MATCH(E26,Match!U:U,0))</f>
        <v>Lincoln</v>
      </c>
      <c r="M26" t="str">
        <f>INDEX(Match!X:X,MATCH(E26,Match!U:U,0))</f>
        <v>13/10</v>
      </c>
      <c r="N26" t="str">
        <f>INDEX(Match!R:R,MATCH(E26,Match!U:U,0))</f>
        <v>Bristol R</v>
      </c>
      <c r="O26" t="str">
        <f>INDEX(Match!Y:Y,MATCH(E26,Match!U:U,0))</f>
        <v>23/10</v>
      </c>
      <c r="P26" t="str">
        <f>INDEX(Match!Z:Z,MATCH(E26,Match!U:U,0))</f>
        <v>12/5</v>
      </c>
      <c r="Q26" s="174">
        <f>INDEX(Match!AA:AA,MATCH(E26,Match!U:U,0))</f>
        <v>2.2999999999999998</v>
      </c>
      <c r="R26" s="174">
        <f>INDEX(Match!AB:AB,MATCH(E26,Match!U:U,0))</f>
        <v>3.3</v>
      </c>
      <c r="S26" s="174">
        <f>INDEX(Match!AC:AC,MATCH(E26,Match!U:U,0))</f>
        <v>3.4</v>
      </c>
    </row>
    <row r="27" spans="1:19">
      <c r="A27" s="4">
        <v>26</v>
      </c>
      <c r="B27" s="91">
        <f>IF(Match!B27="","",Match!B27)</f>
        <v>44968</v>
      </c>
      <c r="C27" s="514">
        <f t="shared" si="2"/>
        <v>7</v>
      </c>
      <c r="D27" s="60" t="str">
        <f>IF(Match!D27="","",Match!D27)</f>
        <v>League 1</v>
      </c>
      <c r="E27" s="59" t="str">
        <f>IF(Match!U27="","",Match!U27)</f>
        <v>MK Dons  v  Oxford   6/4  11/5  9/5</v>
      </c>
      <c r="F27" s="59" t="str">
        <f>IF(Match!V27="","",Match!V27)</f>
        <v xml:space="preserve">MK Dons 1-1 Oxford </v>
      </c>
      <c r="G27" s="33" t="str">
        <f t="shared" si="0"/>
        <v>MK Dons</v>
      </c>
      <c r="H27" s="34" t="str">
        <f t="shared" si="1"/>
        <v>6/4</v>
      </c>
      <c r="I27" s="177">
        <f t="shared" si="3"/>
        <v>2.5</v>
      </c>
      <c r="J27" s="34">
        <f>INDEX(Picks!T:T,MATCH(G27,Picks!R:R,0))</f>
        <v>0</v>
      </c>
      <c r="K27" s="34">
        <f>IF(INDEX(Match!P:P,MATCH(A27,Match!A:A,0))="OFF",0,1)</f>
        <v>1</v>
      </c>
      <c r="L27" t="str">
        <f>INDEX(Match!Q:Q,MATCH(E27,Match!U:U,0))</f>
        <v>MK Dons</v>
      </c>
      <c r="M27" t="str">
        <f>INDEX(Match!X:X,MATCH(E27,Match!U:U,0))</f>
        <v>6/4</v>
      </c>
      <c r="N27" t="str">
        <f>INDEX(Match!R:R,MATCH(E27,Match!U:U,0))</f>
        <v>Oxford</v>
      </c>
      <c r="O27" t="str">
        <f>INDEX(Match!Y:Y,MATCH(E27,Match!U:U,0))</f>
        <v>11/5</v>
      </c>
      <c r="P27" t="str">
        <f>INDEX(Match!Z:Z,MATCH(E27,Match!U:U,0))</f>
        <v>9/5</v>
      </c>
      <c r="Q27" s="174">
        <f>INDEX(Match!AA:AA,MATCH(E27,Match!U:U,0))</f>
        <v>2.5</v>
      </c>
      <c r="R27" s="174">
        <f>INDEX(Match!AB:AB,MATCH(E27,Match!U:U,0))</f>
        <v>3.2</v>
      </c>
      <c r="S27" s="174">
        <f>INDEX(Match!AC:AC,MATCH(E27,Match!U:U,0))</f>
        <v>2.8</v>
      </c>
    </row>
    <row r="28" spans="1:19">
      <c r="A28" s="4">
        <v>27</v>
      </c>
      <c r="B28" s="91">
        <f>IF(Match!B28="","",Match!B28)</f>
        <v>44968</v>
      </c>
      <c r="C28" s="514">
        <f t="shared" si="2"/>
        <v>7</v>
      </c>
      <c r="D28" s="60" t="str">
        <f>IF(Match!D28="","",Match!D28)</f>
        <v>League 1</v>
      </c>
      <c r="E28" s="59" t="str">
        <f>IF(Match!U28="","",Match!U28)</f>
        <v>Morecambe  v  Forest Green   7/5  9/4  15/8</v>
      </c>
      <c r="F28" s="59" t="str">
        <f>IF(Match!V28="","",Match!V28)</f>
        <v xml:space="preserve">Morecambe 1-1 Forest Green </v>
      </c>
      <c r="G28" s="33" t="str">
        <f t="shared" si="0"/>
        <v>Morecambe</v>
      </c>
      <c r="H28" s="34" t="str">
        <f t="shared" si="1"/>
        <v>7/5</v>
      </c>
      <c r="I28" s="177">
        <f t="shared" si="3"/>
        <v>2.4</v>
      </c>
      <c r="J28" s="34">
        <f>INDEX(Picks!T:T,MATCH(G28,Picks!R:R,0))</f>
        <v>0</v>
      </c>
      <c r="K28" s="34">
        <f>IF(INDEX(Match!P:P,MATCH(A28,Match!A:A,0))="OFF",0,1)</f>
        <v>1</v>
      </c>
      <c r="L28" t="str">
        <f>INDEX(Match!Q:Q,MATCH(E28,Match!U:U,0))</f>
        <v>Morecambe</v>
      </c>
      <c r="M28" t="str">
        <f>INDEX(Match!X:X,MATCH(E28,Match!U:U,0))</f>
        <v>7/5</v>
      </c>
      <c r="N28" t="str">
        <f>INDEX(Match!R:R,MATCH(E28,Match!U:U,0))</f>
        <v>Forest Green</v>
      </c>
      <c r="O28" t="str">
        <f>INDEX(Match!Y:Y,MATCH(E28,Match!U:U,0))</f>
        <v>9/4</v>
      </c>
      <c r="P28" t="str">
        <f>INDEX(Match!Z:Z,MATCH(E28,Match!U:U,0))</f>
        <v>15/8</v>
      </c>
      <c r="Q28" s="174">
        <f>INDEX(Match!AA:AA,MATCH(E28,Match!U:U,0))</f>
        <v>2.4</v>
      </c>
      <c r="R28" s="174">
        <f>INDEX(Match!AB:AB,MATCH(E28,Match!U:U,0))</f>
        <v>3.25</v>
      </c>
      <c r="S28" s="174">
        <f>INDEX(Match!AC:AC,MATCH(E28,Match!U:U,0))</f>
        <v>2.875</v>
      </c>
    </row>
    <row r="29" spans="1:19">
      <c r="A29" s="4">
        <v>28</v>
      </c>
      <c r="B29" s="91">
        <f>IF(Match!B29="","",Match!B29)</f>
        <v>44968</v>
      </c>
      <c r="C29" s="514">
        <f t="shared" si="2"/>
        <v>7</v>
      </c>
      <c r="D29" s="60" t="str">
        <f>IF(Match!D29="","",Match!D29)</f>
        <v>League 1</v>
      </c>
      <c r="E29" s="59" t="str">
        <f>IF(Match!U29="","",Match!U29)</f>
        <v>Peterborough  v  Bolton   11/8  9/4  2/1</v>
      </c>
      <c r="F29" s="59" t="str">
        <f>IF(Match!V29="","",Match!V29)</f>
        <v xml:space="preserve">Peterborough 0-5 Bolton </v>
      </c>
      <c r="G29" s="33" t="str">
        <f t="shared" si="0"/>
        <v>Peterborough</v>
      </c>
      <c r="H29" s="34" t="str">
        <f t="shared" si="1"/>
        <v>11/8</v>
      </c>
      <c r="I29" s="177">
        <f t="shared" si="3"/>
        <v>2.375</v>
      </c>
      <c r="J29" s="34">
        <f>INDEX(Picks!T:T,MATCH(G29,Picks!R:R,0))</f>
        <v>0</v>
      </c>
      <c r="K29" s="34">
        <f>IF(INDEX(Match!P:P,MATCH(A29,Match!A:A,0))="OFF",0,1)</f>
        <v>1</v>
      </c>
      <c r="L29" t="str">
        <f>INDEX(Match!Q:Q,MATCH(E29,Match!U:U,0))</f>
        <v>Peterborough</v>
      </c>
      <c r="M29" t="str">
        <f>INDEX(Match!X:X,MATCH(E29,Match!U:U,0))</f>
        <v>11/8</v>
      </c>
      <c r="N29" t="str">
        <f>INDEX(Match!R:R,MATCH(E29,Match!U:U,0))</f>
        <v>Bolton</v>
      </c>
      <c r="O29" t="str">
        <f>INDEX(Match!Y:Y,MATCH(E29,Match!U:U,0))</f>
        <v>9/4</v>
      </c>
      <c r="P29" t="str">
        <f>INDEX(Match!Z:Z,MATCH(E29,Match!U:U,0))</f>
        <v>2/1</v>
      </c>
      <c r="Q29" s="174">
        <f>INDEX(Match!AA:AA,MATCH(E29,Match!U:U,0))</f>
        <v>2.375</v>
      </c>
      <c r="R29" s="174">
        <f>INDEX(Match!AB:AB,MATCH(E29,Match!U:U,0))</f>
        <v>3.25</v>
      </c>
      <c r="S29" s="174">
        <f>INDEX(Match!AC:AC,MATCH(E29,Match!U:U,0))</f>
        <v>3</v>
      </c>
    </row>
    <row r="30" spans="1:19">
      <c r="A30" s="4">
        <v>29</v>
      </c>
      <c r="B30" s="91">
        <f>IF(Match!B30="","",Match!B30)</f>
        <v>44968</v>
      </c>
      <c r="C30" s="514">
        <f t="shared" si="2"/>
        <v>7</v>
      </c>
      <c r="D30" s="60" t="str">
        <f>IF(Match!D30="","",Match!D30)</f>
        <v>League 1</v>
      </c>
      <c r="E30" s="59" t="str">
        <f>IF(Match!U30="","",Match!U30)</f>
        <v>Plymouth  v  Portsmouth   21/20  12/5  5/2</v>
      </c>
      <c r="F30" s="59" t="str">
        <f>IF(Match!V30="","",Match!V30)</f>
        <v xml:space="preserve">Plymouth 3-1 Portsmouth </v>
      </c>
      <c r="G30" s="33" t="str">
        <f t="shared" si="0"/>
        <v>Plymouth</v>
      </c>
      <c r="H30" s="34" t="str">
        <f t="shared" si="1"/>
        <v>21/20</v>
      </c>
      <c r="I30" s="177">
        <f t="shared" si="3"/>
        <v>2.0499999999999998</v>
      </c>
      <c r="J30" s="34">
        <f>INDEX(Picks!T:T,MATCH(G30,Picks!R:R,0))</f>
        <v>1</v>
      </c>
      <c r="K30" s="34">
        <f>IF(INDEX(Match!P:P,MATCH(A30,Match!A:A,0))="OFF",0,1)</f>
        <v>1</v>
      </c>
      <c r="L30" t="str">
        <f>INDEX(Match!Q:Q,MATCH(E30,Match!U:U,0))</f>
        <v>Plymouth</v>
      </c>
      <c r="M30" t="str">
        <f>INDEX(Match!X:X,MATCH(E30,Match!U:U,0))</f>
        <v>21/20</v>
      </c>
      <c r="N30" t="str">
        <f>INDEX(Match!R:R,MATCH(E30,Match!U:U,0))</f>
        <v>Portsmouth</v>
      </c>
      <c r="O30" t="str">
        <f>INDEX(Match!Y:Y,MATCH(E30,Match!U:U,0))</f>
        <v>12/5</v>
      </c>
      <c r="P30" t="str">
        <f>INDEX(Match!Z:Z,MATCH(E30,Match!U:U,0))</f>
        <v>5/2</v>
      </c>
      <c r="Q30" s="174">
        <f>INDEX(Match!AA:AA,MATCH(E30,Match!U:U,0))</f>
        <v>2.0499999999999998</v>
      </c>
      <c r="R30" s="174">
        <f>INDEX(Match!AB:AB,MATCH(E30,Match!U:U,0))</f>
        <v>3.4</v>
      </c>
      <c r="S30" s="174">
        <f>INDEX(Match!AC:AC,MATCH(E30,Match!U:U,0))</f>
        <v>3.5</v>
      </c>
    </row>
    <row r="31" spans="1:19">
      <c r="A31" s="4">
        <v>30</v>
      </c>
      <c r="B31" s="91">
        <f>IF(Match!B31="","",Match!B31)</f>
        <v>44968</v>
      </c>
      <c r="C31" s="514">
        <f t="shared" si="2"/>
        <v>7</v>
      </c>
      <c r="D31" s="60" t="str">
        <f>IF(Match!D31="","",Match!D31)</f>
        <v>League 1</v>
      </c>
      <c r="E31" s="59" t="str">
        <f>IF(Match!U31="","",Match!U31)</f>
        <v>Shrewsbury  v  Port Vale   5/4  11/5  11/5</v>
      </c>
      <c r="F31" s="59" t="str">
        <f>IF(Match!V31="","",Match!V31)</f>
        <v xml:space="preserve">Shrewsbury 3-2 Port Vale </v>
      </c>
      <c r="G31" s="33" t="str">
        <f t="shared" si="0"/>
        <v>Shrewsbury</v>
      </c>
      <c r="H31" s="34" t="str">
        <f t="shared" si="1"/>
        <v>5/4</v>
      </c>
      <c r="I31" s="177">
        <f t="shared" si="3"/>
        <v>2.25</v>
      </c>
      <c r="J31" s="34">
        <f>INDEX(Picks!T:T,MATCH(G31,Picks!R:R,0))</f>
        <v>1</v>
      </c>
      <c r="K31" s="34">
        <f>IF(INDEX(Match!P:P,MATCH(A31,Match!A:A,0))="OFF",0,1)</f>
        <v>1</v>
      </c>
      <c r="L31" t="str">
        <f>INDEX(Match!Q:Q,MATCH(E31,Match!U:U,0))</f>
        <v>Shrewsbury</v>
      </c>
      <c r="M31" t="str">
        <f>INDEX(Match!X:X,MATCH(E31,Match!U:U,0))</f>
        <v>5/4</v>
      </c>
      <c r="N31" t="str">
        <f>INDEX(Match!R:R,MATCH(E31,Match!U:U,0))</f>
        <v>Port Vale</v>
      </c>
      <c r="O31" t="str">
        <f>INDEX(Match!Y:Y,MATCH(E31,Match!U:U,0))</f>
        <v>11/5</v>
      </c>
      <c r="P31" t="str">
        <f>INDEX(Match!Z:Z,MATCH(E31,Match!U:U,0))</f>
        <v>11/5</v>
      </c>
      <c r="Q31" s="174">
        <f>INDEX(Match!AA:AA,MATCH(E31,Match!U:U,0))</f>
        <v>2.25</v>
      </c>
      <c r="R31" s="174">
        <f>INDEX(Match!AB:AB,MATCH(E31,Match!U:U,0))</f>
        <v>3.2</v>
      </c>
      <c r="S31" s="174">
        <f>INDEX(Match!AC:AC,MATCH(E31,Match!U:U,0))</f>
        <v>3.2</v>
      </c>
    </row>
    <row r="32" spans="1:19">
      <c r="A32" s="4">
        <v>31</v>
      </c>
      <c r="B32" s="91">
        <f>IF(Match!B32="","",Match!B32)</f>
        <v>44968</v>
      </c>
      <c r="C32" s="514">
        <f t="shared" si="2"/>
        <v>7</v>
      </c>
      <c r="D32" s="60" t="str">
        <f>IF(Match!D32="","",Match!D32)</f>
        <v>League 1</v>
      </c>
      <c r="E32" s="59" t="str">
        <f>IF(Match!U32="","",Match!U32)</f>
        <v>Wycombe  v  Derby   19/10  12/5  13/10</v>
      </c>
      <c r="F32" s="59" t="str">
        <f>IF(Match!V32="","",Match!V32)</f>
        <v xml:space="preserve">Wycombe 3-2 Derby </v>
      </c>
      <c r="G32" s="33" t="str">
        <f t="shared" si="0"/>
        <v>Wycombe</v>
      </c>
      <c r="H32" s="34" t="str">
        <f t="shared" si="1"/>
        <v>19/10</v>
      </c>
      <c r="I32" s="177">
        <f t="shared" si="3"/>
        <v>2.9</v>
      </c>
      <c r="J32" s="34">
        <f>INDEX(Picks!T:T,MATCH(G32,Picks!R:R,0))</f>
        <v>1</v>
      </c>
      <c r="K32" s="34">
        <f>IF(INDEX(Match!P:P,MATCH(A32,Match!A:A,0))="OFF",0,1)</f>
        <v>1</v>
      </c>
      <c r="L32" t="str">
        <f>INDEX(Match!Q:Q,MATCH(E32,Match!U:U,0))</f>
        <v>Wycombe</v>
      </c>
      <c r="M32" t="str">
        <f>INDEX(Match!X:X,MATCH(E32,Match!U:U,0))</f>
        <v>19/10</v>
      </c>
      <c r="N32" t="str">
        <f>INDEX(Match!R:R,MATCH(E32,Match!U:U,0))</f>
        <v>Derby</v>
      </c>
      <c r="O32" t="str">
        <f>INDEX(Match!Y:Y,MATCH(E32,Match!U:U,0))</f>
        <v>12/5</v>
      </c>
      <c r="P32" t="str">
        <f>INDEX(Match!Z:Z,MATCH(E32,Match!U:U,0))</f>
        <v>13/10</v>
      </c>
      <c r="Q32" s="174">
        <f>INDEX(Match!AA:AA,MATCH(E32,Match!U:U,0))</f>
        <v>2.9</v>
      </c>
      <c r="R32" s="174">
        <f>INDEX(Match!AB:AB,MATCH(E32,Match!U:U,0))</f>
        <v>3.4</v>
      </c>
      <c r="S32" s="174">
        <f>INDEX(Match!AC:AC,MATCH(E32,Match!U:U,0))</f>
        <v>2.2999999999999998</v>
      </c>
    </row>
    <row r="33" spans="1:19">
      <c r="A33" s="4">
        <v>32</v>
      </c>
      <c r="B33" s="91">
        <f>IF(Match!B33="","",Match!B33)</f>
        <v>44968</v>
      </c>
      <c r="C33" s="514">
        <f t="shared" si="2"/>
        <v>7</v>
      </c>
      <c r="D33" s="60" t="str">
        <f>IF(Match!D33="","",Match!D33)</f>
        <v>League 2</v>
      </c>
      <c r="E33" s="59" t="str">
        <f>IF(Match!U33="","",Match!U33)</f>
        <v>Barrow  v  Newport   13/10  21/10  9/4</v>
      </c>
      <c r="F33" s="59" t="str">
        <f>IF(Match!V33="","",Match!V33)</f>
        <v xml:space="preserve">Barrow 0-1 Newport </v>
      </c>
      <c r="G33" s="33" t="str">
        <f t="shared" ref="G33:G46" si="4">IF(E33="","",L33)</f>
        <v>Barrow</v>
      </c>
      <c r="H33" s="34" t="str">
        <f t="shared" si="1"/>
        <v>13/10</v>
      </c>
      <c r="I33" s="177">
        <f t="shared" si="3"/>
        <v>2.2999999999999998</v>
      </c>
      <c r="J33" s="34">
        <f>INDEX(Picks!T:T,MATCH(G33,Picks!R:R,0))</f>
        <v>0</v>
      </c>
      <c r="K33" s="34">
        <f>IF(INDEX(Match!P:P,MATCH(A33,Match!A:A,0))="OFF",0,1)</f>
        <v>1</v>
      </c>
      <c r="L33" t="str">
        <f>INDEX(Match!Q:Q,MATCH(E33,Match!U:U,0))</f>
        <v>Barrow</v>
      </c>
      <c r="M33" t="str">
        <f>INDEX(Match!X:X,MATCH(E33,Match!U:U,0))</f>
        <v>13/10</v>
      </c>
      <c r="N33" t="str">
        <f>INDEX(Match!R:R,MATCH(E33,Match!U:U,0))</f>
        <v>Newport</v>
      </c>
      <c r="O33" t="str">
        <f>INDEX(Match!Y:Y,MATCH(E33,Match!U:U,0))</f>
        <v>21/10</v>
      </c>
      <c r="P33" t="str">
        <f>INDEX(Match!Z:Z,MATCH(E33,Match!U:U,0))</f>
        <v>9/4</v>
      </c>
      <c r="Q33" s="174">
        <f>INDEX(Match!AA:AA,MATCH(E33,Match!U:U,0))</f>
        <v>2.2999999999999998</v>
      </c>
      <c r="R33" s="174">
        <f>INDEX(Match!AB:AB,MATCH(E33,Match!U:U,0))</f>
        <v>3.1</v>
      </c>
      <c r="S33" s="174">
        <f>INDEX(Match!AC:AC,MATCH(E33,Match!U:U,0))</f>
        <v>3.25</v>
      </c>
    </row>
    <row r="34" spans="1:19">
      <c r="A34" s="4">
        <v>33</v>
      </c>
      <c r="B34" s="91">
        <f>IF(Match!B34="","",Match!B34)</f>
        <v>44968</v>
      </c>
      <c r="C34" s="514">
        <f t="shared" si="2"/>
        <v>7</v>
      </c>
      <c r="D34" s="60" t="str">
        <f>IF(Match!D34="","",Match!D34)</f>
        <v>League 2</v>
      </c>
      <c r="E34" s="59" t="str">
        <f>IF(Match!U34="","",Match!U34)</f>
        <v>Crawley  v  Crewe   7/5  21/10  2/1</v>
      </c>
      <c r="F34" s="59" t="str">
        <f>IF(Match!V34="","",Match!V34)</f>
        <v xml:space="preserve">Crawley 2-2 Crewe </v>
      </c>
      <c r="G34" s="33" t="str">
        <f t="shared" si="4"/>
        <v>Crawley</v>
      </c>
      <c r="H34" s="34" t="str">
        <f t="shared" si="1"/>
        <v>7/5</v>
      </c>
      <c r="I34" s="177">
        <f t="shared" si="3"/>
        <v>2.4</v>
      </c>
      <c r="J34" s="34">
        <f>INDEX(Picks!T:T,MATCH(G34,Picks!R:R,0))</f>
        <v>0</v>
      </c>
      <c r="K34" s="34">
        <f>IF(INDEX(Match!P:P,MATCH(A34,Match!A:A,0))="OFF",0,1)</f>
        <v>1</v>
      </c>
      <c r="L34" t="str">
        <f>INDEX(Match!Q:Q,MATCH(E34,Match!U:U,0))</f>
        <v>Crawley</v>
      </c>
      <c r="M34" t="str">
        <f>INDEX(Match!X:X,MATCH(E34,Match!U:U,0))</f>
        <v>7/5</v>
      </c>
      <c r="N34" t="str">
        <f>INDEX(Match!R:R,MATCH(E34,Match!U:U,0))</f>
        <v>Crewe</v>
      </c>
      <c r="O34" t="str">
        <f>INDEX(Match!Y:Y,MATCH(E34,Match!U:U,0))</f>
        <v>21/10</v>
      </c>
      <c r="P34" t="str">
        <f>INDEX(Match!Z:Z,MATCH(E34,Match!U:U,0))</f>
        <v>2/1</v>
      </c>
      <c r="Q34" s="174">
        <f>INDEX(Match!AA:AA,MATCH(E34,Match!U:U,0))</f>
        <v>2.4</v>
      </c>
      <c r="R34" s="174">
        <f>INDEX(Match!AB:AB,MATCH(E34,Match!U:U,0))</f>
        <v>3.1</v>
      </c>
      <c r="S34" s="174">
        <f>INDEX(Match!AC:AC,MATCH(E34,Match!U:U,0))</f>
        <v>3</v>
      </c>
    </row>
    <row r="35" spans="1:19">
      <c r="A35" s="4">
        <v>34</v>
      </c>
      <c r="B35" s="91">
        <f>IF(Match!B35="","",Match!B35)</f>
        <v>44968</v>
      </c>
      <c r="C35" s="514">
        <f t="shared" si="2"/>
        <v>7</v>
      </c>
      <c r="D35" s="60" t="str">
        <f>IF(Match!D35="","",Match!D35)</f>
        <v>League 2</v>
      </c>
      <c r="E35" s="59" t="str">
        <f>IF(Match!U35="","",Match!U35)</f>
        <v>Grimsby  v  Colchester   21/20  9/4  13/5</v>
      </c>
      <c r="F35" s="59" t="str">
        <f>IF(Match!V35="","",Match!V35)</f>
        <v xml:space="preserve">Grimsby 0-1 Colchester </v>
      </c>
      <c r="G35" s="33" t="str">
        <f t="shared" si="4"/>
        <v>Grimsby</v>
      </c>
      <c r="H35" s="34" t="str">
        <f t="shared" si="1"/>
        <v>21/20</v>
      </c>
      <c r="I35" s="177">
        <f t="shared" si="3"/>
        <v>2.0499999999999998</v>
      </c>
      <c r="J35" s="34">
        <f>INDEX(Picks!T:T,MATCH(G35,Picks!R:R,0))</f>
        <v>0</v>
      </c>
      <c r="K35" s="34">
        <f>IF(INDEX(Match!P:P,MATCH(A35,Match!A:A,0))="OFF",0,1)</f>
        <v>1</v>
      </c>
      <c r="L35" t="str">
        <f>INDEX(Match!Q:Q,MATCH(E35,Match!U:U,0))</f>
        <v>Grimsby</v>
      </c>
      <c r="M35" t="str">
        <f>INDEX(Match!X:X,MATCH(E35,Match!U:U,0))</f>
        <v>21/20</v>
      </c>
      <c r="N35" t="str">
        <f>INDEX(Match!R:R,MATCH(E35,Match!U:U,0))</f>
        <v>Colchester</v>
      </c>
      <c r="O35" t="str">
        <f>INDEX(Match!Y:Y,MATCH(E35,Match!U:U,0))</f>
        <v>9/4</v>
      </c>
      <c r="P35" t="str">
        <f>INDEX(Match!Z:Z,MATCH(E35,Match!U:U,0))</f>
        <v>13/5</v>
      </c>
      <c r="Q35" s="174">
        <f>INDEX(Match!AA:AA,MATCH(E35,Match!U:U,0))</f>
        <v>2.0499999999999998</v>
      </c>
      <c r="R35" s="174">
        <f>INDEX(Match!AB:AB,MATCH(E35,Match!U:U,0))</f>
        <v>3.25</v>
      </c>
      <c r="S35" s="174">
        <f>INDEX(Match!AC:AC,MATCH(E35,Match!U:U,0))</f>
        <v>3.6</v>
      </c>
    </row>
    <row r="36" spans="1:19">
      <c r="A36" s="4">
        <v>35</v>
      </c>
      <c r="B36" s="91">
        <f>IF(Match!B36="","",Match!B36)</f>
        <v>44968</v>
      </c>
      <c r="C36" s="514">
        <f t="shared" si="2"/>
        <v>7</v>
      </c>
      <c r="D36" s="60" t="str">
        <f>IF(Match!D36="","",Match!D36)</f>
        <v>League 2</v>
      </c>
      <c r="E36" s="59" t="str">
        <f>IF(Match!U36="","",Match!U36)</f>
        <v>Harrogate  v  Stockport   17/5  5/2  4/5</v>
      </c>
      <c r="F36" s="59" t="str">
        <f>IF(Match!V36="","",Match!V36)</f>
        <v xml:space="preserve">Harrogate 1-3 Stockport </v>
      </c>
      <c r="G36" s="33" t="str">
        <f t="shared" si="4"/>
        <v>Harrogate</v>
      </c>
      <c r="H36" s="34" t="str">
        <f t="shared" si="1"/>
        <v>17/5</v>
      </c>
      <c r="I36" s="177">
        <f t="shared" si="3"/>
        <v>4.4000000000000004</v>
      </c>
      <c r="J36" s="34">
        <f>INDEX(Picks!T:T,MATCH(G36,Picks!R:R,0))</f>
        <v>0</v>
      </c>
      <c r="K36" s="34">
        <f>IF(INDEX(Match!P:P,MATCH(A36,Match!A:A,0))="OFF",0,1)</f>
        <v>1</v>
      </c>
      <c r="L36" t="str">
        <f>INDEX(Match!Q:Q,MATCH(E36,Match!U:U,0))</f>
        <v>Harrogate</v>
      </c>
      <c r="M36" t="str">
        <f>INDEX(Match!X:X,MATCH(E36,Match!U:U,0))</f>
        <v>17/5</v>
      </c>
      <c r="N36" t="str">
        <f>INDEX(Match!R:R,MATCH(E36,Match!U:U,0))</f>
        <v>Stockport</v>
      </c>
      <c r="O36" t="str">
        <f>INDEX(Match!Y:Y,MATCH(E36,Match!U:U,0))</f>
        <v>5/2</v>
      </c>
      <c r="P36" t="str">
        <f>INDEX(Match!Z:Z,MATCH(E36,Match!U:U,0))</f>
        <v>4/5</v>
      </c>
      <c r="Q36" s="174">
        <f>INDEX(Match!AA:AA,MATCH(E36,Match!U:U,0))</f>
        <v>4.4000000000000004</v>
      </c>
      <c r="R36" s="174">
        <f>INDEX(Match!AB:AB,MATCH(E36,Match!U:U,0))</f>
        <v>3.5</v>
      </c>
      <c r="S36" s="174">
        <f>INDEX(Match!AC:AC,MATCH(E36,Match!U:U,0))</f>
        <v>1.8</v>
      </c>
    </row>
    <row r="37" spans="1:19">
      <c r="A37" s="4">
        <v>36</v>
      </c>
      <c r="B37" s="91">
        <f>IF(Match!B37="","",Match!B37)</f>
        <v>44968</v>
      </c>
      <c r="C37" s="514">
        <f t="shared" si="2"/>
        <v>7</v>
      </c>
      <c r="D37" s="60" t="str">
        <f>IF(Match!D37="","",Match!D37)</f>
        <v>League 2</v>
      </c>
      <c r="E37" s="59" t="str">
        <f>IF(Match!U37="","",Match!U37)</f>
        <v>Hartlepool  v  Sutton   11/5  11/5  5/4</v>
      </c>
      <c r="F37" s="59" t="str">
        <f>IF(Match!V37="","",Match!V37)</f>
        <v xml:space="preserve">Hartlepool 2-2 Sutton </v>
      </c>
      <c r="G37" s="33" t="str">
        <f t="shared" si="4"/>
        <v>Hartlepool</v>
      </c>
      <c r="H37" s="34" t="str">
        <f t="shared" si="1"/>
        <v>11/5</v>
      </c>
      <c r="I37" s="177">
        <f t="shared" si="3"/>
        <v>3.2</v>
      </c>
      <c r="J37" s="34">
        <f>INDEX(Picks!T:T,MATCH(G37,Picks!R:R,0))</f>
        <v>0</v>
      </c>
      <c r="K37" s="34">
        <f>IF(INDEX(Match!P:P,MATCH(A37,Match!A:A,0))="OFF",0,1)</f>
        <v>1</v>
      </c>
      <c r="L37" t="str">
        <f>INDEX(Match!Q:Q,MATCH(E37,Match!U:U,0))</f>
        <v>Hartlepool</v>
      </c>
      <c r="M37" t="str">
        <f>INDEX(Match!X:X,MATCH(E37,Match!U:U,0))</f>
        <v>11/5</v>
      </c>
      <c r="N37" t="str">
        <f>INDEX(Match!R:R,MATCH(E37,Match!U:U,0))</f>
        <v>Sutton</v>
      </c>
      <c r="O37" t="str">
        <f>INDEX(Match!Y:Y,MATCH(E37,Match!U:U,0))</f>
        <v>11/5</v>
      </c>
      <c r="P37" t="str">
        <f>INDEX(Match!Z:Z,MATCH(E37,Match!U:U,0))</f>
        <v>5/4</v>
      </c>
      <c r="Q37" s="174">
        <f>INDEX(Match!AA:AA,MATCH(E37,Match!U:U,0))</f>
        <v>3.2</v>
      </c>
      <c r="R37" s="174">
        <f>INDEX(Match!AB:AB,MATCH(E37,Match!U:U,0))</f>
        <v>3.2</v>
      </c>
      <c r="S37" s="174">
        <f>INDEX(Match!AC:AC,MATCH(E37,Match!U:U,0))</f>
        <v>2.25</v>
      </c>
    </row>
    <row r="38" spans="1:19">
      <c r="A38" s="4">
        <v>37</v>
      </c>
      <c r="B38" s="91">
        <f>IF(Match!B38="","",Match!B38)</f>
        <v>44968</v>
      </c>
      <c r="C38" s="514">
        <f t="shared" si="2"/>
        <v>7</v>
      </c>
      <c r="D38" s="60" t="str">
        <f>IF(Match!D38="","",Match!D38)</f>
        <v>League 2</v>
      </c>
      <c r="E38" s="59" t="str">
        <f>IF(Match!U38="","",Match!U38)</f>
        <v>Mansfield  v  Gillingham   7/10  5/2  4/1</v>
      </c>
      <c r="F38" s="59" t="str">
        <f>IF(Match!V38="","",Match!V38)</f>
        <v xml:space="preserve">Mansfield 2-0 Gillingham </v>
      </c>
      <c r="G38" s="33" t="str">
        <f t="shared" si="4"/>
        <v>Mansfield</v>
      </c>
      <c r="H38" s="34" t="str">
        <f t="shared" si="1"/>
        <v>7/10</v>
      </c>
      <c r="I38" s="177">
        <f t="shared" si="3"/>
        <v>1.7</v>
      </c>
      <c r="J38" s="34">
        <f>INDEX(Picks!T:T,MATCH(G38,Picks!R:R,0))</f>
        <v>1</v>
      </c>
      <c r="K38" s="34">
        <f>IF(INDEX(Match!P:P,MATCH(A38,Match!A:A,0))="OFF",0,1)</f>
        <v>1</v>
      </c>
      <c r="L38" t="str">
        <f>INDEX(Match!Q:Q,MATCH(E38,Match!U:U,0))</f>
        <v>Mansfield</v>
      </c>
      <c r="M38" t="str">
        <f>INDEX(Match!X:X,MATCH(E38,Match!U:U,0))</f>
        <v>7/10</v>
      </c>
      <c r="N38" t="str">
        <f>INDEX(Match!R:R,MATCH(E38,Match!U:U,0))</f>
        <v>Gillingham</v>
      </c>
      <c r="O38" t="str">
        <f>INDEX(Match!Y:Y,MATCH(E38,Match!U:U,0))</f>
        <v>5/2</v>
      </c>
      <c r="P38" t="str">
        <f>INDEX(Match!Z:Z,MATCH(E38,Match!U:U,0))</f>
        <v>4/1</v>
      </c>
      <c r="Q38" s="174">
        <f>INDEX(Match!AA:AA,MATCH(E38,Match!U:U,0))</f>
        <v>1.7</v>
      </c>
      <c r="R38" s="174">
        <f>INDEX(Match!AB:AB,MATCH(E38,Match!U:U,0))</f>
        <v>3.5</v>
      </c>
      <c r="S38" s="174">
        <f>INDEX(Match!AC:AC,MATCH(E38,Match!U:U,0))</f>
        <v>5</v>
      </c>
    </row>
    <row r="39" spans="1:19">
      <c r="A39" s="4">
        <v>38</v>
      </c>
      <c r="B39" s="91">
        <f>IF(Match!B39="","",Match!B39)</f>
        <v>44968</v>
      </c>
      <c r="C39" s="514">
        <f t="shared" si="2"/>
        <v>7</v>
      </c>
      <c r="D39" s="60" t="str">
        <f>IF(Match!D39="","",Match!D39)</f>
        <v>League 2</v>
      </c>
      <c r="E39" s="59" t="str">
        <f>IF(Match!U39="","",Match!U39)</f>
        <v>Rochdale  v  Northampton   27/10  11/5  21/10</v>
      </c>
      <c r="F39" s="59" t="str">
        <f>IF(Match!V39="","",Match!V39)</f>
        <v xml:space="preserve">Rochdale 1-1 Northampton </v>
      </c>
      <c r="G39" s="33" t="str">
        <f t="shared" si="4"/>
        <v>Rochdale</v>
      </c>
      <c r="H39" s="34" t="str">
        <f t="shared" si="1"/>
        <v>27/10</v>
      </c>
      <c r="I39" s="177">
        <f t="shared" si="3"/>
        <v>3.7</v>
      </c>
      <c r="J39" s="34">
        <f>INDEX(Picks!T:T,MATCH(G39,Picks!R:R,0))</f>
        <v>0</v>
      </c>
      <c r="K39" s="34">
        <f>IF(INDEX(Match!P:P,MATCH(A39,Match!A:A,0))="OFF",0,1)</f>
        <v>1</v>
      </c>
      <c r="L39" t="str">
        <f>INDEX(Match!Q:Q,MATCH(E39,Match!U:U,0))</f>
        <v>Rochdale</v>
      </c>
      <c r="M39" t="str">
        <f>INDEX(Match!X:X,MATCH(E39,Match!U:U,0))</f>
        <v>27/10</v>
      </c>
      <c r="N39" t="str">
        <f>INDEX(Match!R:R,MATCH(E39,Match!U:U,0))</f>
        <v>Northampton</v>
      </c>
      <c r="O39" t="str">
        <f>INDEX(Match!Y:Y,MATCH(E39,Match!U:U,0))</f>
        <v>11/5</v>
      </c>
      <c r="P39" t="str">
        <f>INDEX(Match!Z:Z,MATCH(E39,Match!U:U,0))</f>
        <v>21/10</v>
      </c>
      <c r="Q39" s="174">
        <f>INDEX(Match!AA:AA,MATCH(E39,Match!U:U,0))</f>
        <v>3.7</v>
      </c>
      <c r="R39" s="174">
        <f>INDEX(Match!AB:AB,MATCH(E39,Match!U:U,0))</f>
        <v>3.2</v>
      </c>
      <c r="S39" s="174">
        <f>INDEX(Match!AC:AC,MATCH(E39,Match!U:U,0))</f>
        <v>3.1</v>
      </c>
    </row>
    <row r="40" spans="1:19">
      <c r="A40" s="4">
        <v>39</v>
      </c>
      <c r="B40" s="91">
        <f>IF(Match!B40="","",Match!B40)</f>
        <v>44968</v>
      </c>
      <c r="C40" s="514">
        <f t="shared" si="2"/>
        <v>7</v>
      </c>
      <c r="D40" s="60" t="str">
        <f>IF(Match!D40="","",Match!D40)</f>
        <v>League 2</v>
      </c>
      <c r="E40" s="59" t="str">
        <f>IF(Match!U40="","",Match!U40)</f>
        <v>Stevenage  v  Bradford   17/20  12/5  16/5</v>
      </c>
      <c r="F40" s="59" t="str">
        <f>IF(Match!V40="","",Match!V40)</f>
        <v xml:space="preserve">Stevenage 2-3 Bradford </v>
      </c>
      <c r="G40" s="33" t="str">
        <f t="shared" si="4"/>
        <v>Stevenage</v>
      </c>
      <c r="H40" s="34" t="str">
        <f t="shared" si="1"/>
        <v>17/20</v>
      </c>
      <c r="I40" s="177">
        <f t="shared" si="3"/>
        <v>1.85</v>
      </c>
      <c r="J40" s="34">
        <f>INDEX(Picks!T:T,MATCH(G40,Picks!R:R,0))</f>
        <v>0</v>
      </c>
      <c r="K40" s="34">
        <f>IF(INDEX(Match!P:P,MATCH(A40,Match!A:A,0))="OFF",0,1)</f>
        <v>1</v>
      </c>
      <c r="L40" t="str">
        <f>INDEX(Match!Q:Q,MATCH(E40,Match!U:U,0))</f>
        <v>Stevenage</v>
      </c>
      <c r="M40" t="str">
        <f>INDEX(Match!X:X,MATCH(E40,Match!U:U,0))</f>
        <v>17/20</v>
      </c>
      <c r="N40" t="str">
        <f>INDEX(Match!R:R,MATCH(E40,Match!U:U,0))</f>
        <v>Bradford</v>
      </c>
      <c r="O40" t="str">
        <f>INDEX(Match!Y:Y,MATCH(E40,Match!U:U,0))</f>
        <v>12/5</v>
      </c>
      <c r="P40" t="str">
        <f>INDEX(Match!Z:Z,MATCH(E40,Match!U:U,0))</f>
        <v>16/5</v>
      </c>
      <c r="Q40" s="174">
        <f>INDEX(Match!AA:AA,MATCH(E40,Match!U:U,0))</f>
        <v>1.85</v>
      </c>
      <c r="R40" s="174">
        <f>INDEX(Match!AB:AB,MATCH(E40,Match!U:U,0))</f>
        <v>3.4</v>
      </c>
      <c r="S40" s="174">
        <f>INDEX(Match!AC:AC,MATCH(E40,Match!U:U,0))</f>
        <v>4.2</v>
      </c>
    </row>
    <row r="41" spans="1:19">
      <c r="A41" s="4">
        <v>40</v>
      </c>
      <c r="B41" s="91">
        <f>IF(Match!B41="","",Match!B41)</f>
        <v>44968</v>
      </c>
      <c r="C41" s="514">
        <f t="shared" si="2"/>
        <v>7</v>
      </c>
      <c r="D41" s="60" t="str">
        <f>IF(Match!D41="","",Match!D41)</f>
        <v>League 2</v>
      </c>
      <c r="E41" s="59" t="str">
        <f>IF(Match!U41="","",Match!U41)</f>
        <v>Swindon  v  Doncaster   11/10  11/5  13/5</v>
      </c>
      <c r="F41" s="59" t="str">
        <f>IF(Match!V41="","",Match!V41)</f>
        <v xml:space="preserve">Swindon 0-2 Doncaster </v>
      </c>
      <c r="G41" s="33" t="str">
        <f t="shared" si="4"/>
        <v>Swindon</v>
      </c>
      <c r="H41" s="34" t="str">
        <f t="shared" si="1"/>
        <v>11/10</v>
      </c>
      <c r="I41" s="177">
        <f t="shared" si="3"/>
        <v>2.1</v>
      </c>
      <c r="J41" s="34">
        <f>INDEX(Picks!T:T,MATCH(G41,Picks!R:R,0))</f>
        <v>0</v>
      </c>
      <c r="K41" s="34">
        <f>IF(INDEX(Match!P:P,MATCH(A41,Match!A:A,0))="OFF",0,1)</f>
        <v>1</v>
      </c>
      <c r="L41" t="str">
        <f>INDEX(Match!Q:Q,MATCH(E41,Match!U:U,0))</f>
        <v>Swindon</v>
      </c>
      <c r="M41" t="str">
        <f>INDEX(Match!X:X,MATCH(E41,Match!U:U,0))</f>
        <v>11/10</v>
      </c>
      <c r="N41" t="str">
        <f>INDEX(Match!R:R,MATCH(E41,Match!U:U,0))</f>
        <v>Doncaster</v>
      </c>
      <c r="O41" t="str">
        <f>INDEX(Match!Y:Y,MATCH(E41,Match!U:U,0))</f>
        <v>11/5</v>
      </c>
      <c r="P41" t="str">
        <f>INDEX(Match!Z:Z,MATCH(E41,Match!U:U,0))</f>
        <v>13/5</v>
      </c>
      <c r="Q41" s="174">
        <f>INDEX(Match!AA:AA,MATCH(E41,Match!U:U,0))</f>
        <v>2.1</v>
      </c>
      <c r="R41" s="174">
        <f>INDEX(Match!AB:AB,MATCH(E41,Match!U:U,0))</f>
        <v>3.2</v>
      </c>
      <c r="S41" s="174">
        <f>INDEX(Match!AC:AC,MATCH(E41,Match!U:U,0))</f>
        <v>3.6</v>
      </c>
    </row>
    <row r="42" spans="1:19">
      <c r="A42" s="4">
        <v>41</v>
      </c>
      <c r="B42" s="91">
        <f>IF(Match!B42="","",Match!B42)</f>
        <v>44968</v>
      </c>
      <c r="C42" s="514">
        <f t="shared" si="2"/>
        <v>7</v>
      </c>
      <c r="D42" s="60" t="str">
        <f>IF(Match!D42="","",Match!D42)</f>
        <v>League 2</v>
      </c>
      <c r="E42" s="59" t="str">
        <f>IF(Match!U42="","",Match!U42)</f>
        <v>Tranmere  v  Salford   7/5  2/1  21/10</v>
      </c>
      <c r="F42" s="59" t="str">
        <f>IF(Match!V42="","",Match!V42)</f>
        <v xml:space="preserve">Tranmere 1-0 Salford </v>
      </c>
      <c r="G42" s="33" t="str">
        <f t="shared" si="4"/>
        <v>Tranmere</v>
      </c>
      <c r="H42" s="34" t="str">
        <f t="shared" si="1"/>
        <v>7/5</v>
      </c>
      <c r="I42" s="177">
        <f t="shared" si="3"/>
        <v>2.4</v>
      </c>
      <c r="J42" s="34">
        <f>INDEX(Picks!T:T,MATCH(G42,Picks!R:R,0))</f>
        <v>1</v>
      </c>
      <c r="K42" s="34">
        <f>IF(INDEX(Match!P:P,MATCH(A42,Match!A:A,0))="OFF",0,1)</f>
        <v>1</v>
      </c>
      <c r="L42" t="str">
        <f>INDEX(Match!Q:Q,MATCH(E42,Match!U:U,0))</f>
        <v>Tranmere</v>
      </c>
      <c r="M42" t="str">
        <f>INDEX(Match!X:X,MATCH(E42,Match!U:U,0))</f>
        <v>7/5</v>
      </c>
      <c r="N42" t="str">
        <f>INDEX(Match!R:R,MATCH(E42,Match!U:U,0))</f>
        <v>Salford</v>
      </c>
      <c r="O42" t="str">
        <f>INDEX(Match!Y:Y,MATCH(E42,Match!U:U,0))</f>
        <v>2/1</v>
      </c>
      <c r="P42" t="str">
        <f>INDEX(Match!Z:Z,MATCH(E42,Match!U:U,0))</f>
        <v>21/10</v>
      </c>
      <c r="Q42" s="174">
        <f>INDEX(Match!AA:AA,MATCH(E42,Match!U:U,0))</f>
        <v>2.4</v>
      </c>
      <c r="R42" s="174">
        <f>INDEX(Match!AB:AB,MATCH(E42,Match!U:U,0))</f>
        <v>3</v>
      </c>
      <c r="S42" s="174">
        <f>INDEX(Match!AC:AC,MATCH(E42,Match!U:U,0))</f>
        <v>3.1</v>
      </c>
    </row>
    <row r="43" spans="1:19">
      <c r="A43" s="4">
        <v>42</v>
      </c>
      <c r="B43" s="91">
        <f>IF(Match!B43="","",Match!B43)</f>
        <v>44968</v>
      </c>
      <c r="C43" s="514">
        <f t="shared" si="2"/>
        <v>7</v>
      </c>
      <c r="D43" s="60" t="str">
        <f>IF(Match!D43="","",Match!D43)</f>
        <v>League 2</v>
      </c>
      <c r="E43" s="59" t="str">
        <f>IF(Match!U43="","",Match!U43)</f>
        <v>Walsall  v  Orient   29/20  15/8  11/5</v>
      </c>
      <c r="F43" s="59" t="str">
        <f>IF(Match!V43="","",Match!V43)</f>
        <v xml:space="preserve">Walsall 1-1 Orient </v>
      </c>
      <c r="G43" s="33" t="str">
        <f t="shared" si="4"/>
        <v>Walsall</v>
      </c>
      <c r="H43" s="34" t="str">
        <f t="shared" si="1"/>
        <v>29/20</v>
      </c>
      <c r="I43" s="177">
        <f t="shared" si="3"/>
        <v>2.4500000000000002</v>
      </c>
      <c r="J43" s="34">
        <f>INDEX(Picks!T:T,MATCH(G43,Picks!R:R,0))</f>
        <v>0</v>
      </c>
      <c r="K43" s="34">
        <f>IF(INDEX(Match!P:P,MATCH(A43,Match!A:A,0))="OFF",0,1)</f>
        <v>1</v>
      </c>
      <c r="L43" t="str">
        <f>INDEX(Match!Q:Q,MATCH(E43,Match!U:U,0))</f>
        <v>Walsall</v>
      </c>
      <c r="M43" t="str">
        <f>INDEX(Match!X:X,MATCH(E43,Match!U:U,0))</f>
        <v>29/20</v>
      </c>
      <c r="N43" t="str">
        <f>INDEX(Match!R:R,MATCH(E43,Match!U:U,0))</f>
        <v>Orient</v>
      </c>
      <c r="O43" t="str">
        <f>INDEX(Match!Y:Y,MATCH(E43,Match!U:U,0))</f>
        <v>15/8</v>
      </c>
      <c r="P43" t="str">
        <f>INDEX(Match!Z:Z,MATCH(E43,Match!U:U,0))</f>
        <v>11/5</v>
      </c>
      <c r="Q43" s="174">
        <f>INDEX(Match!AA:AA,MATCH(E43,Match!U:U,0))</f>
        <v>2.4500000000000002</v>
      </c>
      <c r="R43" s="174">
        <f>INDEX(Match!AB:AB,MATCH(E43,Match!U:U,0))</f>
        <v>2.875</v>
      </c>
      <c r="S43" s="174">
        <f>INDEX(Match!AC:AC,MATCH(E43,Match!U:U,0))</f>
        <v>3.2</v>
      </c>
    </row>
    <row r="44" spans="1:19">
      <c r="A44" s="4">
        <v>43</v>
      </c>
      <c r="B44" s="91">
        <f>IF(Match!B44="","",Match!B44)</f>
        <v>44968</v>
      </c>
      <c r="C44" s="514">
        <f t="shared" si="2"/>
        <v>7</v>
      </c>
      <c r="D44" s="60" t="str">
        <f>IF(Match!D44="","",Match!D44)</f>
        <v>League 2</v>
      </c>
      <c r="E44" s="59" t="str">
        <f>IF(Match!U44="","",Match!U44)</f>
        <v>Wimbledon  v  Carlisle   15/8  21/10  6/4</v>
      </c>
      <c r="F44" s="59" t="str">
        <f>IF(Match!V44="","",Match!V44)</f>
        <v xml:space="preserve">Wimbledon 0-0 Carlisle </v>
      </c>
      <c r="G44" s="33" t="str">
        <f t="shared" si="4"/>
        <v>Wimbledon</v>
      </c>
      <c r="H44" s="34" t="str">
        <f t="shared" si="1"/>
        <v>15/8</v>
      </c>
      <c r="I44" s="177">
        <f t="shared" si="3"/>
        <v>2.875</v>
      </c>
      <c r="J44" s="34">
        <f>INDEX(Picks!T:T,MATCH(G44,Picks!R:R,0))</f>
        <v>0</v>
      </c>
      <c r="K44" s="34">
        <f>IF(INDEX(Match!P:P,MATCH(A44,Match!A:A,0))="OFF",0,1)</f>
        <v>1</v>
      </c>
      <c r="L44" t="str">
        <f>INDEX(Match!Q:Q,MATCH(E44,Match!U:U,0))</f>
        <v>Wimbledon</v>
      </c>
      <c r="M44" t="str">
        <f>INDEX(Match!X:X,MATCH(E44,Match!U:U,0))</f>
        <v>15/8</v>
      </c>
      <c r="N44" t="str">
        <f>INDEX(Match!R:R,MATCH(E44,Match!U:U,0))</f>
        <v>Carlisle</v>
      </c>
      <c r="O44" t="str">
        <f>INDEX(Match!Y:Y,MATCH(E44,Match!U:U,0))</f>
        <v>21/10</v>
      </c>
      <c r="P44" t="str">
        <f>INDEX(Match!Z:Z,MATCH(E44,Match!U:U,0))</f>
        <v>6/4</v>
      </c>
      <c r="Q44" s="174">
        <f>INDEX(Match!AA:AA,MATCH(E44,Match!U:U,0))</f>
        <v>2.875</v>
      </c>
      <c r="R44" s="174">
        <f>INDEX(Match!AB:AB,MATCH(E44,Match!U:U,0))</f>
        <v>3.1</v>
      </c>
      <c r="S44" s="174">
        <f>INDEX(Match!AC:AC,MATCH(E44,Match!U:U,0))</f>
        <v>2.5</v>
      </c>
    </row>
    <row r="45" spans="1:19">
      <c r="A45" s="4">
        <v>44</v>
      </c>
      <c r="B45" s="91">
        <f>IF(Match!B45="","",Match!B45)</f>
        <v>44969</v>
      </c>
      <c r="C45" s="514">
        <f t="shared" si="2"/>
        <v>1</v>
      </c>
      <c r="D45" s="60" t="str">
        <f>IF(Match!D45="","",Match!D45)</f>
        <v>Premier</v>
      </c>
      <c r="E45" s="59" t="str">
        <f>IF(Match!U45="","",Match!U45)</f>
        <v>Leeds  v  Man U   10/3  29/10  3/4</v>
      </c>
      <c r="F45" s="59" t="str">
        <f>IF(Match!V45="","",Match!V45)</f>
        <v xml:space="preserve">Leeds 0-2 Man U </v>
      </c>
      <c r="G45" s="33" t="str">
        <f t="shared" si="4"/>
        <v>Leeds</v>
      </c>
      <c r="H45" s="34" t="str">
        <f t="shared" si="1"/>
        <v>10/3</v>
      </c>
      <c r="I45" s="177">
        <f t="shared" si="3"/>
        <v>4.3333333333333339</v>
      </c>
      <c r="J45" s="34">
        <f>INDEX(Picks!T:T,MATCH(G45,Picks!R:R,0))</f>
        <v>0</v>
      </c>
      <c r="K45" s="34">
        <f>IF(INDEX(Match!P:P,MATCH(A45,Match!A:A,0))="OFF",0,1)</f>
        <v>1</v>
      </c>
      <c r="L45" t="str">
        <f>INDEX(Match!Q:Q,MATCH(E45,Match!U:U,0))</f>
        <v>Leeds</v>
      </c>
      <c r="M45" t="str">
        <f>INDEX(Match!X:X,MATCH(E45,Match!U:U,0))</f>
        <v>10/3</v>
      </c>
      <c r="N45" t="str">
        <f>INDEX(Match!R:R,MATCH(E45,Match!U:U,0))</f>
        <v>Man U</v>
      </c>
      <c r="O45" t="str">
        <f>INDEX(Match!Y:Y,MATCH(E45,Match!U:U,0))</f>
        <v>29/10</v>
      </c>
      <c r="P45" t="str">
        <f>INDEX(Match!Z:Z,MATCH(E45,Match!U:U,0))</f>
        <v>3/4</v>
      </c>
      <c r="Q45" s="174">
        <f>INDEX(Match!AA:AA,MATCH(E45,Match!U:U,0))</f>
        <v>4.3333333333333339</v>
      </c>
      <c r="R45" s="174">
        <f>INDEX(Match!AB:AB,MATCH(E45,Match!U:U,0))</f>
        <v>3.9</v>
      </c>
      <c r="S45" s="174">
        <f>INDEX(Match!AC:AC,MATCH(E45,Match!U:U,0))</f>
        <v>1.75</v>
      </c>
    </row>
    <row r="46" spans="1:19">
      <c r="A46" s="4">
        <v>45</v>
      </c>
      <c r="B46" s="91">
        <f>IF(Match!B46="","",Match!B46)</f>
        <v>44969</v>
      </c>
      <c r="C46" s="514">
        <f t="shared" si="2"/>
        <v>1</v>
      </c>
      <c r="D46" s="60" t="str">
        <f>IF(Match!D46="","",Match!D46)</f>
        <v>Premier</v>
      </c>
      <c r="E46" s="59" t="str">
        <f>IF(Match!U46="","",Match!U46)</f>
        <v>Man C  v  Villa   2/9  5/1  12/1</v>
      </c>
      <c r="F46" s="59" t="str">
        <f>IF(Match!V46="","",Match!V46)</f>
        <v xml:space="preserve">Man C 3-1 Villa </v>
      </c>
      <c r="G46" s="33" t="str">
        <f t="shared" si="4"/>
        <v>Man C</v>
      </c>
      <c r="H46" s="34" t="str">
        <f>IF(E46="","",M46)</f>
        <v>2/9</v>
      </c>
      <c r="I46" s="177">
        <f t="shared" si="3"/>
        <v>1.2222222222222223</v>
      </c>
      <c r="J46" s="34">
        <f>INDEX(Picks!T:T,MATCH(G46,Picks!R:R,0))</f>
        <v>1</v>
      </c>
      <c r="K46" s="34">
        <f>IF(INDEX(Match!P:P,MATCH(A46,Match!A:A,0))="OFF",0,1)</f>
        <v>1</v>
      </c>
      <c r="L46" t="str">
        <f>INDEX(Match!Q:Q,MATCH(E46,Match!U:U,0))</f>
        <v>Man C</v>
      </c>
      <c r="M46" t="str">
        <f>INDEX(Match!X:X,MATCH(E46,Match!U:U,0))</f>
        <v>2/9</v>
      </c>
      <c r="N46" t="str">
        <f>INDEX(Match!R:R,MATCH(E46,Match!U:U,0))</f>
        <v>Villa</v>
      </c>
      <c r="O46" t="str">
        <f>INDEX(Match!Y:Y,MATCH(E46,Match!U:U,0))</f>
        <v>5/1</v>
      </c>
      <c r="P46" t="str">
        <f>INDEX(Match!Z:Z,MATCH(E46,Match!U:U,0))</f>
        <v>12/1</v>
      </c>
      <c r="Q46" s="174">
        <f>INDEX(Match!AA:AA,MATCH(E46,Match!U:U,0))</f>
        <v>1.2222222222222223</v>
      </c>
      <c r="R46" s="174">
        <f>INDEX(Match!AB:AB,MATCH(E46,Match!U:U,0))</f>
        <v>6</v>
      </c>
      <c r="S46" s="174">
        <f>INDEX(Match!AC:AC,MATCH(E46,Match!U:U,0))</f>
        <v>13</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44967</v>
      </c>
      <c r="C48" s="514">
        <f t="shared" si="2"/>
        <v>6</v>
      </c>
      <c r="E48" s="8"/>
      <c r="F48" s="8"/>
      <c r="G48" s="147" t="str">
        <f t="shared" ref="G48:G93" si="5">IF(E2="","",L2&amp;" draw")</f>
        <v>Birmingham draw</v>
      </c>
      <c r="H48" s="148" t="str">
        <f t="shared" ref="H48:H93" si="6">IF(E2="","",O2)</f>
        <v>9/4</v>
      </c>
      <c r="I48" s="178">
        <f>IF(E2="","",R2)</f>
        <v>3.25</v>
      </c>
      <c r="J48" s="148">
        <f>INDEX(Picks!T:T,MATCH(G48,Picks!R:R,0))</f>
        <v>0</v>
      </c>
      <c r="K48" s="148">
        <f>IF(INDEX(Match!P:P,MATCH(A48,Match!A:A,0))="OFF",0,1)</f>
        <v>1</v>
      </c>
    </row>
    <row r="49" spans="1:11">
      <c r="A49" s="4">
        <v>2</v>
      </c>
      <c r="B49" s="91">
        <f>IF(Match!B3="","",Match!B3)</f>
        <v>44968</v>
      </c>
      <c r="C49" s="514">
        <f t="shared" si="2"/>
        <v>7</v>
      </c>
      <c r="G49" s="147" t="str">
        <f t="shared" si="5"/>
        <v>Arsenal draw</v>
      </c>
      <c r="H49" s="148" t="str">
        <f t="shared" si="6"/>
        <v>15/4</v>
      </c>
      <c r="I49" s="178">
        <f t="shared" ref="I49:I93" si="7">IF(E3="","",R3)</f>
        <v>4.75</v>
      </c>
      <c r="J49" s="148">
        <f>INDEX(Picks!T:T,MATCH(G49,Picks!R:R,0))</f>
        <v>1</v>
      </c>
      <c r="K49" s="148">
        <f>IF(INDEX(Match!P:P,MATCH(A49,Match!A:A,0))="OFF",0,1)</f>
        <v>1</v>
      </c>
    </row>
    <row r="50" spans="1:11">
      <c r="A50" s="4">
        <v>3</v>
      </c>
      <c r="B50" s="91">
        <f>IF(Match!B4="","",Match!B4)</f>
        <v>44968</v>
      </c>
      <c r="C50" s="514">
        <f t="shared" si="2"/>
        <v>7</v>
      </c>
      <c r="G50" s="147" t="str">
        <f t="shared" si="5"/>
        <v>Bournemouth draw</v>
      </c>
      <c r="H50" s="148" t="str">
        <f t="shared" si="6"/>
        <v>3/1</v>
      </c>
      <c r="I50" s="178">
        <f t="shared" si="7"/>
        <v>4</v>
      </c>
      <c r="J50" s="148">
        <f>INDEX(Picks!T:T,MATCH(G50,Picks!R:R,0))</f>
        <v>1</v>
      </c>
      <c r="K50" s="148">
        <f>IF(INDEX(Match!P:P,MATCH(A50,Match!A:A,0))="OFF",0,1)</f>
        <v>1</v>
      </c>
    </row>
    <row r="51" spans="1:11">
      <c r="A51" s="4">
        <v>4</v>
      </c>
      <c r="B51" s="91">
        <f>IF(Match!B5="","",Match!B5)</f>
        <v>44968</v>
      </c>
      <c r="C51" s="514">
        <f t="shared" si="2"/>
        <v>7</v>
      </c>
      <c r="G51" s="147" t="str">
        <f t="shared" si="5"/>
        <v>Fulham draw</v>
      </c>
      <c r="H51" s="148" t="str">
        <f t="shared" si="6"/>
        <v>12/5</v>
      </c>
      <c r="I51" s="178">
        <f t="shared" si="7"/>
        <v>3.4</v>
      </c>
      <c r="J51" s="148">
        <f>INDEX(Picks!T:T,MATCH(G51,Picks!R:R,0))</f>
        <v>0</v>
      </c>
      <c r="K51" s="148">
        <f>IF(INDEX(Match!P:P,MATCH(A51,Match!A:A,0))="OFF",0,1)</f>
        <v>1</v>
      </c>
    </row>
    <row r="52" spans="1:11">
      <c r="A52" s="4">
        <v>5</v>
      </c>
      <c r="B52" s="91">
        <f>IF(Match!B6="","",Match!B6)</f>
        <v>44968</v>
      </c>
      <c r="C52" s="514">
        <f t="shared" si="2"/>
        <v>7</v>
      </c>
      <c r="G52" s="147" t="str">
        <f t="shared" si="5"/>
        <v>Leicester draw</v>
      </c>
      <c r="H52" s="148" t="str">
        <f t="shared" si="6"/>
        <v>13/5</v>
      </c>
      <c r="I52" s="178">
        <f t="shared" si="7"/>
        <v>3.6</v>
      </c>
      <c r="J52" s="148">
        <f>INDEX(Picks!T:T,MATCH(G52,Picks!R:R,0))</f>
        <v>0</v>
      </c>
      <c r="K52" s="148">
        <f>IF(INDEX(Match!P:P,MATCH(A52,Match!A:A,0))="OFF",0,1)</f>
        <v>1</v>
      </c>
    </row>
    <row r="53" spans="1:11">
      <c r="A53" s="4">
        <v>6</v>
      </c>
      <c r="B53" s="91">
        <f>IF(Match!B7="","",Match!B7)</f>
        <v>44968</v>
      </c>
      <c r="C53" s="514">
        <f t="shared" si="2"/>
        <v>7</v>
      </c>
      <c r="G53" s="147" t="str">
        <f t="shared" si="5"/>
        <v>Palace draw</v>
      </c>
      <c r="H53" s="148" t="str">
        <f t="shared" si="6"/>
        <v>23/10</v>
      </c>
      <c r="I53" s="178">
        <f t="shared" si="7"/>
        <v>3.3</v>
      </c>
      <c r="J53" s="148">
        <f>INDEX(Picks!T:T,MATCH(G53,Picks!R:R,0))</f>
        <v>1</v>
      </c>
      <c r="K53" s="148">
        <f>IF(INDEX(Match!P:P,MATCH(A53,Match!A:A,0))="OFF",0,1)</f>
        <v>1</v>
      </c>
    </row>
    <row r="54" spans="1:11">
      <c r="A54" s="4">
        <v>7</v>
      </c>
      <c r="B54" s="91">
        <f>IF(Match!B8="","",Match!B8)</f>
        <v>44968</v>
      </c>
      <c r="C54" s="514">
        <f t="shared" si="2"/>
        <v>7</v>
      </c>
      <c r="G54" s="147" t="str">
        <f t="shared" si="5"/>
        <v>Southampton draw</v>
      </c>
      <c r="H54" s="148" t="str">
        <f t="shared" si="6"/>
        <v>21/10</v>
      </c>
      <c r="I54" s="178">
        <f t="shared" si="7"/>
        <v>3.1</v>
      </c>
      <c r="J54" s="148">
        <f>INDEX(Picks!T:T,MATCH(G54,Picks!R:R,0))</f>
        <v>0</v>
      </c>
      <c r="K54" s="148">
        <f>IF(INDEX(Match!P:P,MATCH(A54,Match!A:A,0))="OFF",0,1)</f>
        <v>1</v>
      </c>
    </row>
    <row r="55" spans="1:11">
      <c r="A55" s="4">
        <v>8</v>
      </c>
      <c r="B55" s="91">
        <f>IF(Match!B9="","",Match!B9)</f>
        <v>44968</v>
      </c>
      <c r="C55" s="514">
        <f t="shared" si="2"/>
        <v>7</v>
      </c>
      <c r="G55" s="147" t="str">
        <f t="shared" si="5"/>
        <v>West Ham draw</v>
      </c>
      <c r="H55" s="148" t="str">
        <f t="shared" si="6"/>
        <v>11/5</v>
      </c>
      <c r="I55" s="178">
        <f t="shared" si="7"/>
        <v>3.2</v>
      </c>
      <c r="J55" s="148">
        <f>INDEX(Picks!T:T,MATCH(G55,Picks!R:R,0))</f>
        <v>1</v>
      </c>
      <c r="K55" s="148">
        <f>IF(INDEX(Match!P:P,MATCH(A55,Match!A:A,0))="OFF",0,1)</f>
        <v>1</v>
      </c>
    </row>
    <row r="56" spans="1:11">
      <c r="A56" s="4">
        <v>9</v>
      </c>
      <c r="B56" s="91">
        <f>IF(Match!B10="","",Match!B10)</f>
        <v>44968</v>
      </c>
      <c r="C56" s="514">
        <f t="shared" si="2"/>
        <v>7</v>
      </c>
      <c r="G56" s="147" t="str">
        <f t="shared" si="5"/>
        <v>Blackpool draw</v>
      </c>
      <c r="H56" s="148" t="str">
        <f t="shared" si="6"/>
        <v>11/5</v>
      </c>
      <c r="I56" s="178">
        <f t="shared" si="7"/>
        <v>3.2</v>
      </c>
      <c r="J56" s="148">
        <f>INDEX(Picks!T:T,MATCH(G56,Picks!R:R,0))</f>
        <v>1</v>
      </c>
      <c r="K56" s="148">
        <f>IF(INDEX(Match!P:P,MATCH(A56,Match!A:A,0))="OFF",0,1)</f>
        <v>1</v>
      </c>
    </row>
    <row r="57" spans="1:11">
      <c r="A57" s="4">
        <v>10</v>
      </c>
      <c r="B57" s="91">
        <f>IF(Match!B11="","",Match!B11)</f>
        <v>44968</v>
      </c>
      <c r="C57" s="514">
        <f t="shared" si="2"/>
        <v>7</v>
      </c>
      <c r="G57" s="147" t="str">
        <f t="shared" si="5"/>
        <v>Bristol C draw</v>
      </c>
      <c r="H57" s="148" t="str">
        <f t="shared" si="6"/>
        <v>23/10</v>
      </c>
      <c r="I57" s="178">
        <f t="shared" si="7"/>
        <v>3.3</v>
      </c>
      <c r="J57" s="148">
        <f>INDEX(Picks!T:T,MATCH(G57,Picks!R:R,0))</f>
        <v>0</v>
      </c>
      <c r="K57" s="148">
        <f>IF(INDEX(Match!P:P,MATCH(A57,Match!A:A,0))="OFF",0,1)</f>
        <v>1</v>
      </c>
    </row>
    <row r="58" spans="1:11">
      <c r="A58" s="4">
        <v>11</v>
      </c>
      <c r="B58" s="91">
        <f>IF(Match!B12="","",Match!B12)</f>
        <v>44968</v>
      </c>
      <c r="C58" s="514">
        <f t="shared" si="2"/>
        <v>7</v>
      </c>
      <c r="G58" s="147" t="str">
        <f t="shared" si="5"/>
        <v>Burnley draw</v>
      </c>
      <c r="H58" s="148" t="str">
        <f t="shared" si="6"/>
        <v>29/10</v>
      </c>
      <c r="I58" s="178">
        <f t="shared" si="7"/>
        <v>3.9</v>
      </c>
      <c r="J58" s="148">
        <f>INDEX(Picks!T:T,MATCH(G58,Picks!R:R,0))</f>
        <v>0</v>
      </c>
      <c r="K58" s="148">
        <f>IF(INDEX(Match!P:P,MATCH(A58,Match!A:A,0))="OFF",0,1)</f>
        <v>1</v>
      </c>
    </row>
    <row r="59" spans="1:11">
      <c r="A59" s="4">
        <v>12</v>
      </c>
      <c r="B59" s="91">
        <f>IF(Match!B13="","",Match!B13)</f>
        <v>44968</v>
      </c>
      <c r="C59" s="514">
        <f t="shared" si="2"/>
        <v>7</v>
      </c>
      <c r="G59" s="147" t="str">
        <f t="shared" si="5"/>
        <v>Cardiff draw</v>
      </c>
      <c r="H59" s="148" t="str">
        <f t="shared" si="6"/>
        <v>9/4</v>
      </c>
      <c r="I59" s="178">
        <f t="shared" si="7"/>
        <v>3.25</v>
      </c>
      <c r="J59" s="148">
        <f>INDEX(Picks!T:T,MATCH(G59,Picks!R:R,0))</f>
        <v>0</v>
      </c>
      <c r="K59" s="148">
        <f>IF(INDEX(Match!P:P,MATCH(A59,Match!A:A,0))="OFF",0,1)</f>
        <v>1</v>
      </c>
    </row>
    <row r="60" spans="1:11">
      <c r="A60" s="4">
        <v>13</v>
      </c>
      <c r="B60" s="91">
        <f>IF(Match!B14="","",Match!B14)</f>
        <v>44968</v>
      </c>
      <c r="C60" s="514">
        <f t="shared" si="2"/>
        <v>7</v>
      </c>
      <c r="G60" s="147" t="str">
        <f t="shared" si="5"/>
        <v>Coventry draw</v>
      </c>
      <c r="H60" s="148" t="str">
        <f t="shared" si="6"/>
        <v>11/5</v>
      </c>
      <c r="I60" s="178">
        <f t="shared" si="7"/>
        <v>3.2</v>
      </c>
      <c r="J60" s="148">
        <f>INDEX(Picks!T:T,MATCH(G60,Picks!R:R,0))</f>
        <v>1</v>
      </c>
      <c r="K60" s="148">
        <f>IF(INDEX(Match!P:P,MATCH(A60,Match!A:A,0))="OFF",0,1)</f>
        <v>1</v>
      </c>
    </row>
    <row r="61" spans="1:11">
      <c r="A61" s="4">
        <v>14</v>
      </c>
      <c r="B61" s="91">
        <f>IF(Match!B15="","",Match!B15)</f>
        <v>44968</v>
      </c>
      <c r="C61" s="514">
        <f t="shared" si="2"/>
        <v>7</v>
      </c>
      <c r="G61" s="147" t="str">
        <f t="shared" si="5"/>
        <v>QPR draw</v>
      </c>
      <c r="H61" s="148" t="str">
        <f t="shared" si="6"/>
        <v>11/5</v>
      </c>
      <c r="I61" s="178">
        <f t="shared" si="7"/>
        <v>3.2</v>
      </c>
      <c r="J61" s="148">
        <f>INDEX(Picks!T:T,MATCH(G61,Picks!R:R,0))</f>
        <v>0</v>
      </c>
      <c r="K61" s="148">
        <f>IF(INDEX(Match!P:P,MATCH(A61,Match!A:A,0))="OFF",0,1)</f>
        <v>1</v>
      </c>
    </row>
    <row r="62" spans="1:11">
      <c r="A62" s="4">
        <v>15</v>
      </c>
      <c r="B62" s="91">
        <f>IF(Match!B16="","",Match!B16)</f>
        <v>44968</v>
      </c>
      <c r="C62" s="514">
        <f t="shared" si="2"/>
        <v>7</v>
      </c>
      <c r="G62" s="147" t="str">
        <f t="shared" si="5"/>
        <v>Sheff U draw</v>
      </c>
      <c r="H62" s="148" t="str">
        <f t="shared" si="6"/>
        <v>13/5</v>
      </c>
      <c r="I62" s="178">
        <f t="shared" si="7"/>
        <v>3.6</v>
      </c>
      <c r="J62" s="148">
        <f>INDEX(Picks!T:T,MATCH(G62,Picks!R:R,0))</f>
        <v>0</v>
      </c>
      <c r="K62" s="148">
        <f>IF(INDEX(Match!P:P,MATCH(A62,Match!A:A,0))="OFF",0,1)</f>
        <v>1</v>
      </c>
    </row>
    <row r="63" spans="1:11">
      <c r="A63" s="4">
        <v>16</v>
      </c>
      <c r="B63" s="91">
        <f>IF(Match!B17="","",Match!B17)</f>
        <v>44968</v>
      </c>
      <c r="C63" s="514">
        <f t="shared" si="2"/>
        <v>7</v>
      </c>
      <c r="G63" s="147" t="str">
        <f t="shared" si="5"/>
        <v>Stoke draw</v>
      </c>
      <c r="H63" s="148" t="str">
        <f t="shared" si="6"/>
        <v>9/4</v>
      </c>
      <c r="I63" s="178">
        <f t="shared" si="7"/>
        <v>3.25</v>
      </c>
      <c r="J63" s="148">
        <f>INDEX(Picks!T:T,MATCH(G63,Picks!R:R,0))</f>
        <v>1</v>
      </c>
      <c r="K63" s="148">
        <f>IF(INDEX(Match!P:P,MATCH(A63,Match!A:A,0))="OFF",0,1)</f>
        <v>1</v>
      </c>
    </row>
    <row r="64" spans="1:11">
      <c r="A64" s="4">
        <v>17</v>
      </c>
      <c r="B64" s="91">
        <f>IF(Match!B18="","",Match!B18)</f>
        <v>44968</v>
      </c>
      <c r="C64" s="514">
        <f t="shared" si="2"/>
        <v>7</v>
      </c>
      <c r="G64" s="147" t="str">
        <f t="shared" si="5"/>
        <v>Sunderland draw</v>
      </c>
      <c r="H64" s="148" t="str">
        <f t="shared" si="6"/>
        <v>12/5</v>
      </c>
      <c r="I64" s="178">
        <f t="shared" si="7"/>
        <v>3.4</v>
      </c>
      <c r="J64" s="148">
        <f>INDEX(Picks!T:T,MATCH(G64,Picks!R:R,0))</f>
        <v>0</v>
      </c>
      <c r="K64" s="148">
        <f>IF(INDEX(Match!P:P,MATCH(A64,Match!A:A,0))="OFF",0,1)</f>
        <v>1</v>
      </c>
    </row>
    <row r="65" spans="1:11">
      <c r="A65" s="4">
        <v>18</v>
      </c>
      <c r="B65" s="91">
        <f>IF(Match!B19="","",Match!B19)</f>
        <v>44968</v>
      </c>
      <c r="C65" s="514">
        <f t="shared" si="2"/>
        <v>7</v>
      </c>
      <c r="G65" s="147" t="str">
        <f t="shared" si="5"/>
        <v>Watford draw</v>
      </c>
      <c r="H65" s="148" t="str">
        <f t="shared" si="6"/>
        <v>9/4</v>
      </c>
      <c r="I65" s="178">
        <f t="shared" si="7"/>
        <v>3.25</v>
      </c>
      <c r="J65" s="148">
        <f>INDEX(Picks!T:T,MATCH(G65,Picks!R:R,0))</f>
        <v>1</v>
      </c>
      <c r="K65" s="148">
        <f>IF(INDEX(Match!P:P,MATCH(A65,Match!A:A,0))="OFF",0,1)</f>
        <v>1</v>
      </c>
    </row>
    <row r="66" spans="1:11">
      <c r="A66" s="4">
        <v>19</v>
      </c>
      <c r="B66" s="91">
        <f>IF(Match!B20="","",Match!B20)</f>
        <v>44968</v>
      </c>
      <c r="C66" s="514">
        <f t="shared" si="2"/>
        <v>7</v>
      </c>
      <c r="G66" s="147" t="str">
        <f t="shared" si="5"/>
        <v>Wigan draw</v>
      </c>
      <c r="H66" s="148" t="str">
        <f t="shared" si="6"/>
        <v>21/10</v>
      </c>
      <c r="I66" s="178">
        <f t="shared" si="7"/>
        <v>3.1</v>
      </c>
      <c r="J66" s="148">
        <f>INDEX(Picks!T:T,MATCH(G66,Picks!R:R,0))</f>
        <v>0</v>
      </c>
      <c r="K66" s="148">
        <f>IF(INDEX(Match!P:P,MATCH(A66,Match!A:A,0))="OFF",0,1)</f>
        <v>1</v>
      </c>
    </row>
    <row r="67" spans="1:11">
      <c r="A67" s="4">
        <v>20</v>
      </c>
      <c r="B67" s="91">
        <f>IF(Match!B21="","",Match!B21)</f>
        <v>44968</v>
      </c>
      <c r="C67" s="514">
        <f t="shared" ref="C67:C130" si="8">IF(B67="","",WEEKDAY(B67))</f>
        <v>7</v>
      </c>
      <c r="G67" s="147" t="str">
        <f t="shared" si="5"/>
        <v>Barnsley draw</v>
      </c>
      <c r="H67" s="148" t="str">
        <f t="shared" si="6"/>
        <v>3/1</v>
      </c>
      <c r="I67" s="178">
        <f t="shared" si="7"/>
        <v>4</v>
      </c>
      <c r="J67" s="148">
        <f>INDEX(Picks!T:T,MATCH(G67,Picks!R:R,0))</f>
        <v>0</v>
      </c>
      <c r="K67" s="148">
        <f>IF(INDEX(Match!P:P,MATCH(A67,Match!A:A,0))="OFF",0,1)</f>
        <v>1</v>
      </c>
    </row>
    <row r="68" spans="1:11">
      <c r="A68" s="4">
        <v>21</v>
      </c>
      <c r="B68" s="91">
        <f>IF(Match!B22="","",Match!B22)</f>
        <v>44968</v>
      </c>
      <c r="C68" s="514">
        <f t="shared" si="8"/>
        <v>7</v>
      </c>
      <c r="G68" s="147" t="str">
        <f t="shared" si="5"/>
        <v>Burton draw</v>
      </c>
      <c r="H68" s="148" t="str">
        <f t="shared" si="6"/>
        <v>23/10</v>
      </c>
      <c r="I68" s="178">
        <f t="shared" si="7"/>
        <v>3.3</v>
      </c>
      <c r="J68" s="148">
        <f>INDEX(Picks!T:T,MATCH(G68,Picks!R:R,0))</f>
        <v>0</v>
      </c>
      <c r="K68" s="148">
        <f>IF(INDEX(Match!P:P,MATCH(A68,Match!A:A,0))="OFF",0,1)</f>
        <v>1</v>
      </c>
    </row>
    <row r="69" spans="1:11">
      <c r="A69" s="4">
        <v>22</v>
      </c>
      <c r="B69" s="91">
        <f>IF(Match!B23="","",Match!B23)</f>
        <v>44968</v>
      </c>
      <c r="C69" s="514">
        <f t="shared" si="8"/>
        <v>7</v>
      </c>
      <c r="G69" s="147" t="str">
        <f t="shared" si="5"/>
        <v>Charlton draw</v>
      </c>
      <c r="H69" s="148" t="str">
        <f t="shared" si="6"/>
        <v>12/5</v>
      </c>
      <c r="I69" s="178">
        <f t="shared" si="7"/>
        <v>3.4</v>
      </c>
      <c r="J69" s="148">
        <f>INDEX(Picks!T:T,MATCH(G69,Picks!R:R,0))</f>
        <v>0</v>
      </c>
      <c r="K69" s="148">
        <f>IF(INDEX(Match!P:P,MATCH(A69,Match!A:A,0))="OFF",0,1)</f>
        <v>1</v>
      </c>
    </row>
    <row r="70" spans="1:11">
      <c r="A70" s="4">
        <v>23</v>
      </c>
      <c r="B70" s="91">
        <f>IF(Match!B24="","",Match!B24)</f>
        <v>44968</v>
      </c>
      <c r="C70" s="514">
        <f t="shared" si="8"/>
        <v>7</v>
      </c>
      <c r="G70" s="147" t="str">
        <f t="shared" si="5"/>
        <v>Cheltenham draw</v>
      </c>
      <c r="H70" s="148" t="str">
        <f t="shared" si="6"/>
        <v>9/4</v>
      </c>
      <c r="I70" s="178">
        <f t="shared" si="7"/>
        <v>3.25</v>
      </c>
      <c r="J70" s="148">
        <f>INDEX(Picks!T:T,MATCH(G70,Picks!R:R,0))</f>
        <v>1</v>
      </c>
      <c r="K70" s="148">
        <f>IF(INDEX(Match!P:P,MATCH(A70,Match!A:A,0))="OFF",0,1)</f>
        <v>1</v>
      </c>
    </row>
    <row r="71" spans="1:11">
      <c r="A71" s="4">
        <v>24</v>
      </c>
      <c r="B71" s="91">
        <f>IF(Match!B25="","",Match!B25)</f>
        <v>44968</v>
      </c>
      <c r="C71" s="514">
        <f t="shared" si="8"/>
        <v>7</v>
      </c>
      <c r="G71" s="147" t="str">
        <f t="shared" si="5"/>
        <v>Ipswich draw</v>
      </c>
      <c r="H71" s="148" t="str">
        <f t="shared" si="6"/>
        <v>23/10</v>
      </c>
      <c r="I71" s="178">
        <f t="shared" si="7"/>
        <v>3.3</v>
      </c>
      <c r="J71" s="148">
        <f>INDEX(Picks!T:T,MATCH(G71,Picks!R:R,0))</f>
        <v>1</v>
      </c>
      <c r="K71" s="148">
        <f>IF(INDEX(Match!P:P,MATCH(A71,Match!A:A,0))="OFF",0,1)</f>
        <v>1</v>
      </c>
    </row>
    <row r="72" spans="1:11">
      <c r="A72" s="4">
        <v>25</v>
      </c>
      <c r="B72" s="91">
        <f>IF(Match!B26="","",Match!B26)</f>
        <v>44968</v>
      </c>
      <c r="C72" s="514">
        <f t="shared" si="8"/>
        <v>7</v>
      </c>
      <c r="G72" s="147" t="str">
        <f t="shared" si="5"/>
        <v>Lincoln draw</v>
      </c>
      <c r="H72" s="148" t="str">
        <f t="shared" si="6"/>
        <v>23/10</v>
      </c>
      <c r="I72" s="178">
        <f t="shared" si="7"/>
        <v>3.3</v>
      </c>
      <c r="J72" s="148">
        <f>INDEX(Picks!T:T,MATCH(G72,Picks!R:R,0))</f>
        <v>0</v>
      </c>
      <c r="K72" s="148">
        <f>IF(INDEX(Match!P:P,MATCH(A72,Match!A:A,0))="OFF",0,1)</f>
        <v>1</v>
      </c>
    </row>
    <row r="73" spans="1:11">
      <c r="A73" s="4">
        <v>26</v>
      </c>
      <c r="B73" s="91">
        <f>IF(Match!B27="","",Match!B27)</f>
        <v>44968</v>
      </c>
      <c r="C73" s="514">
        <f t="shared" si="8"/>
        <v>7</v>
      </c>
      <c r="G73" s="147" t="str">
        <f t="shared" si="5"/>
        <v>MK Dons draw</v>
      </c>
      <c r="H73" s="148" t="str">
        <f t="shared" si="6"/>
        <v>11/5</v>
      </c>
      <c r="I73" s="178">
        <f t="shared" si="7"/>
        <v>3.2</v>
      </c>
      <c r="J73" s="148">
        <f>INDEX(Picks!T:T,MATCH(G73,Picks!R:R,0))</f>
        <v>1</v>
      </c>
      <c r="K73" s="148">
        <f>IF(INDEX(Match!P:P,MATCH(A73,Match!A:A,0))="OFF",0,1)</f>
        <v>1</v>
      </c>
    </row>
    <row r="74" spans="1:11">
      <c r="A74" s="4">
        <v>27</v>
      </c>
      <c r="B74" s="91">
        <f>IF(Match!B28="","",Match!B28)</f>
        <v>44968</v>
      </c>
      <c r="C74" s="514">
        <f t="shared" si="8"/>
        <v>7</v>
      </c>
      <c r="G74" s="147" t="str">
        <f t="shared" si="5"/>
        <v>Morecambe draw</v>
      </c>
      <c r="H74" s="148" t="str">
        <f t="shared" si="6"/>
        <v>9/4</v>
      </c>
      <c r="I74" s="178">
        <f t="shared" si="7"/>
        <v>3.25</v>
      </c>
      <c r="J74" s="148">
        <f>INDEX(Picks!T:T,MATCH(G74,Picks!R:R,0))</f>
        <v>1</v>
      </c>
      <c r="K74" s="148">
        <f>IF(INDEX(Match!P:P,MATCH(A74,Match!A:A,0))="OFF",0,1)</f>
        <v>1</v>
      </c>
    </row>
    <row r="75" spans="1:11">
      <c r="A75" s="4">
        <v>28</v>
      </c>
      <c r="B75" s="91">
        <f>IF(Match!B29="","",Match!B29)</f>
        <v>44968</v>
      </c>
      <c r="C75" s="514">
        <f t="shared" si="8"/>
        <v>7</v>
      </c>
      <c r="G75" s="147" t="str">
        <f t="shared" si="5"/>
        <v>Peterborough draw</v>
      </c>
      <c r="H75" s="148" t="str">
        <f t="shared" si="6"/>
        <v>9/4</v>
      </c>
      <c r="I75" s="178">
        <f t="shared" si="7"/>
        <v>3.25</v>
      </c>
      <c r="J75" s="148">
        <f>INDEX(Picks!T:T,MATCH(G75,Picks!R:R,0))</f>
        <v>0</v>
      </c>
      <c r="K75" s="148">
        <f>IF(INDEX(Match!P:P,MATCH(A75,Match!A:A,0))="OFF",0,1)</f>
        <v>1</v>
      </c>
    </row>
    <row r="76" spans="1:11">
      <c r="A76" s="4">
        <v>29</v>
      </c>
      <c r="B76" s="91">
        <f>IF(Match!B30="","",Match!B30)</f>
        <v>44968</v>
      </c>
      <c r="C76" s="514">
        <f t="shared" si="8"/>
        <v>7</v>
      </c>
      <c r="G76" s="147" t="str">
        <f t="shared" si="5"/>
        <v>Plymouth draw</v>
      </c>
      <c r="H76" s="148" t="str">
        <f t="shared" si="6"/>
        <v>12/5</v>
      </c>
      <c r="I76" s="178">
        <f t="shared" si="7"/>
        <v>3.4</v>
      </c>
      <c r="J76" s="148">
        <f>INDEX(Picks!T:T,MATCH(G76,Picks!R:R,0))</f>
        <v>0</v>
      </c>
      <c r="K76" s="148">
        <f>IF(INDEX(Match!P:P,MATCH(A76,Match!A:A,0))="OFF",0,1)</f>
        <v>1</v>
      </c>
    </row>
    <row r="77" spans="1:11">
      <c r="A77" s="4">
        <v>30</v>
      </c>
      <c r="B77" s="91">
        <f>IF(Match!B31="","",Match!B31)</f>
        <v>44968</v>
      </c>
      <c r="C77" s="514">
        <f t="shared" si="8"/>
        <v>7</v>
      </c>
      <c r="G77" s="147" t="str">
        <f t="shared" si="5"/>
        <v>Shrewsbury draw</v>
      </c>
      <c r="H77" s="148" t="str">
        <f t="shared" si="6"/>
        <v>11/5</v>
      </c>
      <c r="I77" s="178">
        <f t="shared" si="7"/>
        <v>3.2</v>
      </c>
      <c r="J77" s="148">
        <f>INDEX(Picks!T:T,MATCH(G77,Picks!R:R,0))</f>
        <v>0</v>
      </c>
      <c r="K77" s="148">
        <f>IF(INDEX(Match!P:P,MATCH(A77,Match!A:A,0))="OFF",0,1)</f>
        <v>1</v>
      </c>
    </row>
    <row r="78" spans="1:11">
      <c r="A78" s="4">
        <v>31</v>
      </c>
      <c r="B78" s="91">
        <f>IF(Match!B32="","",Match!B32)</f>
        <v>44968</v>
      </c>
      <c r="C78" s="514">
        <f t="shared" si="8"/>
        <v>7</v>
      </c>
      <c r="G78" s="147" t="str">
        <f t="shared" si="5"/>
        <v>Wycombe draw</v>
      </c>
      <c r="H78" s="148" t="str">
        <f t="shared" si="6"/>
        <v>12/5</v>
      </c>
      <c r="I78" s="178">
        <f t="shared" si="7"/>
        <v>3.4</v>
      </c>
      <c r="J78" s="148">
        <f>INDEX(Picks!T:T,MATCH(G78,Picks!R:R,0))</f>
        <v>0</v>
      </c>
      <c r="K78" s="148">
        <f>IF(INDEX(Match!P:P,MATCH(A78,Match!A:A,0))="OFF",0,1)</f>
        <v>1</v>
      </c>
    </row>
    <row r="79" spans="1:11">
      <c r="A79" s="4">
        <v>32</v>
      </c>
      <c r="B79" s="91">
        <f>IF(Match!B33="","",Match!B33)</f>
        <v>44968</v>
      </c>
      <c r="C79" s="514">
        <f t="shared" si="8"/>
        <v>7</v>
      </c>
      <c r="G79" s="147" t="str">
        <f t="shared" si="5"/>
        <v>Barrow draw</v>
      </c>
      <c r="H79" s="148" t="str">
        <f t="shared" si="6"/>
        <v>21/10</v>
      </c>
      <c r="I79" s="178">
        <f t="shared" si="7"/>
        <v>3.1</v>
      </c>
      <c r="J79" s="148">
        <f>INDEX(Picks!T:T,MATCH(G79,Picks!R:R,0))</f>
        <v>0</v>
      </c>
      <c r="K79" s="148">
        <f>IF(INDEX(Match!P:P,MATCH(A79,Match!A:A,0))="OFF",0,1)</f>
        <v>1</v>
      </c>
    </row>
    <row r="80" spans="1:11">
      <c r="A80" s="4">
        <v>33</v>
      </c>
      <c r="B80" s="91">
        <f>IF(Match!B34="","",Match!B34)</f>
        <v>44968</v>
      </c>
      <c r="C80" s="514">
        <f t="shared" si="8"/>
        <v>7</v>
      </c>
      <c r="G80" s="147" t="str">
        <f t="shared" si="5"/>
        <v>Crawley draw</v>
      </c>
      <c r="H80" s="148" t="str">
        <f t="shared" si="6"/>
        <v>21/10</v>
      </c>
      <c r="I80" s="178">
        <f t="shared" si="7"/>
        <v>3.1</v>
      </c>
      <c r="J80" s="148">
        <f>INDEX(Picks!T:T,MATCH(G80,Picks!R:R,0))</f>
        <v>1</v>
      </c>
      <c r="K80" s="148">
        <f>IF(INDEX(Match!P:P,MATCH(A80,Match!A:A,0))="OFF",0,1)</f>
        <v>1</v>
      </c>
    </row>
    <row r="81" spans="1:11">
      <c r="A81" s="4">
        <v>34</v>
      </c>
      <c r="B81" s="91">
        <f>IF(Match!B35="","",Match!B35)</f>
        <v>44968</v>
      </c>
      <c r="C81" s="514">
        <f t="shared" si="8"/>
        <v>7</v>
      </c>
      <c r="G81" s="147" t="str">
        <f t="shared" si="5"/>
        <v>Grimsby draw</v>
      </c>
      <c r="H81" s="148" t="str">
        <f t="shared" si="6"/>
        <v>9/4</v>
      </c>
      <c r="I81" s="178">
        <f t="shared" si="7"/>
        <v>3.25</v>
      </c>
      <c r="J81" s="148">
        <f>INDEX(Picks!T:T,MATCH(G81,Picks!R:R,0))</f>
        <v>0</v>
      </c>
      <c r="K81" s="148">
        <f>IF(INDEX(Match!P:P,MATCH(A81,Match!A:A,0))="OFF",0,1)</f>
        <v>1</v>
      </c>
    </row>
    <row r="82" spans="1:11">
      <c r="A82" s="4">
        <v>35</v>
      </c>
      <c r="B82" s="91">
        <f>IF(Match!B36="","",Match!B36)</f>
        <v>44968</v>
      </c>
      <c r="C82" s="514">
        <f t="shared" si="8"/>
        <v>7</v>
      </c>
      <c r="G82" s="147" t="str">
        <f t="shared" si="5"/>
        <v>Harrogate draw</v>
      </c>
      <c r="H82" s="148" t="str">
        <f t="shared" si="6"/>
        <v>5/2</v>
      </c>
      <c r="I82" s="178">
        <f t="shared" si="7"/>
        <v>3.5</v>
      </c>
      <c r="J82" s="148">
        <f>INDEX(Picks!T:T,MATCH(G82,Picks!R:R,0))</f>
        <v>0</v>
      </c>
      <c r="K82" s="148">
        <f>IF(INDEX(Match!P:P,MATCH(A82,Match!A:A,0))="OFF",0,1)</f>
        <v>1</v>
      </c>
    </row>
    <row r="83" spans="1:11">
      <c r="A83" s="4">
        <v>36</v>
      </c>
      <c r="B83" s="91">
        <f>IF(Match!B37="","",Match!B37)</f>
        <v>44968</v>
      </c>
      <c r="C83" s="514">
        <f t="shared" si="8"/>
        <v>7</v>
      </c>
      <c r="G83" s="147" t="str">
        <f t="shared" si="5"/>
        <v>Hartlepool draw</v>
      </c>
      <c r="H83" s="148" t="str">
        <f t="shared" si="6"/>
        <v>11/5</v>
      </c>
      <c r="I83" s="178">
        <f t="shared" si="7"/>
        <v>3.2</v>
      </c>
      <c r="J83" s="148">
        <f>INDEX(Picks!T:T,MATCH(G83,Picks!R:R,0))</f>
        <v>1</v>
      </c>
      <c r="K83" s="148">
        <f>IF(INDEX(Match!P:P,MATCH(A83,Match!A:A,0))="OFF",0,1)</f>
        <v>1</v>
      </c>
    </row>
    <row r="84" spans="1:11">
      <c r="A84" s="4">
        <v>37</v>
      </c>
      <c r="B84" s="91">
        <f>IF(Match!B38="","",Match!B38)</f>
        <v>44968</v>
      </c>
      <c r="C84" s="514">
        <f t="shared" si="8"/>
        <v>7</v>
      </c>
      <c r="G84" s="147" t="str">
        <f t="shared" si="5"/>
        <v>Mansfield draw</v>
      </c>
      <c r="H84" s="148" t="str">
        <f t="shared" si="6"/>
        <v>5/2</v>
      </c>
      <c r="I84" s="178">
        <f t="shared" si="7"/>
        <v>3.5</v>
      </c>
      <c r="J84" s="148">
        <f>INDEX(Picks!T:T,MATCH(G84,Picks!R:R,0))</f>
        <v>0</v>
      </c>
      <c r="K84" s="148">
        <f>IF(INDEX(Match!P:P,MATCH(A84,Match!A:A,0))="OFF",0,1)</f>
        <v>1</v>
      </c>
    </row>
    <row r="85" spans="1:11">
      <c r="A85" s="4">
        <v>38</v>
      </c>
      <c r="B85" s="91">
        <f>IF(Match!B39="","",Match!B39)</f>
        <v>44968</v>
      </c>
      <c r="C85" s="514">
        <f t="shared" si="8"/>
        <v>7</v>
      </c>
      <c r="G85" s="147" t="str">
        <f t="shared" si="5"/>
        <v>Rochdale draw</v>
      </c>
      <c r="H85" s="148" t="str">
        <f t="shared" si="6"/>
        <v>11/5</v>
      </c>
      <c r="I85" s="178">
        <f t="shared" si="7"/>
        <v>3.2</v>
      </c>
      <c r="J85" s="148">
        <f>INDEX(Picks!T:T,MATCH(G85,Picks!R:R,0))</f>
        <v>1</v>
      </c>
      <c r="K85" s="148">
        <f>IF(INDEX(Match!P:P,MATCH(A85,Match!A:A,0))="OFF",0,1)</f>
        <v>1</v>
      </c>
    </row>
    <row r="86" spans="1:11">
      <c r="A86" s="4">
        <v>39</v>
      </c>
      <c r="B86" s="91">
        <f>IF(Match!B40="","",Match!B40)</f>
        <v>44968</v>
      </c>
      <c r="C86" s="514">
        <f t="shared" si="8"/>
        <v>7</v>
      </c>
      <c r="G86" s="147" t="str">
        <f t="shared" si="5"/>
        <v>Stevenage draw</v>
      </c>
      <c r="H86" s="148" t="str">
        <f t="shared" si="6"/>
        <v>12/5</v>
      </c>
      <c r="I86" s="178">
        <f t="shared" si="7"/>
        <v>3.4</v>
      </c>
      <c r="J86" s="148">
        <f>INDEX(Picks!T:T,MATCH(G86,Picks!R:R,0))</f>
        <v>0</v>
      </c>
      <c r="K86" s="148">
        <f>IF(INDEX(Match!P:P,MATCH(A86,Match!A:A,0))="OFF",0,1)</f>
        <v>1</v>
      </c>
    </row>
    <row r="87" spans="1:11">
      <c r="A87" s="4">
        <v>40</v>
      </c>
      <c r="B87" s="91">
        <f>IF(Match!B41="","",Match!B41)</f>
        <v>44968</v>
      </c>
      <c r="C87" s="514">
        <f t="shared" si="8"/>
        <v>7</v>
      </c>
      <c r="G87" s="147" t="str">
        <f t="shared" si="5"/>
        <v>Swindon draw</v>
      </c>
      <c r="H87" s="148" t="str">
        <f t="shared" si="6"/>
        <v>11/5</v>
      </c>
      <c r="I87" s="178">
        <f t="shared" si="7"/>
        <v>3.2</v>
      </c>
      <c r="J87" s="148">
        <f>INDEX(Picks!T:T,MATCH(G87,Picks!R:R,0))</f>
        <v>0</v>
      </c>
      <c r="K87" s="148">
        <f>IF(INDEX(Match!P:P,MATCH(A87,Match!A:A,0))="OFF",0,1)</f>
        <v>1</v>
      </c>
    </row>
    <row r="88" spans="1:11">
      <c r="A88" s="4">
        <v>41</v>
      </c>
      <c r="B88" s="91">
        <f>IF(Match!B42="","",Match!B42)</f>
        <v>44968</v>
      </c>
      <c r="C88" s="514">
        <f t="shared" si="8"/>
        <v>7</v>
      </c>
      <c r="G88" s="147" t="str">
        <f t="shared" si="5"/>
        <v>Tranmere draw</v>
      </c>
      <c r="H88" s="148" t="str">
        <f t="shared" si="6"/>
        <v>2/1</v>
      </c>
      <c r="I88" s="178">
        <f t="shared" si="7"/>
        <v>3</v>
      </c>
      <c r="J88" s="148">
        <f>INDEX(Picks!T:T,MATCH(G88,Picks!R:R,0))</f>
        <v>0</v>
      </c>
      <c r="K88" s="148">
        <f>IF(INDEX(Match!P:P,MATCH(A88,Match!A:A,0))="OFF",0,1)</f>
        <v>1</v>
      </c>
    </row>
    <row r="89" spans="1:11">
      <c r="A89" s="4">
        <v>42</v>
      </c>
      <c r="B89" s="91">
        <f>IF(Match!B43="","",Match!B43)</f>
        <v>44968</v>
      </c>
      <c r="C89" s="514">
        <f t="shared" si="8"/>
        <v>7</v>
      </c>
      <c r="G89" s="147" t="str">
        <f t="shared" si="5"/>
        <v>Walsall draw</v>
      </c>
      <c r="H89" s="148" t="str">
        <f t="shared" si="6"/>
        <v>15/8</v>
      </c>
      <c r="I89" s="178">
        <f t="shared" si="7"/>
        <v>2.875</v>
      </c>
      <c r="J89" s="148">
        <f>INDEX(Picks!T:T,MATCH(G89,Picks!R:R,0))</f>
        <v>1</v>
      </c>
      <c r="K89" s="148">
        <f>IF(INDEX(Match!P:P,MATCH(A89,Match!A:A,0))="OFF",0,1)</f>
        <v>1</v>
      </c>
    </row>
    <row r="90" spans="1:11">
      <c r="A90" s="4">
        <v>43</v>
      </c>
      <c r="B90" s="91">
        <f>IF(Match!B44="","",Match!B44)</f>
        <v>44968</v>
      </c>
      <c r="C90" s="514">
        <f t="shared" si="8"/>
        <v>7</v>
      </c>
      <c r="G90" s="147" t="str">
        <f t="shared" si="5"/>
        <v>Wimbledon draw</v>
      </c>
      <c r="H90" s="148" t="str">
        <f t="shared" si="6"/>
        <v>21/10</v>
      </c>
      <c r="I90" s="178">
        <f t="shared" si="7"/>
        <v>3.1</v>
      </c>
      <c r="J90" s="148">
        <f>INDEX(Picks!T:T,MATCH(G90,Picks!R:R,0))</f>
        <v>1</v>
      </c>
      <c r="K90" s="148">
        <f>IF(INDEX(Match!P:P,MATCH(A90,Match!A:A,0))="OFF",0,1)</f>
        <v>1</v>
      </c>
    </row>
    <row r="91" spans="1:11">
      <c r="A91" s="4">
        <v>44</v>
      </c>
      <c r="B91" s="91">
        <f>IF(Match!B45="","",Match!B45)</f>
        <v>44969</v>
      </c>
      <c r="C91" s="514">
        <f t="shared" si="8"/>
        <v>1</v>
      </c>
      <c r="G91" s="147" t="str">
        <f t="shared" si="5"/>
        <v>Leeds draw</v>
      </c>
      <c r="H91" s="148" t="str">
        <f t="shared" si="6"/>
        <v>29/10</v>
      </c>
      <c r="I91" s="178">
        <f t="shared" si="7"/>
        <v>3.9</v>
      </c>
      <c r="J91" s="148">
        <f>INDEX(Picks!T:T,MATCH(G91,Picks!R:R,0))</f>
        <v>0</v>
      </c>
      <c r="K91" s="148">
        <f>IF(INDEX(Match!P:P,MATCH(A91,Match!A:A,0))="OFF",0,1)</f>
        <v>1</v>
      </c>
    </row>
    <row r="92" spans="1:11">
      <c r="A92" s="4">
        <v>45</v>
      </c>
      <c r="B92" s="91">
        <f>IF(Match!B46="","",Match!B46)</f>
        <v>44969</v>
      </c>
      <c r="C92" s="514">
        <f t="shared" si="8"/>
        <v>1</v>
      </c>
      <c r="G92" s="147" t="str">
        <f t="shared" si="5"/>
        <v>Man C draw</v>
      </c>
      <c r="H92" s="148" t="str">
        <f t="shared" si="6"/>
        <v>5/1</v>
      </c>
      <c r="I92" s="178">
        <f t="shared" si="7"/>
        <v>6</v>
      </c>
      <c r="J92" s="148">
        <f>INDEX(Picks!T:T,MATCH(G92,Picks!R:R,0))</f>
        <v>0</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44967</v>
      </c>
      <c r="C94" s="514">
        <f t="shared" si="8"/>
        <v>6</v>
      </c>
      <c r="G94" s="149" t="str">
        <f t="shared" ref="G94:G139" si="9">IF(E2="","",N2)</f>
        <v>West Brom</v>
      </c>
      <c r="H94" s="150" t="str">
        <f t="shared" ref="H94:H139" si="10">IF(E2="","",P2)</f>
        <v>21/20</v>
      </c>
      <c r="I94" s="179">
        <f>IF(E2="","",S2)</f>
        <v>2.0499999999999998</v>
      </c>
      <c r="J94" s="150">
        <f>INDEX(Picks!T:T,MATCH(G94,Picks!R:R,0))</f>
        <v>0</v>
      </c>
      <c r="K94" s="150">
        <f>IF(INDEX(Match!P:P,MATCH(A94,Match!A:A,0))="OFF",0,1)</f>
        <v>1</v>
      </c>
    </row>
    <row r="95" spans="1:11">
      <c r="A95" s="4">
        <v>2</v>
      </c>
      <c r="B95" s="91">
        <f>IF(Match!B3="","",Match!B3)</f>
        <v>44968</v>
      </c>
      <c r="C95" s="514">
        <f t="shared" si="8"/>
        <v>7</v>
      </c>
      <c r="E95" s="8"/>
      <c r="F95" s="8"/>
      <c r="G95" s="149" t="str">
        <f t="shared" si="9"/>
        <v>Brentford</v>
      </c>
      <c r="H95" s="150" t="str">
        <f t="shared" si="10"/>
        <v>15/2</v>
      </c>
      <c r="I95" s="179">
        <f t="shared" ref="I95:I139" si="11">IF(E3="","",S3)</f>
        <v>8.5</v>
      </c>
      <c r="J95" s="150">
        <f>INDEX(Picks!T:T,MATCH(G95,Picks!R:R,0))</f>
        <v>0</v>
      </c>
      <c r="K95" s="150">
        <f>IF(INDEX(Match!P:P,MATCH(A95,Match!A:A,0))="OFF",0,1)</f>
        <v>1</v>
      </c>
    </row>
    <row r="96" spans="1:11">
      <c r="A96" s="4">
        <v>3</v>
      </c>
      <c r="B96" s="91">
        <f>IF(Match!B4="","",Match!B4)</f>
        <v>44968</v>
      </c>
      <c r="C96" s="514">
        <f t="shared" si="8"/>
        <v>7</v>
      </c>
      <c r="G96" s="149" t="str">
        <f t="shared" si="9"/>
        <v>Newcastle</v>
      </c>
      <c r="H96" s="150" t="str">
        <f t="shared" si="10"/>
        <v>1/2</v>
      </c>
      <c r="I96" s="179">
        <f t="shared" si="11"/>
        <v>1.5</v>
      </c>
      <c r="J96" s="150">
        <f>INDEX(Picks!T:T,MATCH(G96,Picks!R:R,0))</f>
        <v>0</v>
      </c>
      <c r="K96" s="150">
        <f>IF(INDEX(Match!P:P,MATCH(A96,Match!A:A,0))="OFF",0,1)</f>
        <v>1</v>
      </c>
    </row>
    <row r="97" spans="1:11">
      <c r="A97" s="4">
        <v>4</v>
      </c>
      <c r="B97" s="91">
        <f>IF(Match!B5="","",Match!B5)</f>
        <v>44968</v>
      </c>
      <c r="C97" s="514">
        <f t="shared" si="8"/>
        <v>7</v>
      </c>
      <c r="G97" s="149" t="str">
        <f t="shared" si="9"/>
        <v>Forest</v>
      </c>
      <c r="H97" s="150" t="str">
        <f t="shared" si="10"/>
        <v>29/10</v>
      </c>
      <c r="I97" s="179">
        <f t="shared" si="11"/>
        <v>3.9</v>
      </c>
      <c r="J97" s="150">
        <f>INDEX(Picks!T:T,MATCH(G97,Picks!R:R,0))</f>
        <v>0</v>
      </c>
      <c r="K97" s="150">
        <f>IF(INDEX(Match!P:P,MATCH(A97,Match!A:A,0))="OFF",0,1)</f>
        <v>1</v>
      </c>
    </row>
    <row r="98" spans="1:11">
      <c r="A98" s="4">
        <v>5</v>
      </c>
      <c r="B98" s="91">
        <f>IF(Match!B6="","",Match!B6)</f>
        <v>44968</v>
      </c>
      <c r="C98" s="514">
        <f t="shared" si="8"/>
        <v>7</v>
      </c>
      <c r="G98" s="149" t="str">
        <f t="shared" si="9"/>
        <v>Spurs</v>
      </c>
      <c r="H98" s="150" t="str">
        <f t="shared" si="10"/>
        <v>21/20</v>
      </c>
      <c r="I98" s="179">
        <f t="shared" si="11"/>
        <v>2.0499999999999998</v>
      </c>
      <c r="J98" s="150">
        <f>INDEX(Picks!T:T,MATCH(G98,Picks!R:R,0))</f>
        <v>0</v>
      </c>
      <c r="K98" s="150">
        <f>IF(INDEX(Match!P:P,MATCH(A98,Match!A:A,0))="OFF",0,1)</f>
        <v>1</v>
      </c>
    </row>
    <row r="99" spans="1:11">
      <c r="A99" s="4">
        <v>6</v>
      </c>
      <c r="B99" s="91">
        <f>IF(Match!B7="","",Match!B7)</f>
        <v>44968</v>
      </c>
      <c r="C99" s="514">
        <f t="shared" si="8"/>
        <v>7</v>
      </c>
      <c r="G99" s="149" t="str">
        <f t="shared" si="9"/>
        <v>Brighton</v>
      </c>
      <c r="H99" s="150" t="str">
        <f t="shared" si="10"/>
        <v>11/10</v>
      </c>
      <c r="I99" s="179">
        <f t="shared" si="11"/>
        <v>2.1</v>
      </c>
      <c r="J99" s="150">
        <f>INDEX(Picks!T:T,MATCH(G99,Picks!R:R,0))</f>
        <v>0</v>
      </c>
      <c r="K99" s="150">
        <f>IF(INDEX(Match!P:P,MATCH(A99,Match!A:A,0))="OFF",0,1)</f>
        <v>1</v>
      </c>
    </row>
    <row r="100" spans="1:11">
      <c r="A100" s="4">
        <v>7</v>
      </c>
      <c r="B100" s="91">
        <f>IF(Match!B8="","",Match!B8)</f>
        <v>44968</v>
      </c>
      <c r="C100" s="514">
        <f t="shared" si="8"/>
        <v>7</v>
      </c>
      <c r="G100" s="149" t="str">
        <f t="shared" si="9"/>
        <v>Wolves</v>
      </c>
      <c r="H100" s="150" t="str">
        <f t="shared" si="10"/>
        <v>13/8</v>
      </c>
      <c r="I100" s="179">
        <f t="shared" si="11"/>
        <v>2.625</v>
      </c>
      <c r="J100" s="150">
        <f>INDEX(Picks!T:T,MATCH(G100,Picks!R:R,0))</f>
        <v>1</v>
      </c>
      <c r="K100" s="150">
        <f>IF(INDEX(Match!P:P,MATCH(A100,Match!A:A,0))="OFF",0,1)</f>
        <v>1</v>
      </c>
    </row>
    <row r="101" spans="1:11">
      <c r="A101" s="4">
        <v>8</v>
      </c>
      <c r="B101" s="91">
        <f>IF(Match!B9="","",Match!B9)</f>
        <v>44968</v>
      </c>
      <c r="C101" s="514">
        <f t="shared" si="8"/>
        <v>7</v>
      </c>
      <c r="G101" s="149" t="str">
        <f t="shared" si="9"/>
        <v>Chelsea</v>
      </c>
      <c r="H101" s="150" t="str">
        <f t="shared" si="10"/>
        <v>5/4</v>
      </c>
      <c r="I101" s="179">
        <f t="shared" si="11"/>
        <v>2.25</v>
      </c>
      <c r="J101" s="150">
        <f>INDEX(Picks!T:T,MATCH(G101,Picks!R:R,0))</f>
        <v>0</v>
      </c>
      <c r="K101" s="150">
        <f>IF(INDEX(Match!P:P,MATCH(A101,Match!A:A,0))="OFF",0,1)</f>
        <v>1</v>
      </c>
    </row>
    <row r="102" spans="1:11">
      <c r="A102" s="4">
        <v>9</v>
      </c>
      <c r="B102" s="91">
        <f>IF(Match!B10="","",Match!B10)</f>
        <v>44968</v>
      </c>
      <c r="C102" s="514">
        <f t="shared" si="8"/>
        <v>7</v>
      </c>
      <c r="G102" s="149" t="str">
        <f t="shared" si="9"/>
        <v>Rotherham</v>
      </c>
      <c r="H102" s="150" t="str">
        <f t="shared" si="10"/>
        <v>12/5</v>
      </c>
      <c r="I102" s="179">
        <f t="shared" si="11"/>
        <v>3.4</v>
      </c>
      <c r="J102" s="150">
        <f>INDEX(Picks!T:T,MATCH(G102,Picks!R:R,0))</f>
        <v>0</v>
      </c>
      <c r="K102" s="150">
        <f>IF(INDEX(Match!P:P,MATCH(A102,Match!A:A,0))="OFF",0,1)</f>
        <v>1</v>
      </c>
    </row>
    <row r="103" spans="1:11">
      <c r="A103" s="4">
        <v>10</v>
      </c>
      <c r="B103" s="91">
        <f>IF(Match!B11="","",Match!B11)</f>
        <v>44968</v>
      </c>
      <c r="C103" s="514">
        <f t="shared" si="8"/>
        <v>7</v>
      </c>
      <c r="G103" s="149" t="str">
        <f t="shared" si="9"/>
        <v>Norwich</v>
      </c>
      <c r="H103" s="150" t="str">
        <f t="shared" si="10"/>
        <v>13/10</v>
      </c>
      <c r="I103" s="179">
        <f t="shared" si="11"/>
        <v>2.2999999999999998</v>
      </c>
      <c r="J103" s="150">
        <f>INDEX(Picks!T:T,MATCH(G103,Picks!R:R,0))</f>
        <v>0</v>
      </c>
      <c r="K103" s="150">
        <f>IF(INDEX(Match!P:P,MATCH(A103,Match!A:A,0))="OFF",0,1)</f>
        <v>1</v>
      </c>
    </row>
    <row r="104" spans="1:11">
      <c r="A104" s="4">
        <v>11</v>
      </c>
      <c r="B104" s="91">
        <f>IF(Match!B12="","",Match!B12)</f>
        <v>44968</v>
      </c>
      <c r="C104" s="514">
        <f t="shared" si="8"/>
        <v>7</v>
      </c>
      <c r="G104" s="149" t="str">
        <f t="shared" si="9"/>
        <v>Preston</v>
      </c>
      <c r="H104" s="150" t="str">
        <f t="shared" si="10"/>
        <v>11/2</v>
      </c>
      <c r="I104" s="179">
        <f t="shared" si="11"/>
        <v>6.5</v>
      </c>
      <c r="J104" s="150">
        <f>INDEX(Picks!T:T,MATCH(G104,Picks!R:R,0))</f>
        <v>0</v>
      </c>
      <c r="K104" s="150">
        <f>IF(INDEX(Match!P:P,MATCH(A104,Match!A:A,0))="OFF",0,1)</f>
        <v>1</v>
      </c>
    </row>
    <row r="105" spans="1:11">
      <c r="A105" s="4">
        <v>12</v>
      </c>
      <c r="B105" s="91">
        <f>IF(Match!B13="","",Match!B13)</f>
        <v>44968</v>
      </c>
      <c r="C105" s="514">
        <f t="shared" si="8"/>
        <v>7</v>
      </c>
      <c r="G105" s="149" t="str">
        <f t="shared" si="9"/>
        <v>Middlesbro</v>
      </c>
      <c r="H105" s="150" t="str">
        <f t="shared" si="10"/>
        <v>23/20</v>
      </c>
      <c r="I105" s="179">
        <f t="shared" si="11"/>
        <v>2.15</v>
      </c>
      <c r="J105" s="150">
        <f>INDEX(Picks!T:T,MATCH(G105,Picks!R:R,0))</f>
        <v>1</v>
      </c>
      <c r="K105" s="150">
        <f>IF(INDEX(Match!P:P,MATCH(A105,Match!A:A,0))="OFF",0,1)</f>
        <v>1</v>
      </c>
    </row>
    <row r="106" spans="1:11">
      <c r="A106" s="4">
        <v>13</v>
      </c>
      <c r="B106" s="91">
        <f>IF(Match!B14="","",Match!B14)</f>
        <v>44968</v>
      </c>
      <c r="C106" s="514">
        <f t="shared" si="8"/>
        <v>7</v>
      </c>
      <c r="G106" s="149" t="str">
        <f t="shared" si="9"/>
        <v>Luton</v>
      </c>
      <c r="H106" s="150" t="str">
        <f t="shared" si="10"/>
        <v>9/4</v>
      </c>
      <c r="I106" s="179">
        <f t="shared" si="11"/>
        <v>3.25</v>
      </c>
      <c r="J106" s="150">
        <f>INDEX(Picks!T:T,MATCH(G106,Picks!R:R,0))</f>
        <v>0</v>
      </c>
      <c r="K106" s="150">
        <f>IF(INDEX(Match!P:P,MATCH(A106,Match!A:A,0))="OFF",0,1)</f>
        <v>1</v>
      </c>
    </row>
    <row r="107" spans="1:11">
      <c r="A107" s="4">
        <v>14</v>
      </c>
      <c r="B107" s="91">
        <f>IF(Match!B15="","",Match!B15)</f>
        <v>44968</v>
      </c>
      <c r="C107" s="514">
        <f t="shared" si="8"/>
        <v>7</v>
      </c>
      <c r="G107" s="149" t="str">
        <f t="shared" si="9"/>
        <v>Millwall</v>
      </c>
      <c r="H107" s="150" t="str">
        <f t="shared" si="10"/>
        <v>7/4</v>
      </c>
      <c r="I107" s="179">
        <f t="shared" si="11"/>
        <v>2.75</v>
      </c>
      <c r="J107" s="150">
        <f>INDEX(Picks!T:T,MATCH(G107,Picks!R:R,0))</f>
        <v>1</v>
      </c>
      <c r="K107" s="150">
        <f>IF(INDEX(Match!P:P,MATCH(A107,Match!A:A,0))="OFF",0,1)</f>
        <v>1</v>
      </c>
    </row>
    <row r="108" spans="1:11">
      <c r="A108" s="4">
        <v>15</v>
      </c>
      <c r="B108" s="91">
        <f>IF(Match!B16="","",Match!B16)</f>
        <v>44968</v>
      </c>
      <c r="C108" s="514">
        <f t="shared" si="8"/>
        <v>7</v>
      </c>
      <c r="G108" s="149" t="str">
        <f t="shared" si="9"/>
        <v>Swansea</v>
      </c>
      <c r="H108" s="150" t="str">
        <f t="shared" si="10"/>
        <v>3/1</v>
      </c>
      <c r="I108" s="179">
        <f t="shared" si="11"/>
        <v>4</v>
      </c>
      <c r="J108" s="150">
        <f>INDEX(Picks!T:T,MATCH(G108,Picks!R:R,0))</f>
        <v>0</v>
      </c>
      <c r="K108" s="150">
        <f>IF(INDEX(Match!P:P,MATCH(A108,Match!A:A,0))="OFF",0,1)</f>
        <v>1</v>
      </c>
    </row>
    <row r="109" spans="1:11">
      <c r="A109" s="4">
        <v>16</v>
      </c>
      <c r="B109" s="91">
        <f>IF(Match!B17="","",Match!B17)</f>
        <v>44968</v>
      </c>
      <c r="C109" s="514">
        <f t="shared" si="8"/>
        <v>7</v>
      </c>
      <c r="G109" s="149" t="str">
        <f t="shared" si="9"/>
        <v>Hull</v>
      </c>
      <c r="H109" s="150" t="str">
        <f t="shared" si="10"/>
        <v>14/5</v>
      </c>
      <c r="I109" s="179">
        <f t="shared" si="11"/>
        <v>3.8</v>
      </c>
      <c r="J109" s="150">
        <f>INDEX(Picks!T:T,MATCH(G109,Picks!R:R,0))</f>
        <v>0</v>
      </c>
      <c r="K109" s="150">
        <f>IF(INDEX(Match!P:P,MATCH(A109,Match!A:A,0))="OFF",0,1)</f>
        <v>1</v>
      </c>
    </row>
    <row r="110" spans="1:11">
      <c r="A110" s="4">
        <v>17</v>
      </c>
      <c r="B110" s="91">
        <f>IF(Match!B18="","",Match!B18)</f>
        <v>44968</v>
      </c>
      <c r="C110" s="514">
        <f t="shared" si="8"/>
        <v>7</v>
      </c>
      <c r="G110" s="149" t="str">
        <f t="shared" si="9"/>
        <v>Reading</v>
      </c>
      <c r="H110" s="150" t="str">
        <f t="shared" si="10"/>
        <v>3/1</v>
      </c>
      <c r="I110" s="179">
        <f t="shared" si="11"/>
        <v>4</v>
      </c>
      <c r="J110" s="150">
        <f>INDEX(Picks!T:T,MATCH(G110,Picks!R:R,0))</f>
        <v>0</v>
      </c>
      <c r="K110" s="150">
        <f>IF(INDEX(Match!P:P,MATCH(A110,Match!A:A,0))="OFF",0,1)</f>
        <v>1</v>
      </c>
    </row>
    <row r="111" spans="1:11">
      <c r="A111" s="4">
        <v>18</v>
      </c>
      <c r="B111" s="91">
        <f>IF(Match!B19="","",Match!B19)</f>
        <v>44968</v>
      </c>
      <c r="C111" s="514">
        <f t="shared" si="8"/>
        <v>7</v>
      </c>
      <c r="G111" s="149" t="str">
        <f t="shared" si="9"/>
        <v>Blackburn</v>
      </c>
      <c r="H111" s="150" t="str">
        <f t="shared" si="10"/>
        <v>14/5</v>
      </c>
      <c r="I111" s="179">
        <f t="shared" si="11"/>
        <v>3.8</v>
      </c>
      <c r="J111" s="150">
        <f>INDEX(Picks!T:T,MATCH(G111,Picks!R:R,0))</f>
        <v>0</v>
      </c>
      <c r="K111" s="150">
        <f>IF(INDEX(Match!P:P,MATCH(A111,Match!A:A,0))="OFF",0,1)</f>
        <v>1</v>
      </c>
    </row>
    <row r="112" spans="1:11">
      <c r="A112" s="4">
        <v>19</v>
      </c>
      <c r="B112" s="91">
        <f>IF(Match!B20="","",Match!B20)</f>
        <v>44968</v>
      </c>
      <c r="C112" s="514">
        <f t="shared" si="8"/>
        <v>7</v>
      </c>
      <c r="G112" s="149" t="str">
        <f t="shared" si="9"/>
        <v>Huddersfield</v>
      </c>
      <c r="H112" s="150" t="str">
        <f t="shared" si="10"/>
        <v>21/10</v>
      </c>
      <c r="I112" s="179">
        <f t="shared" si="11"/>
        <v>3.1</v>
      </c>
      <c r="J112" s="150">
        <f>INDEX(Picks!T:T,MATCH(G112,Picks!R:R,0))</f>
        <v>0</v>
      </c>
      <c r="K112" s="150">
        <f>IF(INDEX(Match!P:P,MATCH(A112,Match!A:A,0))="OFF",0,1)</f>
        <v>1</v>
      </c>
    </row>
    <row r="113" spans="1:11">
      <c r="A113" s="4">
        <v>20</v>
      </c>
      <c r="B113" s="91">
        <f>IF(Match!B21="","",Match!B21)</f>
        <v>44968</v>
      </c>
      <c r="C113" s="514">
        <f t="shared" si="8"/>
        <v>7</v>
      </c>
      <c r="G113" s="149" t="str">
        <f t="shared" si="9"/>
        <v>Cambridge</v>
      </c>
      <c r="H113" s="150" t="str">
        <f t="shared" si="10"/>
        <v>11/2</v>
      </c>
      <c r="I113" s="179">
        <f t="shared" si="11"/>
        <v>6.5</v>
      </c>
      <c r="J113" s="150">
        <f>INDEX(Picks!T:T,MATCH(G113,Picks!R:R,0))</f>
        <v>0</v>
      </c>
      <c r="K113" s="150">
        <f>IF(INDEX(Match!P:P,MATCH(A113,Match!A:A,0))="OFF",0,1)</f>
        <v>1</v>
      </c>
    </row>
    <row r="114" spans="1:11">
      <c r="A114" s="4">
        <v>21</v>
      </c>
      <c r="B114" s="91">
        <f>IF(Match!B22="","",Match!B22)</f>
        <v>44968</v>
      </c>
      <c r="C114" s="514">
        <f t="shared" si="8"/>
        <v>7</v>
      </c>
      <c r="G114" s="149" t="str">
        <f t="shared" si="9"/>
        <v>Exeter</v>
      </c>
      <c r="H114" s="150" t="str">
        <f t="shared" si="10"/>
        <v>17/10</v>
      </c>
      <c r="I114" s="179">
        <f t="shared" si="11"/>
        <v>2.7</v>
      </c>
      <c r="J114" s="150">
        <f>INDEX(Picks!T:T,MATCH(G114,Picks!R:R,0))</f>
        <v>0</v>
      </c>
      <c r="K114" s="150">
        <f>IF(INDEX(Match!P:P,MATCH(A114,Match!A:A,0))="OFF",0,1)</f>
        <v>1</v>
      </c>
    </row>
    <row r="115" spans="1:11">
      <c r="A115" s="4">
        <v>22</v>
      </c>
      <c r="B115" s="91">
        <f>IF(Match!B23="","",Match!B23)</f>
        <v>44968</v>
      </c>
      <c r="C115" s="514">
        <f t="shared" si="8"/>
        <v>7</v>
      </c>
      <c r="G115" s="149" t="str">
        <f t="shared" si="9"/>
        <v>Fleetwood</v>
      </c>
      <c r="H115" s="150" t="str">
        <f t="shared" si="10"/>
        <v>13/5</v>
      </c>
      <c r="I115" s="179">
        <f t="shared" si="11"/>
        <v>3.6</v>
      </c>
      <c r="J115" s="150">
        <f>INDEX(Picks!T:T,MATCH(G115,Picks!R:R,0))</f>
        <v>1</v>
      </c>
      <c r="K115" s="150">
        <f>IF(INDEX(Match!P:P,MATCH(A115,Match!A:A,0))="OFF",0,1)</f>
        <v>1</v>
      </c>
    </row>
    <row r="116" spans="1:11">
      <c r="A116" s="4">
        <v>23</v>
      </c>
      <c r="B116" s="91">
        <f>IF(Match!B24="","",Match!B24)</f>
        <v>44968</v>
      </c>
      <c r="C116" s="514">
        <f t="shared" si="8"/>
        <v>7</v>
      </c>
      <c r="G116" s="149" t="str">
        <f t="shared" si="9"/>
        <v>Accrington</v>
      </c>
      <c r="H116" s="150" t="str">
        <f t="shared" si="10"/>
        <v>15/8</v>
      </c>
      <c r="I116" s="179">
        <f t="shared" si="11"/>
        <v>2.875</v>
      </c>
      <c r="J116" s="150">
        <f>INDEX(Picks!T:T,MATCH(G116,Picks!R:R,0))</f>
        <v>0</v>
      </c>
      <c r="K116" s="150">
        <f>IF(INDEX(Match!P:P,MATCH(A116,Match!A:A,0))="OFF",0,1)</f>
        <v>1</v>
      </c>
    </row>
    <row r="117" spans="1:11">
      <c r="A117" s="4">
        <v>24</v>
      </c>
      <c r="B117" s="91">
        <f>IF(Match!B25="","",Match!B25)</f>
        <v>44968</v>
      </c>
      <c r="C117" s="514">
        <f t="shared" si="8"/>
        <v>7</v>
      </c>
      <c r="G117" s="149" t="str">
        <f t="shared" si="9"/>
        <v>Sheff W</v>
      </c>
      <c r="H117" s="150" t="str">
        <f t="shared" si="10"/>
        <v>12/5</v>
      </c>
      <c r="I117" s="179">
        <f t="shared" si="11"/>
        <v>3.4</v>
      </c>
      <c r="J117" s="150">
        <f>INDEX(Picks!T:T,MATCH(G117,Picks!R:R,0))</f>
        <v>0</v>
      </c>
      <c r="K117" s="150">
        <f>IF(INDEX(Match!P:P,MATCH(A117,Match!A:A,0))="OFF",0,1)</f>
        <v>1</v>
      </c>
    </row>
    <row r="118" spans="1:11">
      <c r="A118" s="4">
        <v>25</v>
      </c>
      <c r="B118" s="91">
        <f>IF(Match!B26="","",Match!B26)</f>
        <v>44968</v>
      </c>
      <c r="C118" s="514">
        <f t="shared" si="8"/>
        <v>7</v>
      </c>
      <c r="G118" s="149" t="str">
        <f t="shared" si="9"/>
        <v>Bristol R</v>
      </c>
      <c r="H118" s="150" t="str">
        <f t="shared" si="10"/>
        <v>12/5</v>
      </c>
      <c r="I118" s="179">
        <f t="shared" si="11"/>
        <v>3.4</v>
      </c>
      <c r="J118" s="150">
        <f>INDEX(Picks!T:T,MATCH(G118,Picks!R:R,0))</f>
        <v>0</v>
      </c>
      <c r="K118" s="150">
        <f>IF(INDEX(Match!P:P,MATCH(A118,Match!A:A,0))="OFF",0,1)</f>
        <v>1</v>
      </c>
    </row>
    <row r="119" spans="1:11">
      <c r="A119" s="4">
        <v>26</v>
      </c>
      <c r="B119" s="91">
        <f>IF(Match!B27="","",Match!B27)</f>
        <v>44968</v>
      </c>
      <c r="C119" s="514">
        <f t="shared" si="8"/>
        <v>7</v>
      </c>
      <c r="G119" s="149" t="str">
        <f t="shared" si="9"/>
        <v>Oxford</v>
      </c>
      <c r="H119" s="150" t="str">
        <f t="shared" si="10"/>
        <v>9/5</v>
      </c>
      <c r="I119" s="179">
        <f t="shared" si="11"/>
        <v>2.8</v>
      </c>
      <c r="J119" s="150">
        <f>INDEX(Picks!T:T,MATCH(G119,Picks!R:R,0))</f>
        <v>0</v>
      </c>
      <c r="K119" s="150">
        <f>IF(INDEX(Match!P:P,MATCH(A119,Match!A:A,0))="OFF",0,1)</f>
        <v>1</v>
      </c>
    </row>
    <row r="120" spans="1:11">
      <c r="A120" s="4">
        <v>27</v>
      </c>
      <c r="B120" s="91">
        <f>IF(Match!B28="","",Match!B28)</f>
        <v>44968</v>
      </c>
      <c r="C120" s="514">
        <f t="shared" si="8"/>
        <v>7</v>
      </c>
      <c r="G120" s="149" t="str">
        <f t="shared" si="9"/>
        <v>Forest Green</v>
      </c>
      <c r="H120" s="150" t="str">
        <f t="shared" si="10"/>
        <v>15/8</v>
      </c>
      <c r="I120" s="179">
        <f t="shared" si="11"/>
        <v>2.875</v>
      </c>
      <c r="J120" s="150">
        <f>INDEX(Picks!T:T,MATCH(G120,Picks!R:R,0))</f>
        <v>0</v>
      </c>
      <c r="K120" s="150">
        <f>IF(INDEX(Match!P:P,MATCH(A120,Match!A:A,0))="OFF",0,1)</f>
        <v>1</v>
      </c>
    </row>
    <row r="121" spans="1:11">
      <c r="A121" s="4">
        <v>28</v>
      </c>
      <c r="B121" s="91">
        <f>IF(Match!B29="","",Match!B29)</f>
        <v>44968</v>
      </c>
      <c r="C121" s="514">
        <f t="shared" si="8"/>
        <v>7</v>
      </c>
      <c r="G121" s="149" t="str">
        <f t="shared" si="9"/>
        <v>Bolton</v>
      </c>
      <c r="H121" s="150" t="str">
        <f t="shared" si="10"/>
        <v>2/1</v>
      </c>
      <c r="I121" s="179">
        <f t="shared" si="11"/>
        <v>3</v>
      </c>
      <c r="J121" s="150">
        <f>INDEX(Picks!T:T,MATCH(G121,Picks!R:R,0))</f>
        <v>1</v>
      </c>
      <c r="K121" s="150">
        <f>IF(INDEX(Match!P:P,MATCH(A121,Match!A:A,0))="OFF",0,1)</f>
        <v>1</v>
      </c>
    </row>
    <row r="122" spans="1:11">
      <c r="A122" s="4">
        <v>29</v>
      </c>
      <c r="B122" s="91">
        <f>IF(Match!B30="","",Match!B30)</f>
        <v>44968</v>
      </c>
      <c r="C122" s="514">
        <f t="shared" si="8"/>
        <v>7</v>
      </c>
      <c r="G122" s="149" t="str">
        <f t="shared" si="9"/>
        <v>Portsmouth</v>
      </c>
      <c r="H122" s="150" t="str">
        <f t="shared" si="10"/>
        <v>5/2</v>
      </c>
      <c r="I122" s="179">
        <f t="shared" si="11"/>
        <v>3.5</v>
      </c>
      <c r="J122" s="150">
        <f>INDEX(Picks!T:T,MATCH(G122,Picks!R:R,0))</f>
        <v>0</v>
      </c>
      <c r="K122" s="150">
        <f>IF(INDEX(Match!P:P,MATCH(A122,Match!A:A,0))="OFF",0,1)</f>
        <v>1</v>
      </c>
    </row>
    <row r="123" spans="1:11">
      <c r="A123" s="4">
        <v>30</v>
      </c>
      <c r="B123" s="91">
        <f>IF(Match!B31="","",Match!B31)</f>
        <v>44968</v>
      </c>
      <c r="C123" s="514">
        <f t="shared" si="8"/>
        <v>7</v>
      </c>
      <c r="G123" s="149" t="str">
        <f t="shared" si="9"/>
        <v>Port Vale</v>
      </c>
      <c r="H123" s="150" t="str">
        <f t="shared" si="10"/>
        <v>11/5</v>
      </c>
      <c r="I123" s="179">
        <f t="shared" si="11"/>
        <v>3.2</v>
      </c>
      <c r="J123" s="150">
        <f>INDEX(Picks!T:T,MATCH(G123,Picks!R:R,0))</f>
        <v>0</v>
      </c>
      <c r="K123" s="150">
        <f>IF(INDEX(Match!P:P,MATCH(A123,Match!A:A,0))="OFF",0,1)</f>
        <v>1</v>
      </c>
    </row>
    <row r="124" spans="1:11">
      <c r="A124" s="4">
        <v>31</v>
      </c>
      <c r="B124" s="91">
        <f>IF(Match!B32="","",Match!B32)</f>
        <v>44968</v>
      </c>
      <c r="C124" s="514">
        <f t="shared" si="8"/>
        <v>7</v>
      </c>
      <c r="G124" s="149" t="str">
        <f t="shared" si="9"/>
        <v>Derby</v>
      </c>
      <c r="H124" s="150" t="str">
        <f t="shared" si="10"/>
        <v>13/10</v>
      </c>
      <c r="I124" s="179">
        <f t="shared" si="11"/>
        <v>2.2999999999999998</v>
      </c>
      <c r="J124" s="150">
        <f>INDEX(Picks!T:T,MATCH(G124,Picks!R:R,0))</f>
        <v>0</v>
      </c>
      <c r="K124" s="150">
        <f>IF(INDEX(Match!P:P,MATCH(A124,Match!A:A,0))="OFF",0,1)</f>
        <v>1</v>
      </c>
    </row>
    <row r="125" spans="1:11">
      <c r="A125" s="4">
        <v>32</v>
      </c>
      <c r="B125" s="91">
        <f>IF(Match!B33="","",Match!B33)</f>
        <v>44968</v>
      </c>
      <c r="C125" s="514">
        <f t="shared" si="8"/>
        <v>7</v>
      </c>
      <c r="G125" s="149" t="str">
        <f t="shared" si="9"/>
        <v>Newport</v>
      </c>
      <c r="H125" s="150" t="str">
        <f t="shared" si="10"/>
        <v>9/4</v>
      </c>
      <c r="I125" s="179">
        <f t="shared" si="11"/>
        <v>3.25</v>
      </c>
      <c r="J125" s="150">
        <f>INDEX(Picks!T:T,MATCH(G125,Picks!R:R,0))</f>
        <v>1</v>
      </c>
      <c r="K125" s="150">
        <f>IF(INDEX(Match!P:P,MATCH(A125,Match!A:A,0))="OFF",0,1)</f>
        <v>1</v>
      </c>
    </row>
    <row r="126" spans="1:11">
      <c r="A126" s="4">
        <v>33</v>
      </c>
      <c r="B126" s="91">
        <f>IF(Match!B34="","",Match!B34)</f>
        <v>44968</v>
      </c>
      <c r="C126" s="514">
        <f t="shared" si="8"/>
        <v>7</v>
      </c>
      <c r="G126" s="149" t="str">
        <f t="shared" si="9"/>
        <v>Crewe</v>
      </c>
      <c r="H126" s="150" t="str">
        <f t="shared" si="10"/>
        <v>2/1</v>
      </c>
      <c r="I126" s="179">
        <f t="shared" si="11"/>
        <v>3</v>
      </c>
      <c r="J126" s="150">
        <f>INDEX(Picks!T:T,MATCH(G126,Picks!R:R,0))</f>
        <v>0</v>
      </c>
      <c r="K126" s="150">
        <f>IF(INDEX(Match!P:P,MATCH(A126,Match!A:A,0))="OFF",0,1)</f>
        <v>1</v>
      </c>
    </row>
    <row r="127" spans="1:11">
      <c r="A127" s="4">
        <v>34</v>
      </c>
      <c r="B127" s="91">
        <f>IF(Match!B35="","",Match!B35)</f>
        <v>44968</v>
      </c>
      <c r="C127" s="514">
        <f t="shared" si="8"/>
        <v>7</v>
      </c>
      <c r="G127" s="149" t="str">
        <f t="shared" si="9"/>
        <v>Colchester</v>
      </c>
      <c r="H127" s="150" t="str">
        <f t="shared" si="10"/>
        <v>13/5</v>
      </c>
      <c r="I127" s="179">
        <f t="shared" si="11"/>
        <v>3.6</v>
      </c>
      <c r="J127" s="150">
        <f>INDEX(Picks!T:T,MATCH(G127,Picks!R:R,0))</f>
        <v>1</v>
      </c>
      <c r="K127" s="150">
        <f>IF(INDEX(Match!P:P,MATCH(A127,Match!A:A,0))="OFF",0,1)</f>
        <v>1</v>
      </c>
    </row>
    <row r="128" spans="1:11">
      <c r="A128" s="4">
        <v>35</v>
      </c>
      <c r="B128" s="91">
        <f>IF(Match!B36="","",Match!B36)</f>
        <v>44968</v>
      </c>
      <c r="C128" s="514">
        <f t="shared" si="8"/>
        <v>7</v>
      </c>
      <c r="G128" s="149" t="str">
        <f t="shared" si="9"/>
        <v>Stockport</v>
      </c>
      <c r="H128" s="150" t="str">
        <f t="shared" si="10"/>
        <v>4/5</v>
      </c>
      <c r="I128" s="179">
        <f t="shared" si="11"/>
        <v>1.8</v>
      </c>
      <c r="J128" s="150">
        <f>INDEX(Picks!T:T,MATCH(G128,Picks!R:R,0))</f>
        <v>1</v>
      </c>
      <c r="K128" s="150">
        <f>IF(INDEX(Match!P:P,MATCH(A128,Match!A:A,0))="OFF",0,1)</f>
        <v>1</v>
      </c>
    </row>
    <row r="129" spans="1:11">
      <c r="A129" s="4">
        <v>36</v>
      </c>
      <c r="B129" s="91">
        <f>IF(Match!B37="","",Match!B37)</f>
        <v>44968</v>
      </c>
      <c r="C129" s="514">
        <f t="shared" si="8"/>
        <v>7</v>
      </c>
      <c r="G129" s="149" t="str">
        <f t="shared" si="9"/>
        <v>Sutton</v>
      </c>
      <c r="H129" s="150" t="str">
        <f t="shared" si="10"/>
        <v>5/4</v>
      </c>
      <c r="I129" s="179">
        <f t="shared" si="11"/>
        <v>2.25</v>
      </c>
      <c r="J129" s="150">
        <f>INDEX(Picks!T:T,MATCH(G129,Picks!R:R,0))</f>
        <v>0</v>
      </c>
      <c r="K129" s="150">
        <f>IF(INDEX(Match!P:P,MATCH(A129,Match!A:A,0))="OFF",0,1)</f>
        <v>1</v>
      </c>
    </row>
    <row r="130" spans="1:11">
      <c r="A130" s="4">
        <v>37</v>
      </c>
      <c r="B130" s="91">
        <f>IF(Match!B38="","",Match!B38)</f>
        <v>44968</v>
      </c>
      <c r="C130" s="514">
        <f t="shared" si="8"/>
        <v>7</v>
      </c>
      <c r="G130" s="149" t="str">
        <f t="shared" si="9"/>
        <v>Gillingham</v>
      </c>
      <c r="H130" s="150" t="str">
        <f t="shared" si="10"/>
        <v>4/1</v>
      </c>
      <c r="I130" s="179">
        <f t="shared" si="11"/>
        <v>5</v>
      </c>
      <c r="J130" s="150">
        <f>INDEX(Picks!T:T,MATCH(G130,Picks!R:R,0))</f>
        <v>0</v>
      </c>
      <c r="K130" s="150">
        <f>IF(INDEX(Match!P:P,MATCH(A130,Match!A:A,0))="OFF",0,1)</f>
        <v>1</v>
      </c>
    </row>
    <row r="131" spans="1:11">
      <c r="A131" s="4">
        <v>38</v>
      </c>
      <c r="B131" s="91">
        <f>IF(Match!B39="","",Match!B39)</f>
        <v>44968</v>
      </c>
      <c r="C131" s="514">
        <f t="shared" ref="C131:C139" si="12">IF(B131="","",WEEKDAY(B131))</f>
        <v>7</v>
      </c>
      <c r="G131" s="149" t="str">
        <f t="shared" si="9"/>
        <v>Northampton</v>
      </c>
      <c r="H131" s="150" t="str">
        <f t="shared" si="10"/>
        <v>21/10</v>
      </c>
      <c r="I131" s="179">
        <f t="shared" si="11"/>
        <v>3.1</v>
      </c>
      <c r="J131" s="150">
        <f>INDEX(Picks!T:T,MATCH(G131,Picks!R:R,0))</f>
        <v>0</v>
      </c>
      <c r="K131" s="150">
        <f>IF(INDEX(Match!P:P,MATCH(A131,Match!A:A,0))="OFF",0,1)</f>
        <v>1</v>
      </c>
    </row>
    <row r="132" spans="1:11">
      <c r="A132" s="4">
        <v>39</v>
      </c>
      <c r="B132" s="91">
        <f>IF(Match!B40="","",Match!B40)</f>
        <v>44968</v>
      </c>
      <c r="C132" s="514">
        <f t="shared" si="12"/>
        <v>7</v>
      </c>
      <c r="G132" s="149" t="str">
        <f t="shared" si="9"/>
        <v>Bradford</v>
      </c>
      <c r="H132" s="150" t="str">
        <f t="shared" si="10"/>
        <v>16/5</v>
      </c>
      <c r="I132" s="179">
        <f t="shared" si="11"/>
        <v>4.2</v>
      </c>
      <c r="J132" s="150">
        <f>INDEX(Picks!T:T,MATCH(G132,Picks!R:R,0))</f>
        <v>1</v>
      </c>
      <c r="K132" s="150">
        <f>IF(INDEX(Match!P:P,MATCH(A132,Match!A:A,0))="OFF",0,1)</f>
        <v>1</v>
      </c>
    </row>
    <row r="133" spans="1:11">
      <c r="A133" s="4">
        <v>40</v>
      </c>
      <c r="B133" s="91">
        <f>IF(Match!B41="","",Match!B41)</f>
        <v>44968</v>
      </c>
      <c r="C133" s="514">
        <f t="shared" si="12"/>
        <v>7</v>
      </c>
      <c r="G133" s="149" t="str">
        <f t="shared" si="9"/>
        <v>Doncaster</v>
      </c>
      <c r="H133" s="150" t="str">
        <f t="shared" si="10"/>
        <v>13/5</v>
      </c>
      <c r="I133" s="179">
        <f t="shared" si="11"/>
        <v>3.6</v>
      </c>
      <c r="J133" s="150">
        <f>INDEX(Picks!T:T,MATCH(G133,Picks!R:R,0))</f>
        <v>1</v>
      </c>
      <c r="K133" s="150">
        <f>IF(INDEX(Match!P:P,MATCH(A133,Match!A:A,0))="OFF",0,1)</f>
        <v>1</v>
      </c>
    </row>
    <row r="134" spans="1:11">
      <c r="A134" s="4">
        <v>41</v>
      </c>
      <c r="B134" s="91">
        <f>IF(Match!B42="","",Match!B42)</f>
        <v>44968</v>
      </c>
      <c r="C134" s="514">
        <f t="shared" si="12"/>
        <v>7</v>
      </c>
      <c r="G134" s="149" t="str">
        <f t="shared" si="9"/>
        <v>Salford</v>
      </c>
      <c r="H134" s="150" t="str">
        <f t="shared" si="10"/>
        <v>21/10</v>
      </c>
      <c r="I134" s="179">
        <f t="shared" si="11"/>
        <v>3.1</v>
      </c>
      <c r="J134" s="150">
        <f>INDEX(Picks!T:T,MATCH(G134,Picks!R:R,0))</f>
        <v>0</v>
      </c>
      <c r="K134" s="150">
        <f>IF(INDEX(Match!P:P,MATCH(A134,Match!A:A,0))="OFF",0,1)</f>
        <v>1</v>
      </c>
    </row>
    <row r="135" spans="1:11">
      <c r="A135" s="4">
        <v>42</v>
      </c>
      <c r="B135" s="91">
        <f>IF(Match!B43="","",Match!B43)</f>
        <v>44968</v>
      </c>
      <c r="C135" s="514">
        <f t="shared" si="12"/>
        <v>7</v>
      </c>
      <c r="G135" s="149" t="str">
        <f t="shared" si="9"/>
        <v>Orient</v>
      </c>
      <c r="H135" s="150" t="str">
        <f t="shared" si="10"/>
        <v>11/5</v>
      </c>
      <c r="I135" s="179">
        <f t="shared" si="11"/>
        <v>3.2</v>
      </c>
      <c r="J135" s="150">
        <f>INDEX(Picks!T:T,MATCH(G135,Picks!R:R,0))</f>
        <v>0</v>
      </c>
      <c r="K135" s="150">
        <f>IF(INDEX(Match!P:P,MATCH(A135,Match!A:A,0))="OFF",0,1)</f>
        <v>1</v>
      </c>
    </row>
    <row r="136" spans="1:11">
      <c r="A136" s="4">
        <v>43</v>
      </c>
      <c r="B136" s="91">
        <f>IF(Match!B44="","",Match!B44)</f>
        <v>44968</v>
      </c>
      <c r="C136" s="514">
        <f t="shared" si="12"/>
        <v>7</v>
      </c>
      <c r="G136" s="149" t="str">
        <f t="shared" si="9"/>
        <v>Carlisle</v>
      </c>
      <c r="H136" s="150" t="str">
        <f t="shared" si="10"/>
        <v>6/4</v>
      </c>
      <c r="I136" s="179">
        <f t="shared" si="11"/>
        <v>2.5</v>
      </c>
      <c r="J136" s="150">
        <f>INDEX(Picks!T:T,MATCH(G136,Picks!R:R,0))</f>
        <v>0</v>
      </c>
      <c r="K136" s="150">
        <f>IF(INDEX(Match!P:P,MATCH(A136,Match!A:A,0))="OFF",0,1)</f>
        <v>1</v>
      </c>
    </row>
    <row r="137" spans="1:11">
      <c r="A137" s="4">
        <v>44</v>
      </c>
      <c r="B137" s="91">
        <f>IF(Match!B45="","",Match!B45)</f>
        <v>44969</v>
      </c>
      <c r="C137" s="514">
        <f t="shared" si="12"/>
        <v>1</v>
      </c>
      <c r="G137" s="149" t="str">
        <f t="shared" si="9"/>
        <v>Man U</v>
      </c>
      <c r="H137" s="150" t="str">
        <f t="shared" si="10"/>
        <v>3/4</v>
      </c>
      <c r="I137" s="179">
        <f t="shared" si="11"/>
        <v>1.75</v>
      </c>
      <c r="J137" s="150">
        <f>INDEX(Picks!T:T,MATCH(G137,Picks!R:R,0))</f>
        <v>1</v>
      </c>
      <c r="K137" s="150">
        <f>IF(INDEX(Match!P:P,MATCH(A137,Match!A:A,0))="OFF",0,1)</f>
        <v>1</v>
      </c>
    </row>
    <row r="138" spans="1:11">
      <c r="A138" s="4">
        <v>45</v>
      </c>
      <c r="B138" s="91">
        <f>IF(Match!B46="","",Match!B46)</f>
        <v>44969</v>
      </c>
      <c r="C138" s="514">
        <f t="shared" si="12"/>
        <v>1</v>
      </c>
      <c r="G138" s="149" t="str">
        <f t="shared" si="9"/>
        <v>Villa</v>
      </c>
      <c r="H138" s="150" t="str">
        <f t="shared" si="10"/>
        <v>12/1</v>
      </c>
      <c r="I138" s="179">
        <f t="shared" si="11"/>
        <v>13</v>
      </c>
      <c r="J138" s="150">
        <f>INDEX(Picks!T:T,MATCH(G138,Picks!R:R,0))</f>
        <v>0</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L6" sqref="L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351</v>
      </c>
      <c r="B1" s="615" t="str">
        <f>"Round "&amp;CurrentWeek</f>
        <v>Round 7</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176</v>
      </c>
      <c r="L2" s="159" t="s">
        <v>177</v>
      </c>
      <c r="M2" s="159" t="s">
        <v>178</v>
      </c>
      <c r="N2" s="159" t="s">
        <v>179</v>
      </c>
      <c r="O2" s="159" t="s">
        <v>180</v>
      </c>
      <c r="P2" s="159" t="s">
        <v>181</v>
      </c>
      <c r="Q2" s="159" t="s">
        <v>182</v>
      </c>
      <c r="R2" s="77"/>
    </row>
    <row r="3" spans="1:22">
      <c r="A3" s="77"/>
      <c r="B3" s="332">
        <f>COUNTIF($B4:$B6,"")</f>
        <v>0</v>
      </c>
      <c r="C3" s="77"/>
      <c r="D3" s="156" t="s">
        <v>160</v>
      </c>
      <c r="E3" s="156" t="s">
        <v>161</v>
      </c>
      <c r="F3" s="157" t="s">
        <v>13</v>
      </c>
      <c r="G3" s="81"/>
      <c r="H3" s="152">
        <f>E4</f>
        <v>3.9</v>
      </c>
      <c r="I3" s="152">
        <f>E5</f>
        <v>6.5</v>
      </c>
      <c r="J3" s="152">
        <f>E6</f>
        <v>2.4</v>
      </c>
      <c r="K3" s="614">
        <f>IF(B3&lt;&gt;0,"",H3)</f>
        <v>3.9</v>
      </c>
      <c r="L3" s="153">
        <f>IF(B3&lt;&gt;0,"",I3)</f>
        <v>6.5</v>
      </c>
      <c r="M3" s="153">
        <f>IF(B3&lt;&gt;0,"",J3)</f>
        <v>2.4</v>
      </c>
      <c r="N3" s="614">
        <f>IF(B3&lt;&gt;0,"",H3*I3)</f>
        <v>25.349999999999998</v>
      </c>
      <c r="O3" s="153">
        <f>IF(B3&lt;&gt;0,"",I3*J3)</f>
        <v>15.6</v>
      </c>
      <c r="P3" s="153">
        <f>IF(B3&lt;&gt;0,"",H3*J3)</f>
        <v>9.36</v>
      </c>
      <c r="Q3" s="153">
        <f>IF(B3&lt;&gt;0,"",N3*J3)</f>
        <v>60.839999999999989</v>
      </c>
      <c r="R3" s="77"/>
    </row>
    <row r="4" spans="1:22" ht="16.149999999999999" thickBot="1">
      <c r="A4" s="616">
        <v>1</v>
      </c>
      <c r="B4" s="90" t="s">
        <v>543</v>
      </c>
      <c r="C4" s="158" t="s">
        <v>186</v>
      </c>
      <c r="D4" s="613" t="str">
        <f>IF(B3&lt;&gt;0,"",INDEX(Odds!H:H,MATCH(B4,Odds!G:G,0)))</f>
        <v>29/10</v>
      </c>
      <c r="E4" s="614">
        <f>IF(B3&lt;&gt;0,"",INDEX(Odds!I:I,MATCH(B4,Odds!G:G,0)))</f>
        <v>3.9</v>
      </c>
      <c r="F4" s="151">
        <v>1</v>
      </c>
      <c r="G4" s="81"/>
      <c r="H4" s="81"/>
      <c r="I4" s="81"/>
      <c r="J4" s="81"/>
      <c r="K4" s="81"/>
      <c r="L4" s="81"/>
      <c r="M4" s="81"/>
      <c r="N4" s="390" t="s">
        <v>512</v>
      </c>
      <c r="O4" s="390" t="s">
        <v>511</v>
      </c>
      <c r="P4" s="390" t="s">
        <v>513</v>
      </c>
      <c r="Q4" s="390" t="s">
        <v>514</v>
      </c>
      <c r="R4" s="77"/>
    </row>
    <row r="5" spans="1:22" ht="15.75">
      <c r="A5" s="616">
        <v>2</v>
      </c>
      <c r="B5" s="90" t="s">
        <v>536</v>
      </c>
      <c r="C5" s="158" t="s">
        <v>186</v>
      </c>
      <c r="D5" s="613" t="str">
        <f>IF(B3&lt;&gt;0,"",INDEX(Odds!H:H,MATCH(B5,Odds!G:G,0)))</f>
        <v>11/2</v>
      </c>
      <c r="E5" s="614">
        <f>IF(B3&lt;&gt;0,"",INDEX(Odds!I:I,MATCH(B5,Odds!G:G,0)))</f>
        <v>6.5</v>
      </c>
      <c r="F5" s="151">
        <v>1</v>
      </c>
      <c r="G5" s="81"/>
      <c r="H5" s="81"/>
      <c r="I5" s="81"/>
      <c r="J5" s="81"/>
      <c r="K5" s="5" t="s">
        <v>13</v>
      </c>
      <c r="L5" s="5" t="s">
        <v>28</v>
      </c>
      <c r="M5" s="77"/>
      <c r="N5" s="77"/>
      <c r="O5" s="81"/>
      <c r="P5" s="81"/>
      <c r="Q5" s="81"/>
      <c r="R5" s="77"/>
    </row>
    <row r="6" spans="1:22" ht="16.149999999999999" thickBot="1">
      <c r="A6" s="616">
        <v>3</v>
      </c>
      <c r="B6" s="90" t="s">
        <v>542</v>
      </c>
      <c r="C6" s="158" t="s">
        <v>186</v>
      </c>
      <c r="D6" s="613" t="str">
        <f>IF(B3&lt;&gt;0,"",INDEX(Odds!H:H,MATCH(B6,Odds!G:G,0)))</f>
        <v>7/5</v>
      </c>
      <c r="E6" s="614">
        <f>IF(B3&lt;&gt;0,"",INDEX(Odds!I:I,MATCH(B6,Odds!G:G,0)))</f>
        <v>2.4</v>
      </c>
      <c r="F6" s="151">
        <v>1</v>
      </c>
      <c r="G6" s="81"/>
      <c r="H6" s="81"/>
      <c r="I6" s="81"/>
      <c r="J6" s="81"/>
      <c r="K6" s="6">
        <f>IF(B3&lt;&gt;0,"",SUM(F4:F6))</f>
        <v>3</v>
      </c>
      <c r="L6" s="7">
        <f>IF(B3&lt;&gt;0,"",SUM(K3:Q3)-7)</f>
        <v>116.94999999999999</v>
      </c>
      <c r="M6" s="77"/>
      <c r="N6" s="77"/>
      <c r="O6" s="81"/>
      <c r="P6" s="81"/>
      <c r="Q6" s="81"/>
      <c r="R6" s="77"/>
    </row>
    <row r="7" spans="1:22">
      <c r="A7" s="77"/>
      <c r="B7" s="77"/>
      <c r="C7" s="77"/>
      <c r="D7" s="81"/>
      <c r="E7" s="614"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183</v>
      </c>
      <c r="E9" s="155" t="s">
        <v>183</v>
      </c>
      <c r="F9" s="155" t="s">
        <v>25</v>
      </c>
      <c r="G9" s="81"/>
      <c r="H9" s="81"/>
      <c r="I9" s="81"/>
      <c r="J9" s="81"/>
      <c r="K9" s="159" t="s">
        <v>176</v>
      </c>
      <c r="L9" s="159" t="s">
        <v>177</v>
      </c>
      <c r="M9" s="159" t="s">
        <v>178</v>
      </c>
      <c r="N9" s="159" t="s">
        <v>179</v>
      </c>
      <c r="O9" s="159" t="s">
        <v>180</v>
      </c>
      <c r="P9" s="159" t="s">
        <v>181</v>
      </c>
      <c r="Q9" s="159" t="s">
        <v>182</v>
      </c>
      <c r="R9" s="81"/>
    </row>
    <row r="10" spans="1:22">
      <c r="A10" s="77"/>
      <c r="B10" s="77"/>
      <c r="C10" s="77"/>
      <c r="D10" s="157" t="s">
        <v>26</v>
      </c>
      <c r="E10" s="157" t="s">
        <v>27</v>
      </c>
      <c r="F10" s="157" t="s">
        <v>13</v>
      </c>
      <c r="G10" s="81"/>
      <c r="H10" s="152">
        <f>E11</f>
        <v>3.9</v>
      </c>
      <c r="I10" s="152">
        <f>E13</f>
        <v>6.5</v>
      </c>
      <c r="J10" s="152">
        <f>E13</f>
        <v>6.5</v>
      </c>
      <c r="K10" s="614">
        <f>IF(B10&lt;&gt;0,"",H10)</f>
        <v>3.9</v>
      </c>
      <c r="L10" s="153">
        <f>IF(B10&lt;&gt;0,"",I10)</f>
        <v>6.5</v>
      </c>
      <c r="M10" s="153">
        <f>IF(B10&lt;&gt;0,"",J10)</f>
        <v>6.5</v>
      </c>
      <c r="N10" s="614">
        <f>IF(B10&lt;&gt;0,"",H10*I10)</f>
        <v>25.349999999999998</v>
      </c>
      <c r="O10" s="153">
        <f>IF(B10&lt;&gt;0,"",I10*J10)</f>
        <v>42.25</v>
      </c>
      <c r="P10" s="153">
        <f>IF(B10&lt;&gt;0,"",H10*J10)</f>
        <v>25.349999999999998</v>
      </c>
      <c r="Q10" s="153">
        <f>IF(B10&lt;&gt;0,"",N10*J10)</f>
        <v>164.77499999999998</v>
      </c>
      <c r="R10" s="81"/>
    </row>
    <row r="11" spans="1:22" ht="16.149999999999999" thickBot="1">
      <c r="A11" s="616">
        <v>1</v>
      </c>
      <c r="B11" s="90" t="str">
        <f>$B4</f>
        <v>Burnley draw</v>
      </c>
      <c r="C11" s="162" t="s">
        <v>185</v>
      </c>
      <c r="D11" s="154" t="s">
        <v>173</v>
      </c>
      <c r="E11" s="614">
        <f>IF(B8&lt;&gt;0,"",INDEX(Odds!I:I,MATCH(B11,Odds!G:G,0)))</f>
        <v>3.9</v>
      </c>
      <c r="F11" s="151">
        <v>0</v>
      </c>
      <c r="G11" s="81"/>
      <c r="H11" s="81"/>
      <c r="I11" s="81"/>
      <c r="J11" s="81"/>
      <c r="K11" s="81"/>
      <c r="L11" s="81"/>
      <c r="M11" s="81"/>
      <c r="N11" s="81"/>
      <c r="O11" s="81"/>
      <c r="P11" s="81"/>
      <c r="Q11" s="81"/>
      <c r="R11" s="81"/>
    </row>
    <row r="12" spans="1:22" ht="15.75">
      <c r="A12" s="616">
        <v>2</v>
      </c>
      <c r="B12" s="90" t="str">
        <f>$B5</f>
        <v>Preston</v>
      </c>
      <c r="C12" s="158" t="s">
        <v>186</v>
      </c>
      <c r="D12" s="154" t="s">
        <v>174</v>
      </c>
      <c r="E12" s="614">
        <f>IF(B9&lt;&gt;0,"",INDEX(Odds!I:I,MATCH(B12,Odds!G:G,0)))</f>
        <v>6.5</v>
      </c>
      <c r="F12" s="151">
        <v>1</v>
      </c>
      <c r="G12" s="81"/>
      <c r="H12" s="81"/>
      <c r="I12" s="81"/>
      <c r="J12" s="81"/>
      <c r="K12" s="5" t="s">
        <v>13</v>
      </c>
      <c r="L12" s="5" t="s">
        <v>28</v>
      </c>
      <c r="M12" s="77"/>
      <c r="N12" s="77"/>
      <c r="O12" s="81"/>
      <c r="P12" s="81"/>
      <c r="Q12" s="81"/>
      <c r="R12" s="81"/>
    </row>
    <row r="13" spans="1:22" ht="16.149999999999999" thickBot="1">
      <c r="A13" s="616">
        <v>3</v>
      </c>
      <c r="B13" s="90" t="str">
        <f>$B6</f>
        <v>Tranmere</v>
      </c>
      <c r="C13" s="158" t="s">
        <v>186</v>
      </c>
      <c r="D13" s="154" t="s">
        <v>175</v>
      </c>
      <c r="E13" s="614">
        <f>IF(B9&lt;&gt;0,"",INDEX(Odds!I:I,MATCH(B12,Odds!G:G,0)))</f>
        <v>6.5</v>
      </c>
      <c r="F13" s="151">
        <v>1</v>
      </c>
      <c r="G13" s="81"/>
      <c r="H13" s="81"/>
      <c r="I13" s="81"/>
      <c r="J13" s="81"/>
      <c r="K13" s="6">
        <f>SUM(F11:F13)</f>
        <v>2</v>
      </c>
      <c r="L13" s="7">
        <f>SUM(K10:Q10)-7</f>
        <v>267.625</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183</v>
      </c>
      <c r="E16" s="155" t="s">
        <v>183</v>
      </c>
      <c r="F16" s="155" t="s">
        <v>25</v>
      </c>
      <c r="G16" s="81"/>
      <c r="H16" s="81"/>
      <c r="I16" s="81"/>
      <c r="J16" s="81"/>
      <c r="K16" s="159" t="s">
        <v>176</v>
      </c>
      <c r="L16" s="159" t="s">
        <v>177</v>
      </c>
      <c r="M16" s="159" t="s">
        <v>178</v>
      </c>
      <c r="N16" s="159" t="s">
        <v>179</v>
      </c>
      <c r="O16" s="159" t="s">
        <v>180</v>
      </c>
      <c r="P16" s="159" t="s">
        <v>181</v>
      </c>
      <c r="Q16" s="159" t="s">
        <v>182</v>
      </c>
      <c r="R16" s="81"/>
      <c r="S16" s="77"/>
      <c r="T16" s="77"/>
      <c r="U16" s="77"/>
      <c r="V16" s="77"/>
    </row>
    <row r="17" spans="1:22">
      <c r="A17" s="77"/>
      <c r="B17" s="77"/>
      <c r="C17" s="77"/>
      <c r="D17" s="157" t="s">
        <v>26</v>
      </c>
      <c r="E17" s="157" t="s">
        <v>27</v>
      </c>
      <c r="F17" s="157" t="s">
        <v>13</v>
      </c>
      <c r="G17" s="81"/>
      <c r="H17" s="152">
        <f>E18</f>
        <v>3.9</v>
      </c>
      <c r="I17" s="152">
        <f>E19</f>
        <v>3.9</v>
      </c>
      <c r="J17" s="152">
        <f>E20</f>
        <v>6.5</v>
      </c>
      <c r="K17" s="153">
        <f>IF(H17=0,0,1)+H17</f>
        <v>4.9000000000000004</v>
      </c>
      <c r="L17" s="153">
        <f>IF(I17=0,0,1)+I17</f>
        <v>4.9000000000000004</v>
      </c>
      <c r="M17" s="153">
        <f>IF(J17=0,0,1)+J17</f>
        <v>7.5</v>
      </c>
      <c r="N17" s="153">
        <f>IF(I17=0,0,(K17*I17)+K17)</f>
        <v>24.009999999999998</v>
      </c>
      <c r="O17" s="153">
        <f>IF(J17=0,0,(L17*J17)+L17)</f>
        <v>36.75</v>
      </c>
      <c r="P17" s="153">
        <f>IF(H17=0,0,(M17*H17)+M17)</f>
        <v>36.75</v>
      </c>
      <c r="Q17" s="153">
        <f>IF(J17=0,0,(N17*J17)+N17)</f>
        <v>180.07499999999999</v>
      </c>
      <c r="R17" s="81"/>
      <c r="S17" s="77"/>
      <c r="T17" s="77"/>
      <c r="U17" s="77"/>
      <c r="V17" s="77"/>
    </row>
    <row r="18" spans="1:22" ht="16.149999999999999" thickBot="1">
      <c r="A18" s="616">
        <v>1</v>
      </c>
      <c r="B18" s="90" t="str">
        <f>$B11</f>
        <v>Burnley draw</v>
      </c>
      <c r="C18" s="158" t="s">
        <v>186</v>
      </c>
      <c r="D18" s="154" t="s">
        <v>173</v>
      </c>
      <c r="E18" s="614">
        <f>IF(B15&lt;&gt;0,"",INDEX(Odds!I:I,MATCH(B18,Odds!G:G,0)))</f>
        <v>3.9</v>
      </c>
      <c r="F18" s="151">
        <v>1</v>
      </c>
      <c r="G18" s="81"/>
      <c r="H18" s="81"/>
      <c r="I18" s="81"/>
      <c r="J18" s="81"/>
      <c r="K18" s="81"/>
      <c r="L18" s="81"/>
      <c r="M18" s="81"/>
      <c r="N18" s="81"/>
      <c r="O18" s="81"/>
      <c r="P18" s="81"/>
      <c r="Q18" s="81"/>
      <c r="R18" s="81"/>
      <c r="S18" s="77"/>
      <c r="T18" s="77"/>
      <c r="U18" s="77"/>
      <c r="V18" s="77"/>
    </row>
    <row r="19" spans="1:22" ht="15.75">
      <c r="A19" s="616">
        <v>2</v>
      </c>
      <c r="B19" s="90" t="str">
        <f>$B12</f>
        <v>Preston</v>
      </c>
      <c r="C19" s="158" t="s">
        <v>186</v>
      </c>
      <c r="D19" s="154" t="s">
        <v>174</v>
      </c>
      <c r="E19" s="614">
        <f>IF(B15&lt;&gt;0,"",INDEX(Odds!I:I,MATCH(B18,Odds!G:G,0)))</f>
        <v>3.9</v>
      </c>
      <c r="F19" s="151">
        <v>1</v>
      </c>
      <c r="G19" s="81"/>
      <c r="H19" s="81"/>
      <c r="I19" s="81"/>
      <c r="J19" s="81"/>
      <c r="K19" s="5" t="s">
        <v>13</v>
      </c>
      <c r="L19" s="5" t="s">
        <v>28</v>
      </c>
      <c r="M19" s="77"/>
      <c r="N19" s="77"/>
      <c r="O19" s="81"/>
      <c r="P19" s="81"/>
      <c r="Q19" s="81"/>
      <c r="R19" s="81"/>
      <c r="S19" s="77"/>
      <c r="T19" s="77"/>
      <c r="U19" s="77"/>
      <c r="V19" s="77"/>
    </row>
    <row r="20" spans="1:22" ht="16.149999999999999" thickBot="1">
      <c r="A20" s="616">
        <v>3</v>
      </c>
      <c r="B20" s="90" t="str">
        <f>$B13</f>
        <v>Tranmere</v>
      </c>
      <c r="C20" s="162" t="s">
        <v>185</v>
      </c>
      <c r="D20" s="154" t="s">
        <v>175</v>
      </c>
      <c r="E20" s="614">
        <f>IF(B16&lt;&gt;0,"",INDEX(Odds!I:I,MATCH(B19,Odds!G:G,0)))</f>
        <v>6.5</v>
      </c>
      <c r="F20" s="151">
        <v>0</v>
      </c>
      <c r="G20" s="81"/>
      <c r="H20" s="81"/>
      <c r="I20" s="81"/>
      <c r="J20" s="81"/>
      <c r="K20" s="6">
        <f>SUM(F18:F20)</f>
        <v>2</v>
      </c>
      <c r="L20" s="7">
        <f>SUM(K17:Q17)-7</f>
        <v>287.88499999999999</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183</v>
      </c>
      <c r="E23" s="155" t="s">
        <v>183</v>
      </c>
      <c r="F23" s="155" t="s">
        <v>25</v>
      </c>
      <c r="G23" s="81"/>
      <c r="H23" s="81"/>
      <c r="I23" s="81"/>
      <c r="J23" s="81"/>
      <c r="K23" s="159" t="s">
        <v>176</v>
      </c>
      <c r="L23" s="159" t="s">
        <v>177</v>
      </c>
      <c r="M23" s="159" t="s">
        <v>178</v>
      </c>
      <c r="N23" s="159" t="s">
        <v>179</v>
      </c>
      <c r="O23" s="159" t="s">
        <v>180</v>
      </c>
      <c r="P23" s="159" t="s">
        <v>181</v>
      </c>
      <c r="Q23" s="159" t="s">
        <v>182</v>
      </c>
      <c r="R23" s="81"/>
      <c r="S23" s="77"/>
      <c r="T23" s="77"/>
      <c r="U23" s="77"/>
      <c r="V23" s="77"/>
    </row>
    <row r="24" spans="1:22">
      <c r="A24" s="77"/>
      <c r="B24" s="77"/>
      <c r="C24" s="77"/>
      <c r="D24" s="157" t="s">
        <v>26</v>
      </c>
      <c r="E24" s="157" t="s">
        <v>27</v>
      </c>
      <c r="F24" s="157" t="s">
        <v>13</v>
      </c>
      <c r="G24" s="81"/>
      <c r="H24" s="152">
        <f>E25</f>
        <v>3.9</v>
      </c>
      <c r="I24" s="152">
        <f>E26</f>
        <v>6.5</v>
      </c>
      <c r="J24" s="152">
        <f>E27</f>
        <v>2.4</v>
      </c>
      <c r="K24" s="153">
        <f>IF(H24=0,0,1)+H24</f>
        <v>4.9000000000000004</v>
      </c>
      <c r="L24" s="153">
        <f>IF(I24=0,0,1)+I24</f>
        <v>7.5</v>
      </c>
      <c r="M24" s="153">
        <f>IF(J24=0,0,1)+J24</f>
        <v>3.4</v>
      </c>
      <c r="N24" s="153">
        <f>IF(I24=0,0,(K24*I24)+K24)</f>
        <v>36.75</v>
      </c>
      <c r="O24" s="153">
        <f>IF(J24=0,0,(L24*J24)+L24)</f>
        <v>25.5</v>
      </c>
      <c r="P24" s="153">
        <f>IF(H24=0,0,(M24*H24)+M24)</f>
        <v>16.66</v>
      </c>
      <c r="Q24" s="153">
        <f>IF(J24=0,0,(N24*J24)+N24)</f>
        <v>124.95</v>
      </c>
      <c r="R24" s="81"/>
      <c r="S24" s="77"/>
      <c r="T24" s="77"/>
      <c r="U24" s="77"/>
      <c r="V24" s="77"/>
    </row>
    <row r="25" spans="1:22" ht="16.149999999999999" thickBot="1">
      <c r="A25" s="616">
        <v>1</v>
      </c>
      <c r="B25" s="90" t="str">
        <f>$B18</f>
        <v>Burnley draw</v>
      </c>
      <c r="C25" s="158" t="s">
        <v>186</v>
      </c>
      <c r="D25" s="154" t="s">
        <v>173</v>
      </c>
      <c r="E25" s="614">
        <f>IF(B22&lt;&gt;0,"",INDEX(Odds!I:I,MATCH(B25,Odds!G:G,0)))</f>
        <v>3.9</v>
      </c>
      <c r="F25" s="151">
        <v>1</v>
      </c>
      <c r="G25" s="81"/>
      <c r="H25" s="81"/>
      <c r="I25" s="81"/>
      <c r="J25" s="81"/>
      <c r="K25" s="81"/>
      <c r="L25" s="81"/>
      <c r="M25" s="81"/>
      <c r="N25" s="81"/>
      <c r="O25" s="81"/>
      <c r="P25" s="81"/>
      <c r="Q25" s="81"/>
      <c r="R25" s="81"/>
      <c r="S25" s="77"/>
      <c r="T25" s="77"/>
      <c r="U25" s="77"/>
      <c r="V25" s="77"/>
    </row>
    <row r="26" spans="1:22" ht="15.75">
      <c r="A26" s="616">
        <v>2</v>
      </c>
      <c r="B26" s="90" t="str">
        <f>$B19</f>
        <v>Preston</v>
      </c>
      <c r="C26" s="162" t="s">
        <v>185</v>
      </c>
      <c r="D26" s="154" t="s">
        <v>174</v>
      </c>
      <c r="E26" s="614">
        <f>IF(B23&lt;&gt;0,"",INDEX(Odds!I:I,MATCH(B26,Odds!G:G,0)))</f>
        <v>6.5</v>
      </c>
      <c r="F26" s="151">
        <v>0</v>
      </c>
      <c r="G26" s="81"/>
      <c r="H26" s="81"/>
      <c r="I26" s="81"/>
      <c r="J26" s="81"/>
      <c r="K26" s="5" t="s">
        <v>13</v>
      </c>
      <c r="L26" s="5" t="s">
        <v>28</v>
      </c>
      <c r="M26" s="77"/>
      <c r="N26" s="77"/>
      <c r="O26" s="81"/>
      <c r="P26" s="81"/>
      <c r="Q26" s="81"/>
      <c r="R26" s="81"/>
      <c r="S26" s="77"/>
      <c r="T26" s="77"/>
      <c r="U26" s="77"/>
      <c r="V26" s="77"/>
    </row>
    <row r="27" spans="1:22" ht="16.149999999999999" thickBot="1">
      <c r="A27" s="616">
        <v>3</v>
      </c>
      <c r="B27" s="90" t="str">
        <f>$B20</f>
        <v>Tranmere</v>
      </c>
      <c r="C27" s="158" t="s">
        <v>186</v>
      </c>
      <c r="D27" s="154" t="s">
        <v>175</v>
      </c>
      <c r="E27" s="614">
        <f>IF(B24&lt;&gt;0,"",INDEX(Odds!I:I,MATCH(B27,Odds!G:G,0)))</f>
        <v>2.4</v>
      </c>
      <c r="F27" s="151">
        <v>1</v>
      </c>
      <c r="G27" s="81"/>
      <c r="H27" s="81"/>
      <c r="I27" s="81"/>
      <c r="J27" s="81"/>
      <c r="K27" s="6">
        <f>SUM(F25:F27)</f>
        <v>2</v>
      </c>
      <c r="L27" s="7">
        <f>SUM(K24:Q24)-7</f>
        <v>212.66</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183</v>
      </c>
      <c r="E30" s="155" t="s">
        <v>183</v>
      </c>
      <c r="F30" s="155" t="s">
        <v>25</v>
      </c>
      <c r="G30" s="81"/>
      <c r="H30" s="81"/>
      <c r="I30" s="81"/>
      <c r="J30" s="81"/>
      <c r="K30" s="159" t="s">
        <v>176</v>
      </c>
      <c r="L30" s="159" t="s">
        <v>177</v>
      </c>
      <c r="M30" s="159" t="s">
        <v>178</v>
      </c>
      <c r="N30" s="159" t="s">
        <v>179</v>
      </c>
      <c r="O30" s="159" t="s">
        <v>180</v>
      </c>
      <c r="P30" s="159" t="s">
        <v>181</v>
      </c>
      <c r="Q30" s="159" t="s">
        <v>182</v>
      </c>
      <c r="R30" s="77"/>
      <c r="S30" s="77"/>
      <c r="T30" s="77"/>
      <c r="U30" s="77"/>
      <c r="V30" s="77"/>
    </row>
    <row r="31" spans="1:22">
      <c r="A31" s="77"/>
      <c r="B31" s="77"/>
      <c r="C31" s="77"/>
      <c r="D31" s="157" t="s">
        <v>26</v>
      </c>
      <c r="E31" s="157" t="s">
        <v>27</v>
      </c>
      <c r="F31" s="157" t="s">
        <v>13</v>
      </c>
      <c r="G31" s="81"/>
      <c r="H31" s="152">
        <f>E32</f>
        <v>3.9</v>
      </c>
      <c r="I31" s="152">
        <f>E33</f>
        <v>3.9</v>
      </c>
      <c r="J31" s="152">
        <f>E34</f>
        <v>6.5</v>
      </c>
      <c r="K31" s="153">
        <f>IF(H31=0,0,1)+H31</f>
        <v>4.9000000000000004</v>
      </c>
      <c r="L31" s="153">
        <f>IF(I31=0,0,1)+I31</f>
        <v>4.9000000000000004</v>
      </c>
      <c r="M31" s="153">
        <f>IF(J31=0,0,1)+J31</f>
        <v>7.5</v>
      </c>
      <c r="N31" s="153">
        <f>IF(I31=0,0,(K31*I31)+K31)</f>
        <v>24.009999999999998</v>
      </c>
      <c r="O31" s="153">
        <f>IF(J31=0,0,(L31*J31)+L31)</f>
        <v>36.75</v>
      </c>
      <c r="P31" s="153">
        <f>IF(H31=0,0,(M31*H31)+M31)</f>
        <v>36.75</v>
      </c>
      <c r="Q31" s="153">
        <f>IF(J31=0,0,(N31*J31)+N31)</f>
        <v>180.07499999999999</v>
      </c>
      <c r="R31" s="77"/>
      <c r="S31" s="77"/>
      <c r="T31" s="77"/>
      <c r="U31" s="77"/>
      <c r="V31" s="77"/>
    </row>
    <row r="32" spans="1:22" ht="16.149999999999999" thickBot="1">
      <c r="A32" s="616">
        <v>1</v>
      </c>
      <c r="B32" s="90" t="str">
        <f>$B25</f>
        <v>Burnley draw</v>
      </c>
      <c r="C32" s="162" t="s">
        <v>185</v>
      </c>
      <c r="D32" s="154" t="s">
        <v>173</v>
      </c>
      <c r="E32" s="614">
        <f>IF(B29&lt;&gt;0,"",INDEX(Odds!I:I,MATCH(B32,Odds!G:G,0)))</f>
        <v>3.9</v>
      </c>
      <c r="F32" s="151">
        <v>0</v>
      </c>
      <c r="G32" s="81"/>
      <c r="H32" s="81"/>
      <c r="I32" s="81"/>
      <c r="J32" s="81"/>
      <c r="K32" s="81"/>
      <c r="L32" s="81"/>
      <c r="M32" s="81"/>
      <c r="N32" s="81"/>
      <c r="O32" s="81"/>
      <c r="P32" s="81"/>
      <c r="Q32" s="81"/>
      <c r="R32" s="77"/>
      <c r="S32" s="77"/>
      <c r="T32" s="77"/>
      <c r="U32" s="77"/>
      <c r="V32" s="77"/>
    </row>
    <row r="33" spans="1:22" ht="15.75">
      <c r="A33" s="616">
        <v>2</v>
      </c>
      <c r="B33" s="90" t="str">
        <f>$B26</f>
        <v>Preston</v>
      </c>
      <c r="C33" s="162" t="s">
        <v>185</v>
      </c>
      <c r="D33" s="154" t="s">
        <v>174</v>
      </c>
      <c r="E33" s="614">
        <f>IF(B29&lt;&gt;0,"",INDEX(Odds!I:I,MATCH(B32,Odds!G:G,0)))</f>
        <v>3.9</v>
      </c>
      <c r="F33" s="151">
        <v>0</v>
      </c>
      <c r="G33" s="81"/>
      <c r="H33" s="81"/>
      <c r="I33" s="81"/>
      <c r="J33" s="81"/>
      <c r="K33" s="5" t="s">
        <v>13</v>
      </c>
      <c r="L33" s="5" t="s">
        <v>28</v>
      </c>
      <c r="M33" s="77"/>
      <c r="N33" s="77"/>
      <c r="O33" s="81"/>
      <c r="P33" s="81"/>
      <c r="Q33" s="81"/>
      <c r="R33" s="77"/>
      <c r="S33" s="77"/>
      <c r="T33" s="77"/>
      <c r="U33" s="77"/>
      <c r="V33" s="77"/>
    </row>
    <row r="34" spans="1:22" ht="16.149999999999999" thickBot="1">
      <c r="A34" s="616">
        <v>3</v>
      </c>
      <c r="B34" s="90" t="str">
        <f>$B27</f>
        <v>Tranmere</v>
      </c>
      <c r="C34" s="158" t="s">
        <v>186</v>
      </c>
      <c r="D34" s="154" t="s">
        <v>175</v>
      </c>
      <c r="E34" s="614">
        <f>IF(B30&lt;&gt;0,"",INDEX(Odds!I:I,MATCH(B33,Odds!G:G,0)))</f>
        <v>6.5</v>
      </c>
      <c r="F34" s="151">
        <v>1</v>
      </c>
      <c r="G34" s="81"/>
      <c r="H34" s="81"/>
      <c r="I34" s="81"/>
      <c r="J34" s="81"/>
      <c r="K34" s="6">
        <f>SUM(F32:F34)</f>
        <v>1</v>
      </c>
      <c r="L34" s="7">
        <f>SUM(K31:Q31)-7</f>
        <v>287.88499999999999</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183</v>
      </c>
      <c r="E37" s="155" t="s">
        <v>183</v>
      </c>
      <c r="F37" s="155" t="s">
        <v>25</v>
      </c>
      <c r="G37" s="81"/>
      <c r="H37" s="81"/>
      <c r="I37" s="81"/>
      <c r="J37" s="81"/>
      <c r="K37" s="159" t="s">
        <v>176</v>
      </c>
      <c r="L37" s="159" t="s">
        <v>177</v>
      </c>
      <c r="M37" s="159" t="s">
        <v>178</v>
      </c>
      <c r="N37" s="159" t="s">
        <v>179</v>
      </c>
      <c r="O37" s="159" t="s">
        <v>180</v>
      </c>
      <c r="P37" s="159" t="s">
        <v>181</v>
      </c>
      <c r="Q37" s="159" t="s">
        <v>182</v>
      </c>
      <c r="R37" s="77"/>
      <c r="S37" s="77"/>
      <c r="T37" s="77"/>
      <c r="U37" s="77"/>
      <c r="V37" s="77"/>
    </row>
    <row r="38" spans="1:22">
      <c r="A38" s="77"/>
      <c r="B38" s="77"/>
      <c r="C38" s="77"/>
      <c r="D38" s="157" t="s">
        <v>26</v>
      </c>
      <c r="E38" s="157" t="s">
        <v>27</v>
      </c>
      <c r="F38" s="157" t="s">
        <v>13</v>
      </c>
      <c r="G38" s="81"/>
      <c r="H38" s="152">
        <f>E39</f>
        <v>3.9</v>
      </c>
      <c r="I38" s="152">
        <f>E40</f>
        <v>3.9</v>
      </c>
      <c r="J38" s="152">
        <f>E41</f>
        <v>6.5</v>
      </c>
      <c r="K38" s="153"/>
      <c r="L38" s="153"/>
      <c r="M38" s="153"/>
      <c r="N38" s="153"/>
      <c r="O38" s="153"/>
      <c r="P38" s="153"/>
      <c r="Q38" s="153"/>
      <c r="R38" s="77"/>
      <c r="S38" s="77"/>
      <c r="T38" s="77"/>
      <c r="U38" s="77"/>
      <c r="V38" s="77"/>
    </row>
    <row r="39" spans="1:22" ht="16.149999999999999" thickBot="1">
      <c r="A39" s="616">
        <v>1</v>
      </c>
      <c r="B39" s="90" t="str">
        <f>$B32</f>
        <v>Burnley draw</v>
      </c>
      <c r="C39" s="162" t="s">
        <v>185</v>
      </c>
      <c r="D39" s="154" t="s">
        <v>173</v>
      </c>
      <c r="E39" s="614">
        <f>IF(B36&lt;&gt;0,"",INDEX(Odds!I:I,MATCH(B39,Odds!G:G,0)))</f>
        <v>3.9</v>
      </c>
      <c r="F39" s="151">
        <v>0</v>
      </c>
      <c r="G39" s="81"/>
      <c r="H39" s="81"/>
      <c r="I39" s="81"/>
      <c r="J39" s="81"/>
      <c r="K39" s="81"/>
      <c r="L39" s="81"/>
      <c r="M39" s="81"/>
      <c r="N39" s="81"/>
      <c r="O39" s="81"/>
      <c r="P39" s="81"/>
      <c r="Q39" s="81"/>
      <c r="R39" s="77"/>
      <c r="S39" s="77"/>
      <c r="T39" s="77"/>
      <c r="U39" s="77"/>
      <c r="V39" s="77"/>
    </row>
    <row r="40" spans="1:22" ht="15.75">
      <c r="A40" s="616">
        <v>2</v>
      </c>
      <c r="B40" s="90" t="str">
        <f>$B33</f>
        <v>Preston</v>
      </c>
      <c r="C40" s="162" t="s">
        <v>185</v>
      </c>
      <c r="D40" s="154" t="s">
        <v>174</v>
      </c>
      <c r="E40" s="614">
        <f>IF(B36&lt;&gt;0,"",INDEX(Odds!I:I,MATCH(B39,Odds!G:G,0)))</f>
        <v>3.9</v>
      </c>
      <c r="F40" s="151">
        <v>0</v>
      </c>
      <c r="G40" s="81"/>
      <c r="H40" s="81"/>
      <c r="I40" s="81"/>
      <c r="J40" s="81"/>
      <c r="K40" s="5" t="s">
        <v>13</v>
      </c>
      <c r="L40" s="5" t="s">
        <v>28</v>
      </c>
      <c r="M40" s="77"/>
      <c r="N40" s="77"/>
      <c r="O40" s="81"/>
      <c r="P40" s="81"/>
      <c r="Q40" s="81"/>
      <c r="R40" s="77"/>
      <c r="S40" s="77"/>
      <c r="T40" s="77"/>
      <c r="U40" s="77"/>
      <c r="V40" s="77"/>
    </row>
    <row r="41" spans="1:22" ht="16.149999999999999" thickBot="1">
      <c r="A41" s="616">
        <v>3</v>
      </c>
      <c r="B41" s="90" t="str">
        <f>$B34</f>
        <v>Tranmere</v>
      </c>
      <c r="C41" s="162" t="s">
        <v>185</v>
      </c>
      <c r="D41" s="154" t="s">
        <v>175</v>
      </c>
      <c r="E41" s="614">
        <f>IF(B37&lt;&gt;0,"",INDEX(Odds!I:I,MATCH(B40,Odds!G:G,0)))</f>
        <v>6.5</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355</v>
      </c>
      <c r="D1" s="381" t="s">
        <v>361</v>
      </c>
      <c r="E1" s="381" t="s">
        <v>433</v>
      </c>
      <c r="F1" s="381" t="s">
        <v>127</v>
      </c>
      <c r="G1" s="381" t="s">
        <v>356</v>
      </c>
      <c r="I1" s="375"/>
      <c r="J1" s="381" t="s">
        <v>361</v>
      </c>
      <c r="K1" s="381" t="s">
        <v>433</v>
      </c>
      <c r="L1" s="381" t="s">
        <v>362</v>
      </c>
    </row>
    <row r="2" spans="1:12" ht="18" customHeight="1">
      <c r="A2" s="376" t="s">
        <v>293</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306</v>
      </c>
      <c r="J2" s="385">
        <f>IF(I2="","",IF(ISERROR(INDEX(Results!AI:AI,MATCH(I2,Results!$V:$V,0))),"TBC",INDEX(Results!AI:AI,MATCH(I2,Results!$V:$V,0))))</f>
        <v>8.1616161616161627</v>
      </c>
      <c r="K2" s="385">
        <f>IF(I2="","",IF(ISERROR(INDEX(Results!T:T,MATCH(I2,Results!$V:$V,0))),"TBC",INDEX(Results!T:T,MATCH(I2,Results!$V:$V,0))))</f>
        <v>8.1616161616161627</v>
      </c>
      <c r="L2" s="377">
        <f>IF(I2="","",INDEX(Table!I:I,MATCH(I2,Table!$F:$F,0)))</f>
        <v>-8.7450505050505036</v>
      </c>
    </row>
    <row r="3" spans="1:12" ht="18" customHeight="1">
      <c r="A3" s="376" t="s">
        <v>309</v>
      </c>
      <c r="B3" s="377">
        <f>IF(A3="","",INDEX(Table!I:I,MATCH(A3,Table!$F:$F,0)))</f>
        <v>1.4071969696969724</v>
      </c>
      <c r="C3" s="378">
        <f>IF(A3="","",INDEX(Table!J:J,MATCH(A3,Table!$F:$F,0)))</f>
        <v>11</v>
      </c>
      <c r="D3" s="385">
        <f>IF(A3="","",IF(ISERROR(INDEX(Results!AI:AI,MATCH(A3,Results!$V:$V,0))),"TBC",INDEX(Results!AI:AI,MATCH(A3,Results!$V:$V,0))))</f>
        <v>21.069999999999997</v>
      </c>
      <c r="E3" s="377">
        <f>IF(A3="","",INDEX(Table!K:K,MATCH(A3,Table!$F:$F,0)))</f>
        <v>-7</v>
      </c>
      <c r="F3" s="378">
        <f>IF(A3="","",INDEX(Table!L:L,MATCH(A3,Table!$F:$F,0)))</f>
        <v>0</v>
      </c>
      <c r="G3" s="378">
        <f>IF(A3="","",INDEX(Picks!AG:AG,MATCH(A3,Picks!$AD:$AD,0)))</f>
        <v>50</v>
      </c>
      <c r="I3" s="376" t="s">
        <v>309</v>
      </c>
      <c r="J3" s="385">
        <f>IF(I3="","",IF(ISERROR(INDEX(Results!AI:AI,MATCH(I3,Results!$V:$V,0))),"TBC",INDEX(Results!AI:AI,MATCH(I3,Results!$V:$V,0))))</f>
        <v>21.069999999999997</v>
      </c>
      <c r="K3" s="385">
        <f>IF(I3="","",IF(ISERROR(INDEX(Results!T:T,MATCH(I3,Results!$V:$V,0))),"TBC",INDEX(Results!T:T,MATCH(I3,Results!$V:$V,0))))</f>
        <v>-7</v>
      </c>
      <c r="L3" s="377">
        <f>IF(I3="","",INDEX(Table!I:I,MATCH(I3,Table!$F:$F,0)))</f>
        <v>1.4071969696969724</v>
      </c>
    </row>
    <row r="4" spans="1:12" ht="18" customHeight="1">
      <c r="A4" s="376" t="s">
        <v>283</v>
      </c>
      <c r="B4" s="377">
        <f>IF(A4="","",INDEX(Table!I:I,MATCH(A4,Table!$F:$F,0)))</f>
        <v>-17.825919913419909</v>
      </c>
      <c r="C4" s="378">
        <f>IF(A4="","",INDEX(Table!J:J,MATCH(A4,Table!$F:$F,0)))</f>
        <v>10</v>
      </c>
      <c r="D4" s="385">
        <f>IF(A4="","",IF(ISERROR(INDEX(Results!AI:AI,MATCH(A4,Results!$V:$V,0))),"TBC",INDEX(Results!AI:AI,MATCH(A4,Results!$V:$V,0))))</f>
        <v>13.09375</v>
      </c>
      <c r="E4" s="377">
        <f>IF(A4="","",INDEX(Table!K:K,MATCH(A4,Table!$F:$F,0)))</f>
        <v>0.4375</v>
      </c>
      <c r="F4" s="378">
        <f>IF(A4="","",INDEX(Table!L:L,MATCH(A4,Table!$F:$F,0)))</f>
        <v>2</v>
      </c>
      <c r="G4" s="378">
        <f>IF(A4="","",INDEX(Picks!AG:AG,MATCH(A4,Picks!$AD:$AD,0)))</f>
        <v>25</v>
      </c>
      <c r="I4" s="376" t="s">
        <v>292</v>
      </c>
      <c r="J4" s="385">
        <f>IF(I4="","",IF(ISERROR(INDEX(Results!AI:AI,MATCH(I4,Results!$V:$V,0))),"TBC",INDEX(Results!AI:AI,MATCH(I4,Results!$V:$V,0))))</f>
        <v>33.681249999999999</v>
      </c>
      <c r="K4" s="385">
        <f>IF(I4="","",IF(ISERROR(INDEX(Results!T:T,MATCH(I4,Results!$V:$V,0))),"TBC",INDEX(Results!T:T,MATCH(I4,Results!$V:$V,0))))</f>
        <v>-4.625</v>
      </c>
      <c r="L4" s="377">
        <f>IF(I4="","",INDEX(Table!I:I,MATCH(I4,Table!$F:$F,0)))</f>
        <v>34.578969237832879</v>
      </c>
    </row>
    <row r="5" spans="1:12" ht="18" customHeight="1">
      <c r="A5" s="376" t="s">
        <v>306</v>
      </c>
      <c r="B5" s="377">
        <f>IF(A5="","",INDEX(Table!I:I,MATCH(A5,Table!$F:$F,0)))</f>
        <v>-8.7450505050505036</v>
      </c>
      <c r="C5" s="378">
        <f>IF(A5="","",INDEX(Table!J:J,MATCH(A5,Table!$F:$F,0)))</f>
        <v>10</v>
      </c>
      <c r="D5" s="385">
        <f>IF(A5="","",IF(ISERROR(INDEX(Results!AI:AI,MATCH(A5,Results!$V:$V,0))),"TBC",INDEX(Results!AI:AI,MATCH(A5,Results!$V:$V,0))))</f>
        <v>8.1616161616161627</v>
      </c>
      <c r="E5" s="377">
        <f>IF(A5="","",INDEX(Table!K:K,MATCH(A5,Table!$F:$F,0)))</f>
        <v>8.1616161616161627</v>
      </c>
      <c r="F5" s="378">
        <f>IF(A5="","",INDEX(Table!L:L,MATCH(A5,Table!$F:$F,0)))</f>
        <v>3</v>
      </c>
      <c r="G5" s="378">
        <f>IF(A5="","",INDEX(Picks!AG:AG,MATCH(A5,Picks!$AD:$AD,0)))</f>
        <v>10</v>
      </c>
      <c r="I5" s="376" t="s">
        <v>283</v>
      </c>
      <c r="J5" s="385">
        <f>IF(I5="","",IF(ISERROR(INDEX(Results!AI:AI,MATCH(I5,Results!$V:$V,0))),"TBC",INDEX(Results!AI:AI,MATCH(I5,Results!$V:$V,0))))</f>
        <v>13.09375</v>
      </c>
      <c r="K5" s="385">
        <f>IF(I5="","",IF(ISERROR(INDEX(Results!T:T,MATCH(I5,Results!$V:$V,0))),"TBC",INDEX(Results!T:T,MATCH(I5,Results!$V:$V,0))))</f>
        <v>0.4375</v>
      </c>
      <c r="L5" s="377">
        <f>IF(I5="","",INDEX(Table!I:I,MATCH(I5,Table!$F:$F,0)))</f>
        <v>-17.825919913419909</v>
      </c>
    </row>
    <row r="6" spans="1:12" ht="18" customHeight="1">
      <c r="A6" s="376" t="s">
        <v>292</v>
      </c>
      <c r="B6" s="377">
        <f>IF(A6="","",INDEX(Table!I:I,MATCH(A6,Table!$F:$F,0)))</f>
        <v>34.578969237832879</v>
      </c>
      <c r="C6" s="378">
        <f>IF(A6="","",INDEX(Table!J:J,MATCH(A6,Table!$F:$F,0)))</f>
        <v>12</v>
      </c>
      <c r="D6" s="385">
        <f>IF(A6="","",IF(ISERROR(INDEX(Results!AI:AI,MATCH(A6,Results!$V:$V,0))),"TBC",INDEX(Results!AI:AI,MATCH(A6,Results!$V:$V,0))))</f>
        <v>33.681249999999999</v>
      </c>
      <c r="E6" s="377">
        <f>IF(A6="","",INDEX(Table!K:K,MATCH(A6,Table!$F:$F,0)))</f>
        <v>-4.625</v>
      </c>
      <c r="F6" s="378">
        <f>IF(A6="","",INDEX(Table!L:L,MATCH(A6,Table!$F:$F,0)))</f>
        <v>1</v>
      </c>
      <c r="G6" s="378">
        <f>IF(A6="","",INDEX(Picks!AG:AG,MATCH(A6,Picks!$AD:$AD,0)))</f>
        <v>37</v>
      </c>
      <c r="I6" s="376" t="s">
        <v>293</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188</v>
      </c>
      <c r="B1" s="164">
        <v>61</v>
      </c>
    </row>
    <row r="2" spans="1:2" ht="17.25">
      <c r="A2" s="93" t="s">
        <v>150</v>
      </c>
      <c r="B2" s="166">
        <v>20</v>
      </c>
    </row>
    <row r="3" spans="1:2" ht="17.649999999999999">
      <c r="A3" s="167" t="s">
        <v>189</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504</v>
      </c>
      <c r="B12" s="96">
        <v>10</v>
      </c>
    </row>
    <row r="13" spans="1:2" ht="13.15">
      <c r="A13" s="101" t="s">
        <v>157</v>
      </c>
      <c r="B13" s="103">
        <f>SUM(B10:B12)</f>
        <v>50</v>
      </c>
    </row>
    <row r="14" spans="1:2">
      <c r="A14" s="93"/>
      <c r="B14" s="94"/>
    </row>
    <row r="15" spans="1:2">
      <c r="A15" s="100" t="s">
        <v>505</v>
      </c>
      <c r="B15" s="363">
        <f>Prizes!I2</f>
        <v>301.5</v>
      </c>
    </row>
    <row r="16" spans="1:2">
      <c r="A16" s="100" t="s">
        <v>507</v>
      </c>
      <c r="B16" s="363">
        <f>Prizes!I3</f>
        <v>201</v>
      </c>
    </row>
    <row r="17" spans="1:2">
      <c r="A17" s="100" t="s">
        <v>508</v>
      </c>
      <c r="B17" s="363">
        <f>Prizes!I4</f>
        <v>100.5</v>
      </c>
    </row>
    <row r="18" spans="1:2">
      <c r="A18" s="100" t="s">
        <v>509</v>
      </c>
      <c r="B18" s="363">
        <f>Prizes!I5</f>
        <v>67</v>
      </c>
    </row>
    <row r="19" spans="1:2">
      <c r="A19" s="100"/>
      <c r="B19" s="95"/>
    </row>
    <row r="20" spans="1:2" ht="13.15">
      <c r="A20" s="101" t="s">
        <v>506</v>
      </c>
      <c r="B20" s="102">
        <f>SUM(B15:B19)</f>
        <v>670</v>
      </c>
    </row>
    <row r="21" spans="1:2" ht="13.15">
      <c r="A21" s="101"/>
      <c r="B21" s="102"/>
    </row>
    <row r="22" spans="1:2">
      <c r="A22" s="180" t="s">
        <v>231</v>
      </c>
      <c r="B22" s="181"/>
    </row>
    <row r="23" spans="1:2" ht="13.15">
      <c r="A23" s="101"/>
      <c r="B23" s="102"/>
    </row>
    <row r="24" spans="1:2" ht="13.15">
      <c r="A24" s="101" t="s">
        <v>510</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351</v>
      </c>
      <c r="B1" s="4" t="s">
        <v>232</v>
      </c>
      <c r="C1" s="4" t="s">
        <v>255</v>
      </c>
      <c r="D1" s="46" t="s">
        <v>256</v>
      </c>
      <c r="E1" s="46" t="s">
        <v>257</v>
      </c>
      <c r="F1" s="46" t="s">
        <v>258</v>
      </c>
      <c r="G1" s="46"/>
      <c r="H1" s="358" t="s">
        <v>145</v>
      </c>
      <c r="I1" s="359">
        <f>M2-550</f>
        <v>670</v>
      </c>
      <c r="K1" t="s">
        <v>232</v>
      </c>
      <c r="L1" t="s">
        <v>259</v>
      </c>
      <c r="M1" s="357" t="s">
        <v>278</v>
      </c>
    </row>
    <row r="2" spans="1:13">
      <c r="A2" t="str">
        <f>CONCATENATE(B2,C2)</f>
        <v>A1</v>
      </c>
      <c r="B2" s="8" t="s">
        <v>234</v>
      </c>
      <c r="C2" s="4">
        <v>1</v>
      </c>
      <c r="D2">
        <v>45</v>
      </c>
      <c r="E2">
        <v>35</v>
      </c>
      <c r="F2" s="236">
        <f t="shared" ref="F2:F7" si="0">PotA*E2/100</f>
        <v>105.52500000000001</v>
      </c>
      <c r="H2" s="104" t="s">
        <v>260</v>
      </c>
      <c r="I2" s="360">
        <f>pot*0.45</f>
        <v>301.5</v>
      </c>
      <c r="K2" s="4">
        <v>1</v>
      </c>
      <c r="L2">
        <v>45</v>
      </c>
      <c r="M2" s="360">
        <f>entrants*20</f>
        <v>1220</v>
      </c>
    </row>
    <row r="3" spans="1:13">
      <c r="A3" t="str">
        <f t="shared" ref="A3:A63" si="1">CONCATENATE(B3,C3)</f>
        <v>A2</v>
      </c>
      <c r="B3" s="8" t="s">
        <v>234</v>
      </c>
      <c r="C3" s="4">
        <v>2</v>
      </c>
      <c r="E3">
        <v>25</v>
      </c>
      <c r="F3" s="236">
        <f t="shared" si="0"/>
        <v>75.375</v>
      </c>
      <c r="H3" s="104" t="s">
        <v>261</v>
      </c>
      <c r="I3" s="360">
        <f>pot*0.3</f>
        <v>201</v>
      </c>
      <c r="K3" s="4">
        <v>2</v>
      </c>
      <c r="L3">
        <v>30</v>
      </c>
    </row>
    <row r="4" spans="1:13">
      <c r="A4" t="str">
        <f t="shared" si="1"/>
        <v>A3</v>
      </c>
      <c r="B4" s="8" t="s">
        <v>234</v>
      </c>
      <c r="C4" s="4">
        <v>3</v>
      </c>
      <c r="E4">
        <v>18</v>
      </c>
      <c r="F4" s="236">
        <f t="shared" si="0"/>
        <v>54.27</v>
      </c>
      <c r="H4" s="104" t="s">
        <v>262</v>
      </c>
      <c r="I4" s="360">
        <f>pot*0.15</f>
        <v>100.5</v>
      </c>
      <c r="K4" s="4">
        <v>3</v>
      </c>
      <c r="L4">
        <v>15</v>
      </c>
    </row>
    <row r="5" spans="1:13">
      <c r="A5" t="str">
        <f t="shared" si="1"/>
        <v>A4</v>
      </c>
      <c r="B5" s="8" t="s">
        <v>234</v>
      </c>
      <c r="C5" s="4">
        <v>4</v>
      </c>
      <c r="E5">
        <v>12</v>
      </c>
      <c r="F5" s="236">
        <f t="shared" si="0"/>
        <v>36.18</v>
      </c>
      <c r="H5" s="104" t="s">
        <v>263</v>
      </c>
      <c r="I5" s="360">
        <f>pot*0.1</f>
        <v>67</v>
      </c>
      <c r="K5" s="4">
        <v>4</v>
      </c>
      <c r="L5">
        <v>10</v>
      </c>
    </row>
    <row r="6" spans="1:13">
      <c r="A6" t="str">
        <f t="shared" si="1"/>
        <v>A5</v>
      </c>
      <c r="B6" s="8" t="s">
        <v>234</v>
      </c>
      <c r="C6" s="4">
        <v>5</v>
      </c>
      <c r="E6">
        <v>7</v>
      </c>
      <c r="F6" s="236">
        <f t="shared" si="0"/>
        <v>21.105</v>
      </c>
      <c r="L6">
        <f>SUM(L2:L5)</f>
        <v>100</v>
      </c>
    </row>
    <row r="7" spans="1:13">
      <c r="A7" t="str">
        <f t="shared" si="1"/>
        <v>A6</v>
      </c>
      <c r="B7" s="8" t="s">
        <v>234</v>
      </c>
      <c r="C7" s="4">
        <v>6</v>
      </c>
      <c r="E7">
        <v>3</v>
      </c>
      <c r="F7" s="236">
        <f t="shared" si="0"/>
        <v>9.0449999999999999</v>
      </c>
    </row>
    <row r="8" spans="1:13">
      <c r="A8" t="str">
        <f t="shared" si="1"/>
        <v>A7</v>
      </c>
      <c r="B8" s="8" t="s">
        <v>234</v>
      </c>
      <c r="C8" s="4">
        <v>7</v>
      </c>
      <c r="F8">
        <v>0</v>
      </c>
    </row>
    <row r="9" spans="1:13">
      <c r="A9" t="str">
        <f t="shared" si="1"/>
        <v>A8</v>
      </c>
      <c r="B9" s="8" t="s">
        <v>234</v>
      </c>
      <c r="C9" s="4">
        <v>8</v>
      </c>
      <c r="F9">
        <v>0</v>
      </c>
    </row>
    <row r="10" spans="1:13">
      <c r="A10" t="str">
        <f t="shared" si="1"/>
        <v>A9</v>
      </c>
      <c r="B10" s="8" t="s">
        <v>234</v>
      </c>
      <c r="C10" s="4">
        <v>9</v>
      </c>
      <c r="F10">
        <v>0</v>
      </c>
    </row>
    <row r="11" spans="1:13">
      <c r="A11" t="str">
        <f t="shared" si="1"/>
        <v>A10</v>
      </c>
      <c r="B11" s="8" t="s">
        <v>234</v>
      </c>
      <c r="C11" s="4">
        <v>10</v>
      </c>
      <c r="F11">
        <v>0</v>
      </c>
    </row>
    <row r="12" spans="1:13">
      <c r="A12" t="str">
        <f t="shared" si="1"/>
        <v>A11</v>
      </c>
      <c r="B12" s="8" t="s">
        <v>234</v>
      </c>
      <c r="C12" s="4">
        <v>11</v>
      </c>
      <c r="F12">
        <v>0</v>
      </c>
    </row>
    <row r="13" spans="1:13">
      <c r="A13" t="str">
        <f t="shared" si="1"/>
        <v>A12</v>
      </c>
      <c r="B13" s="8" t="s">
        <v>234</v>
      </c>
      <c r="C13" s="4">
        <v>12</v>
      </c>
      <c r="F13">
        <v>0</v>
      </c>
    </row>
    <row r="14" spans="1:13">
      <c r="A14" t="str">
        <f t="shared" si="1"/>
        <v>A13</v>
      </c>
      <c r="B14" s="8" t="s">
        <v>234</v>
      </c>
      <c r="C14" s="4">
        <v>13</v>
      </c>
      <c r="F14">
        <v>0</v>
      </c>
    </row>
    <row r="15" spans="1:13">
      <c r="A15" t="str">
        <f t="shared" si="1"/>
        <v>A14</v>
      </c>
      <c r="B15" s="8" t="s">
        <v>234</v>
      </c>
      <c r="C15" s="4">
        <v>14</v>
      </c>
      <c r="F15">
        <v>0</v>
      </c>
    </row>
    <row r="16" spans="1:13">
      <c r="A16" t="str">
        <f t="shared" si="1"/>
        <v>A15</v>
      </c>
      <c r="B16" s="8" t="s">
        <v>234</v>
      </c>
      <c r="C16" s="4">
        <v>15</v>
      </c>
      <c r="F16">
        <v>0</v>
      </c>
    </row>
    <row r="17" spans="1:6">
      <c r="A17" t="str">
        <f t="shared" si="1"/>
        <v>A16</v>
      </c>
      <c r="B17" s="8" t="s">
        <v>234</v>
      </c>
      <c r="C17" s="4">
        <v>16</v>
      </c>
      <c r="F17">
        <v>0</v>
      </c>
    </row>
    <row r="18" spans="1:6">
      <c r="A18" t="str">
        <f t="shared" si="1"/>
        <v>B1</v>
      </c>
      <c r="B18" s="8" t="s">
        <v>235</v>
      </c>
      <c r="C18" s="4">
        <v>1</v>
      </c>
      <c r="D18">
        <v>30</v>
      </c>
      <c r="E18">
        <v>35</v>
      </c>
      <c r="F18" s="236">
        <f t="shared" ref="F18:F23" si="2">PotB*E18/100</f>
        <v>70.349999999999994</v>
      </c>
    </row>
    <row r="19" spans="1:6">
      <c r="A19" t="str">
        <f t="shared" si="1"/>
        <v>B2</v>
      </c>
      <c r="B19" s="8" t="s">
        <v>235</v>
      </c>
      <c r="C19" s="4">
        <v>2</v>
      </c>
      <c r="E19">
        <v>25</v>
      </c>
      <c r="F19" s="236">
        <f t="shared" si="2"/>
        <v>50.25</v>
      </c>
    </row>
    <row r="20" spans="1:6">
      <c r="A20" t="str">
        <f t="shared" si="1"/>
        <v>B3</v>
      </c>
      <c r="B20" s="8" t="s">
        <v>235</v>
      </c>
      <c r="C20" s="4">
        <v>3</v>
      </c>
      <c r="E20">
        <v>18</v>
      </c>
      <c r="F20" s="236">
        <f t="shared" si="2"/>
        <v>36.18</v>
      </c>
    </row>
    <row r="21" spans="1:6">
      <c r="A21" t="str">
        <f t="shared" si="1"/>
        <v>B4</v>
      </c>
      <c r="B21" s="8" t="s">
        <v>235</v>
      </c>
      <c r="C21" s="4">
        <v>4</v>
      </c>
      <c r="E21">
        <v>12</v>
      </c>
      <c r="F21" s="236">
        <f t="shared" si="2"/>
        <v>24.12</v>
      </c>
    </row>
    <row r="22" spans="1:6">
      <c r="A22" t="str">
        <f t="shared" si="1"/>
        <v>B5</v>
      </c>
      <c r="B22" s="8" t="s">
        <v>235</v>
      </c>
      <c r="C22" s="4">
        <v>5</v>
      </c>
      <c r="E22">
        <v>7</v>
      </c>
      <c r="F22" s="236">
        <f t="shared" si="2"/>
        <v>14.07</v>
      </c>
    </row>
    <row r="23" spans="1:6">
      <c r="A23" t="str">
        <f t="shared" si="1"/>
        <v>B6</v>
      </c>
      <c r="B23" s="8" t="s">
        <v>235</v>
      </c>
      <c r="C23" s="4">
        <v>6</v>
      </c>
      <c r="E23">
        <v>3</v>
      </c>
      <c r="F23" s="236">
        <f t="shared" si="2"/>
        <v>6.03</v>
      </c>
    </row>
    <row r="24" spans="1:6">
      <c r="A24" t="str">
        <f t="shared" si="1"/>
        <v>B7</v>
      </c>
      <c r="B24" s="8" t="s">
        <v>235</v>
      </c>
      <c r="C24" s="4">
        <v>7</v>
      </c>
      <c r="F24">
        <v>0</v>
      </c>
    </row>
    <row r="25" spans="1:6">
      <c r="A25" t="str">
        <f t="shared" si="1"/>
        <v>B8</v>
      </c>
      <c r="B25" s="8" t="s">
        <v>235</v>
      </c>
      <c r="C25" s="4">
        <v>8</v>
      </c>
      <c r="F25">
        <v>0</v>
      </c>
    </row>
    <row r="26" spans="1:6">
      <c r="A26" t="str">
        <f t="shared" si="1"/>
        <v>B9</v>
      </c>
      <c r="B26" s="8" t="s">
        <v>235</v>
      </c>
      <c r="C26" s="4">
        <v>9</v>
      </c>
      <c r="F26">
        <v>0</v>
      </c>
    </row>
    <row r="27" spans="1:6">
      <c r="A27" t="str">
        <f t="shared" si="1"/>
        <v>B10</v>
      </c>
      <c r="B27" s="8" t="s">
        <v>235</v>
      </c>
      <c r="C27" s="4">
        <v>10</v>
      </c>
      <c r="F27">
        <v>0</v>
      </c>
    </row>
    <row r="28" spans="1:6">
      <c r="A28" t="str">
        <f t="shared" si="1"/>
        <v>B11</v>
      </c>
      <c r="B28" s="8" t="s">
        <v>235</v>
      </c>
      <c r="C28" s="4">
        <v>11</v>
      </c>
      <c r="F28">
        <v>0</v>
      </c>
    </row>
    <row r="29" spans="1:6">
      <c r="A29" t="str">
        <f t="shared" si="1"/>
        <v>B12</v>
      </c>
      <c r="B29" s="8" t="s">
        <v>235</v>
      </c>
      <c r="C29" s="4">
        <v>12</v>
      </c>
      <c r="F29">
        <v>0</v>
      </c>
    </row>
    <row r="30" spans="1:6">
      <c r="A30" t="str">
        <f t="shared" si="1"/>
        <v>B13</v>
      </c>
      <c r="B30" s="8" t="s">
        <v>235</v>
      </c>
      <c r="C30" s="4">
        <v>13</v>
      </c>
      <c r="F30">
        <v>0</v>
      </c>
    </row>
    <row r="31" spans="1:6">
      <c r="A31" t="str">
        <f t="shared" si="1"/>
        <v>B14</v>
      </c>
      <c r="B31" s="8" t="s">
        <v>235</v>
      </c>
      <c r="C31" s="4">
        <v>14</v>
      </c>
      <c r="F31">
        <v>0</v>
      </c>
    </row>
    <row r="32" spans="1:6">
      <c r="A32" t="str">
        <f t="shared" si="1"/>
        <v>B15</v>
      </c>
      <c r="B32" s="8" t="s">
        <v>235</v>
      </c>
      <c r="C32" s="4">
        <v>15</v>
      </c>
      <c r="F32">
        <v>0</v>
      </c>
    </row>
    <row r="33" spans="1:6">
      <c r="A33" t="str">
        <f t="shared" si="1"/>
        <v>B16</v>
      </c>
      <c r="B33" s="8" t="s">
        <v>235</v>
      </c>
      <c r="C33" s="4">
        <v>16</v>
      </c>
      <c r="F33">
        <v>0</v>
      </c>
    </row>
    <row r="34" spans="1:6">
      <c r="A34" t="str">
        <f t="shared" si="1"/>
        <v>C1</v>
      </c>
      <c r="B34" s="8" t="s">
        <v>236</v>
      </c>
      <c r="C34" s="4">
        <v>1</v>
      </c>
      <c r="D34">
        <v>15</v>
      </c>
      <c r="E34">
        <v>35</v>
      </c>
      <c r="F34" s="236">
        <f t="shared" ref="F34:F39" si="3">PotC*E34/100</f>
        <v>35.174999999999997</v>
      </c>
    </row>
    <row r="35" spans="1:6">
      <c r="A35" t="str">
        <f t="shared" si="1"/>
        <v>C2</v>
      </c>
      <c r="B35" s="8" t="s">
        <v>236</v>
      </c>
      <c r="C35" s="4">
        <v>2</v>
      </c>
      <c r="E35">
        <v>25</v>
      </c>
      <c r="F35" s="236">
        <f t="shared" si="3"/>
        <v>25.125</v>
      </c>
    </row>
    <row r="36" spans="1:6">
      <c r="A36" t="str">
        <f t="shared" si="1"/>
        <v>C3</v>
      </c>
      <c r="B36" s="8" t="s">
        <v>236</v>
      </c>
      <c r="C36" s="4">
        <v>3</v>
      </c>
      <c r="E36">
        <v>18</v>
      </c>
      <c r="F36" s="236">
        <f t="shared" si="3"/>
        <v>18.09</v>
      </c>
    </row>
    <row r="37" spans="1:6">
      <c r="A37" t="str">
        <f t="shared" si="1"/>
        <v>C4</v>
      </c>
      <c r="B37" s="8" t="s">
        <v>236</v>
      </c>
      <c r="C37" s="4">
        <v>4</v>
      </c>
      <c r="E37">
        <v>12</v>
      </c>
      <c r="F37" s="236">
        <f t="shared" si="3"/>
        <v>12.06</v>
      </c>
    </row>
    <row r="38" spans="1:6">
      <c r="A38" t="str">
        <f t="shared" si="1"/>
        <v>C5</v>
      </c>
      <c r="B38" s="8" t="s">
        <v>236</v>
      </c>
      <c r="C38" s="4">
        <v>5</v>
      </c>
      <c r="E38">
        <v>7</v>
      </c>
      <c r="F38" s="236">
        <f t="shared" si="3"/>
        <v>7.0350000000000001</v>
      </c>
    </row>
    <row r="39" spans="1:6">
      <c r="A39" t="str">
        <f t="shared" si="1"/>
        <v>C6</v>
      </c>
      <c r="B39" s="8" t="s">
        <v>236</v>
      </c>
      <c r="C39" s="4">
        <v>6</v>
      </c>
      <c r="E39">
        <v>3</v>
      </c>
      <c r="F39" s="236">
        <f t="shared" si="3"/>
        <v>3.0150000000000001</v>
      </c>
    </row>
    <row r="40" spans="1:6">
      <c r="A40" t="str">
        <f t="shared" si="1"/>
        <v>C7</v>
      </c>
      <c r="B40" s="8" t="s">
        <v>236</v>
      </c>
      <c r="C40" s="4">
        <v>7</v>
      </c>
      <c r="F40">
        <v>0</v>
      </c>
    </row>
    <row r="41" spans="1:6">
      <c r="A41" t="str">
        <f t="shared" si="1"/>
        <v>C8</v>
      </c>
      <c r="B41" s="8" t="s">
        <v>236</v>
      </c>
      <c r="C41" s="4">
        <v>8</v>
      </c>
      <c r="F41">
        <v>0</v>
      </c>
    </row>
    <row r="42" spans="1:6">
      <c r="A42" t="str">
        <f t="shared" si="1"/>
        <v>C9</v>
      </c>
      <c r="B42" s="8" t="s">
        <v>236</v>
      </c>
      <c r="C42" s="4">
        <v>9</v>
      </c>
      <c r="F42">
        <v>0</v>
      </c>
    </row>
    <row r="43" spans="1:6">
      <c r="A43" t="str">
        <f t="shared" si="1"/>
        <v>C10</v>
      </c>
      <c r="B43" s="8" t="s">
        <v>236</v>
      </c>
      <c r="C43" s="4">
        <v>10</v>
      </c>
      <c r="F43">
        <v>0</v>
      </c>
    </row>
    <row r="44" spans="1:6">
      <c r="A44" t="str">
        <f t="shared" si="1"/>
        <v>C11</v>
      </c>
      <c r="B44" s="8" t="s">
        <v>236</v>
      </c>
      <c r="C44" s="4">
        <v>11</v>
      </c>
      <c r="F44">
        <v>0</v>
      </c>
    </row>
    <row r="45" spans="1:6">
      <c r="A45" t="str">
        <f t="shared" si="1"/>
        <v>C12</v>
      </c>
      <c r="B45" s="8" t="s">
        <v>236</v>
      </c>
      <c r="C45" s="4">
        <v>12</v>
      </c>
      <c r="F45">
        <v>0</v>
      </c>
    </row>
    <row r="46" spans="1:6">
      <c r="A46" t="str">
        <f t="shared" si="1"/>
        <v>C13</v>
      </c>
      <c r="B46" s="8" t="s">
        <v>236</v>
      </c>
      <c r="C46" s="4">
        <v>13</v>
      </c>
      <c r="F46">
        <v>0</v>
      </c>
    </row>
    <row r="47" spans="1:6">
      <c r="A47" t="str">
        <f t="shared" si="1"/>
        <v>C14</v>
      </c>
      <c r="B47" s="8" t="s">
        <v>236</v>
      </c>
      <c r="C47" s="4">
        <v>14</v>
      </c>
      <c r="F47">
        <v>0</v>
      </c>
    </row>
    <row r="48" spans="1:6">
      <c r="A48" t="str">
        <f t="shared" si="1"/>
        <v>C15</v>
      </c>
      <c r="B48" s="8" t="s">
        <v>236</v>
      </c>
      <c r="C48" s="4">
        <v>15</v>
      </c>
      <c r="F48">
        <v>0</v>
      </c>
    </row>
    <row r="49" spans="1:6">
      <c r="A49" t="str">
        <f t="shared" si="1"/>
        <v>C16</v>
      </c>
      <c r="B49" s="8" t="s">
        <v>236</v>
      </c>
      <c r="C49" s="4">
        <v>16</v>
      </c>
      <c r="F49">
        <v>0</v>
      </c>
    </row>
    <row r="50" spans="1:6">
      <c r="A50" t="str">
        <f t="shared" si="1"/>
        <v>D1</v>
      </c>
      <c r="B50" s="8" t="s">
        <v>237</v>
      </c>
      <c r="C50" s="4">
        <v>1</v>
      </c>
      <c r="D50">
        <v>10</v>
      </c>
      <c r="E50">
        <v>35</v>
      </c>
      <c r="F50" s="236">
        <f t="shared" ref="F50:F55" si="4">PotD*E50/100</f>
        <v>23.45</v>
      </c>
    </row>
    <row r="51" spans="1:6">
      <c r="A51" t="str">
        <f t="shared" si="1"/>
        <v>D2</v>
      </c>
      <c r="B51" s="8" t="s">
        <v>237</v>
      </c>
      <c r="C51" s="4">
        <v>2</v>
      </c>
      <c r="E51">
        <v>25</v>
      </c>
      <c r="F51" s="236">
        <f t="shared" si="4"/>
        <v>16.75</v>
      </c>
    </row>
    <row r="52" spans="1:6">
      <c r="A52" t="str">
        <f t="shared" si="1"/>
        <v>D3</v>
      </c>
      <c r="B52" s="8" t="s">
        <v>237</v>
      </c>
      <c r="C52" s="4">
        <v>3</v>
      </c>
      <c r="E52">
        <v>18</v>
      </c>
      <c r="F52" s="236">
        <f t="shared" si="4"/>
        <v>12.06</v>
      </c>
    </row>
    <row r="53" spans="1:6">
      <c r="A53" t="str">
        <f t="shared" si="1"/>
        <v>D4</v>
      </c>
      <c r="B53" s="8" t="s">
        <v>237</v>
      </c>
      <c r="C53" s="4">
        <v>4</v>
      </c>
      <c r="E53">
        <v>12</v>
      </c>
      <c r="F53" s="236">
        <f t="shared" si="4"/>
        <v>8.0399999999999991</v>
      </c>
    </row>
    <row r="54" spans="1:6">
      <c r="A54" t="str">
        <f t="shared" si="1"/>
        <v>D5</v>
      </c>
      <c r="B54" s="8" t="s">
        <v>237</v>
      </c>
      <c r="C54" s="4">
        <v>5</v>
      </c>
      <c r="E54">
        <v>7</v>
      </c>
      <c r="F54" s="236">
        <f t="shared" si="4"/>
        <v>4.6900000000000004</v>
      </c>
    </row>
    <row r="55" spans="1:6">
      <c r="A55" t="str">
        <f t="shared" si="1"/>
        <v>D6</v>
      </c>
      <c r="B55" s="8" t="s">
        <v>237</v>
      </c>
      <c r="C55" s="4">
        <v>6</v>
      </c>
      <c r="E55">
        <v>3</v>
      </c>
      <c r="F55" s="236">
        <f t="shared" si="4"/>
        <v>2.0099999999999998</v>
      </c>
    </row>
    <row r="56" spans="1:6">
      <c r="A56" t="str">
        <f t="shared" si="1"/>
        <v>D7</v>
      </c>
      <c r="B56" s="8" t="s">
        <v>237</v>
      </c>
      <c r="C56" s="4">
        <v>7</v>
      </c>
      <c r="F56">
        <v>0</v>
      </c>
    </row>
    <row r="57" spans="1:6">
      <c r="A57" t="str">
        <f t="shared" si="1"/>
        <v>D8</v>
      </c>
      <c r="B57" s="8" t="s">
        <v>237</v>
      </c>
      <c r="C57" s="4">
        <v>8</v>
      </c>
      <c r="F57">
        <v>0</v>
      </c>
    </row>
    <row r="58" spans="1:6">
      <c r="A58" t="str">
        <f t="shared" si="1"/>
        <v>D9</v>
      </c>
      <c r="B58" s="8" t="s">
        <v>237</v>
      </c>
      <c r="C58" s="4">
        <v>9</v>
      </c>
      <c r="F58">
        <v>0</v>
      </c>
    </row>
    <row r="59" spans="1:6">
      <c r="A59" t="str">
        <f t="shared" si="1"/>
        <v>D10</v>
      </c>
      <c r="B59" s="8" t="s">
        <v>237</v>
      </c>
      <c r="C59" s="4">
        <v>10</v>
      </c>
      <c r="F59">
        <v>0</v>
      </c>
    </row>
    <row r="60" spans="1:6">
      <c r="A60" t="str">
        <f t="shared" si="1"/>
        <v>D11</v>
      </c>
      <c r="B60" s="8" t="s">
        <v>237</v>
      </c>
      <c r="C60" s="4">
        <v>11</v>
      </c>
      <c r="F60">
        <v>0</v>
      </c>
    </row>
    <row r="61" spans="1:6">
      <c r="A61" t="str">
        <f t="shared" si="1"/>
        <v>D12</v>
      </c>
      <c r="B61" s="8" t="s">
        <v>237</v>
      </c>
      <c r="C61" s="4">
        <v>12</v>
      </c>
      <c r="F61">
        <v>0</v>
      </c>
    </row>
    <row r="62" spans="1:6">
      <c r="A62" t="str">
        <f t="shared" si="1"/>
        <v>D13</v>
      </c>
      <c r="B62" s="8" t="s">
        <v>237</v>
      </c>
      <c r="C62" s="4">
        <v>13</v>
      </c>
      <c r="F62">
        <v>0</v>
      </c>
    </row>
    <row r="63" spans="1:6">
      <c r="A63" t="str">
        <f t="shared" si="1"/>
        <v>D14</v>
      </c>
      <c r="B63" s="8" t="s">
        <v>237</v>
      </c>
      <c r="C63" s="4">
        <v>14</v>
      </c>
      <c r="F63">
        <v>0</v>
      </c>
    </row>
    <row r="64" spans="1:6">
      <c r="A64" t="str">
        <f t="shared" ref="A64:A101" si="5">CONCATENATE(B64,C64)</f>
        <v>D15</v>
      </c>
      <c r="B64" s="8" t="s">
        <v>237</v>
      </c>
      <c r="C64" s="4">
        <v>15</v>
      </c>
      <c r="F64">
        <v>0</v>
      </c>
    </row>
    <row r="65" spans="1:6">
      <c r="A65" t="str">
        <f t="shared" si="5"/>
        <v>D16</v>
      </c>
      <c r="B65" s="8" t="s">
        <v>237</v>
      </c>
      <c r="C65" s="4">
        <v>16</v>
      </c>
      <c r="F65">
        <v>0</v>
      </c>
    </row>
    <row r="66" spans="1:6">
      <c r="A66" t="str">
        <f t="shared" si="5"/>
        <v>D17</v>
      </c>
      <c r="B66" s="8" t="s">
        <v>237</v>
      </c>
      <c r="C66" s="4">
        <v>17</v>
      </c>
      <c r="F66">
        <v>0</v>
      </c>
    </row>
    <row r="67" spans="1:6">
      <c r="A67" t="str">
        <f t="shared" si="5"/>
        <v>D18</v>
      </c>
      <c r="B67" s="8" t="s">
        <v>237</v>
      </c>
      <c r="C67" s="4">
        <v>18</v>
      </c>
      <c r="F67">
        <v>0</v>
      </c>
    </row>
    <row r="68" spans="1:6">
      <c r="A68" t="str">
        <f t="shared" si="5"/>
        <v>D19</v>
      </c>
      <c r="B68" s="8" t="s">
        <v>237</v>
      </c>
      <c r="C68" s="4">
        <v>19</v>
      </c>
      <c r="F68">
        <v>0</v>
      </c>
    </row>
    <row r="69" spans="1:6">
      <c r="A69" t="str">
        <f t="shared" si="5"/>
        <v>D20</v>
      </c>
      <c r="B69" s="8" t="s">
        <v>237</v>
      </c>
      <c r="C69" s="4">
        <v>20</v>
      </c>
      <c r="F69">
        <v>0</v>
      </c>
    </row>
    <row r="70" spans="1:6">
      <c r="A70" t="str">
        <f t="shared" si="5"/>
        <v>D21</v>
      </c>
      <c r="B70" s="8" t="s">
        <v>237</v>
      </c>
      <c r="C70" s="4">
        <v>21</v>
      </c>
      <c r="F70">
        <v>0</v>
      </c>
    </row>
    <row r="71" spans="1:6">
      <c r="A71" t="str">
        <f t="shared" si="5"/>
        <v>D22</v>
      </c>
      <c r="B71" s="8" t="s">
        <v>237</v>
      </c>
      <c r="C71" s="4">
        <v>22</v>
      </c>
      <c r="F71">
        <v>0</v>
      </c>
    </row>
    <row r="72" spans="1:6">
      <c r="A72" t="str">
        <f t="shared" si="5"/>
        <v>D23</v>
      </c>
      <c r="B72" s="8" t="s">
        <v>237</v>
      </c>
      <c r="C72" s="4">
        <v>23</v>
      </c>
      <c r="F72">
        <v>0</v>
      </c>
    </row>
    <row r="73" spans="1:6">
      <c r="A73" t="str">
        <f t="shared" si="5"/>
        <v>D24</v>
      </c>
      <c r="B73" s="8" t="s">
        <v>237</v>
      </c>
      <c r="C73" s="4">
        <v>24</v>
      </c>
      <c r="F73">
        <v>0</v>
      </c>
    </row>
    <row r="74" spans="1:6">
      <c r="A74" t="str">
        <f t="shared" si="5"/>
        <v>D25</v>
      </c>
      <c r="B74" s="8" t="s">
        <v>237</v>
      </c>
      <c r="C74" s="4">
        <v>25</v>
      </c>
      <c r="F74">
        <v>0</v>
      </c>
    </row>
    <row r="75" spans="1:6">
      <c r="A75" t="str">
        <f t="shared" si="5"/>
        <v>D26</v>
      </c>
      <c r="B75" s="8" t="s">
        <v>237</v>
      </c>
      <c r="C75" s="4">
        <v>26</v>
      </c>
      <c r="F75">
        <v>0</v>
      </c>
    </row>
    <row r="76" spans="1:6">
      <c r="A76" t="str">
        <f t="shared" si="5"/>
        <v>D27</v>
      </c>
      <c r="B76" s="8" t="s">
        <v>237</v>
      </c>
      <c r="C76" s="4">
        <v>27</v>
      </c>
      <c r="F76">
        <v>0</v>
      </c>
    </row>
    <row r="77" spans="1:6">
      <c r="A77" t="str">
        <f t="shared" si="5"/>
        <v>D28</v>
      </c>
      <c r="B77" s="8" t="s">
        <v>237</v>
      </c>
      <c r="C77" s="4">
        <v>28</v>
      </c>
      <c r="F77">
        <v>0</v>
      </c>
    </row>
    <row r="78" spans="1:6">
      <c r="A78" t="str">
        <f t="shared" si="5"/>
        <v>D29</v>
      </c>
      <c r="B78" s="8" t="s">
        <v>237</v>
      </c>
      <c r="C78" s="4">
        <v>29</v>
      </c>
      <c r="F78">
        <v>0</v>
      </c>
    </row>
    <row r="79" spans="1:6">
      <c r="A79" t="str">
        <f t="shared" si="5"/>
        <v>D30</v>
      </c>
      <c r="B79" s="8" t="s">
        <v>237</v>
      </c>
      <c r="C79" s="4">
        <v>30</v>
      </c>
      <c r="F79">
        <v>0</v>
      </c>
    </row>
    <row r="80" spans="1:6">
      <c r="A80" t="str">
        <f t="shared" si="5"/>
        <v>D31</v>
      </c>
      <c r="B80" s="8" t="s">
        <v>237</v>
      </c>
      <c r="C80" s="4">
        <v>31</v>
      </c>
      <c r="F80">
        <v>0</v>
      </c>
    </row>
    <row r="81" spans="1:6">
      <c r="A81" t="str">
        <f t="shared" si="5"/>
        <v>D32</v>
      </c>
      <c r="B81" s="8" t="s">
        <v>237</v>
      </c>
      <c r="C81" s="4">
        <v>32</v>
      </c>
      <c r="F81">
        <v>0</v>
      </c>
    </row>
    <row r="82" spans="1:6">
      <c r="A82" t="str">
        <f t="shared" si="5"/>
        <v>D33</v>
      </c>
      <c r="B82" s="8" t="s">
        <v>237</v>
      </c>
      <c r="C82" s="4">
        <v>33</v>
      </c>
      <c r="F82">
        <v>0</v>
      </c>
    </row>
    <row r="83" spans="1:6">
      <c r="A83" t="str">
        <f t="shared" si="5"/>
        <v>D34</v>
      </c>
      <c r="B83" s="8" t="s">
        <v>237</v>
      </c>
      <c r="C83" s="4">
        <v>34</v>
      </c>
      <c r="F83">
        <v>0</v>
      </c>
    </row>
    <row r="84" spans="1:6">
      <c r="A84" t="str">
        <f t="shared" si="5"/>
        <v>D35</v>
      </c>
      <c r="B84" s="8" t="s">
        <v>237</v>
      </c>
      <c r="C84" s="4">
        <v>35</v>
      </c>
      <c r="F84">
        <v>0</v>
      </c>
    </row>
    <row r="85" spans="1:6">
      <c r="A85" t="str">
        <f t="shared" si="5"/>
        <v>D36</v>
      </c>
      <c r="B85" s="8" t="s">
        <v>237</v>
      </c>
      <c r="C85" s="4">
        <v>36</v>
      </c>
      <c r="F85">
        <v>0</v>
      </c>
    </row>
    <row r="86" spans="1:6">
      <c r="A86" t="str">
        <f t="shared" si="5"/>
        <v>D37</v>
      </c>
      <c r="B86" s="8" t="s">
        <v>237</v>
      </c>
      <c r="C86" s="4">
        <v>37</v>
      </c>
      <c r="F86">
        <v>0</v>
      </c>
    </row>
    <row r="87" spans="1:6">
      <c r="A87" t="str">
        <f t="shared" si="5"/>
        <v>D38</v>
      </c>
      <c r="B87" s="8" t="s">
        <v>237</v>
      </c>
      <c r="C87" s="4">
        <v>38</v>
      </c>
      <c r="F87">
        <v>0</v>
      </c>
    </row>
    <row r="88" spans="1:6">
      <c r="A88" t="str">
        <f t="shared" si="5"/>
        <v>D39</v>
      </c>
      <c r="B88" s="8" t="s">
        <v>237</v>
      </c>
      <c r="C88" s="4">
        <v>39</v>
      </c>
      <c r="F88">
        <v>0</v>
      </c>
    </row>
    <row r="89" spans="1:6">
      <c r="A89" t="str">
        <f t="shared" si="5"/>
        <v>D40</v>
      </c>
      <c r="B89" s="8" t="s">
        <v>237</v>
      </c>
      <c r="C89" s="4">
        <v>40</v>
      </c>
      <c r="F89">
        <v>0</v>
      </c>
    </row>
    <row r="90" spans="1:6">
      <c r="A90" t="str">
        <f t="shared" si="5"/>
        <v>D41</v>
      </c>
      <c r="B90" s="8" t="s">
        <v>237</v>
      </c>
      <c r="C90" s="4">
        <v>41</v>
      </c>
      <c r="F90">
        <v>0</v>
      </c>
    </row>
    <row r="91" spans="1:6">
      <c r="A91" t="str">
        <f t="shared" si="5"/>
        <v>D42</v>
      </c>
      <c r="B91" s="8" t="s">
        <v>237</v>
      </c>
      <c r="C91" s="4">
        <v>42</v>
      </c>
      <c r="F91">
        <v>0</v>
      </c>
    </row>
    <row r="92" spans="1:6">
      <c r="A92" t="str">
        <f t="shared" si="5"/>
        <v>D43</v>
      </c>
      <c r="B92" s="8" t="s">
        <v>237</v>
      </c>
      <c r="C92" s="4">
        <v>43</v>
      </c>
      <c r="F92">
        <v>0</v>
      </c>
    </row>
    <row r="93" spans="1:6">
      <c r="A93" t="str">
        <f t="shared" si="5"/>
        <v>D44</v>
      </c>
      <c r="B93" s="8" t="s">
        <v>237</v>
      </c>
      <c r="C93" s="4">
        <v>44</v>
      </c>
      <c r="F93">
        <v>0</v>
      </c>
    </row>
    <row r="94" spans="1:6">
      <c r="A94" t="str">
        <f t="shared" si="5"/>
        <v>D45</v>
      </c>
      <c r="B94" s="8" t="s">
        <v>237</v>
      </c>
      <c r="C94" s="4">
        <v>45</v>
      </c>
      <c r="F94">
        <v>0</v>
      </c>
    </row>
    <row r="95" spans="1:6">
      <c r="A95" t="str">
        <f t="shared" si="5"/>
        <v>D46</v>
      </c>
      <c r="B95" s="8" t="s">
        <v>237</v>
      </c>
      <c r="C95" s="4">
        <v>46</v>
      </c>
      <c r="F95">
        <v>0</v>
      </c>
    </row>
    <row r="96" spans="1:6">
      <c r="A96" t="str">
        <f t="shared" si="5"/>
        <v>D47</v>
      </c>
      <c r="B96" s="8" t="s">
        <v>237</v>
      </c>
      <c r="C96" s="4">
        <v>47</v>
      </c>
      <c r="F96">
        <v>0</v>
      </c>
    </row>
    <row r="97" spans="1:6">
      <c r="A97" t="str">
        <f t="shared" si="5"/>
        <v>D48</v>
      </c>
      <c r="B97" s="8" t="s">
        <v>237</v>
      </c>
      <c r="C97" s="4">
        <v>48</v>
      </c>
      <c r="F97">
        <v>0</v>
      </c>
    </row>
    <row r="98" spans="1:6">
      <c r="A98" t="str">
        <f t="shared" si="5"/>
        <v>D49</v>
      </c>
      <c r="B98" s="8" t="s">
        <v>237</v>
      </c>
      <c r="C98" s="4">
        <v>49</v>
      </c>
      <c r="F98">
        <v>0</v>
      </c>
    </row>
    <row r="99" spans="1:6">
      <c r="A99" t="str">
        <f t="shared" si="5"/>
        <v>D50</v>
      </c>
      <c r="B99" s="8" t="s">
        <v>237</v>
      </c>
      <c r="C99" s="4">
        <v>50</v>
      </c>
      <c r="F99">
        <v>0</v>
      </c>
    </row>
    <row r="100" spans="1:6">
      <c r="A100" t="str">
        <f t="shared" si="5"/>
        <v>D51</v>
      </c>
      <c r="B100" s="8" t="s">
        <v>237</v>
      </c>
      <c r="C100" s="4">
        <v>51</v>
      </c>
      <c r="F100">
        <v>0</v>
      </c>
    </row>
    <row r="101" spans="1:6">
      <c r="A101" t="str">
        <f t="shared" si="5"/>
        <v>D52</v>
      </c>
      <c r="B101" s="8" t="s">
        <v>237</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363</v>
      </c>
    </row>
    <row r="3" spans="1:23" ht="17.649999999999999" thickBot="1">
      <c r="A3" s="77"/>
      <c r="B3" s="387" t="s">
        <v>283</v>
      </c>
      <c r="C3" s="140"/>
      <c r="D3" s="140"/>
      <c r="E3" s="140"/>
      <c r="F3" s="140"/>
      <c r="G3" s="140"/>
      <c r="H3" s="140"/>
      <c r="I3" s="140"/>
      <c r="J3" s="140"/>
      <c r="K3" s="140"/>
      <c r="L3" s="388" t="s">
        <v>364</v>
      </c>
      <c r="M3" s="404">
        <f>INDEX(Table!I:I,MATCH(B3,Table!F:F,0))</f>
        <v>-17.825919913419909</v>
      </c>
      <c r="N3" s="389"/>
      <c r="O3" s="405">
        <f>M3-7</f>
        <v>-24.825919913419909</v>
      </c>
    </row>
    <row r="4" spans="1:23" ht="13.15">
      <c r="A4" s="77"/>
      <c r="B4" s="77"/>
      <c r="C4" s="155" t="s">
        <v>25</v>
      </c>
      <c r="D4" s="403" t="s">
        <v>365</v>
      </c>
      <c r="E4" s="155" t="s">
        <v>183</v>
      </c>
      <c r="F4" s="155" t="s">
        <v>183</v>
      </c>
      <c r="G4" s="155" t="s">
        <v>25</v>
      </c>
      <c r="H4" s="81"/>
      <c r="I4" s="81"/>
      <c r="J4" s="81"/>
      <c r="K4" s="81"/>
      <c r="L4" s="390" t="s">
        <v>176</v>
      </c>
      <c r="M4" s="390" t="s">
        <v>177</v>
      </c>
      <c r="N4" s="391"/>
      <c r="O4" s="392">
        <f>IF(K4=0,0,1)+K4</f>
        <v>0</v>
      </c>
      <c r="V4" t="s">
        <v>292</v>
      </c>
      <c r="W4" t="s">
        <v>424</v>
      </c>
    </row>
    <row r="5" spans="1:23">
      <c r="A5" s="77"/>
      <c r="B5" s="77"/>
      <c r="C5" s="156" t="s">
        <v>184</v>
      </c>
      <c r="D5" s="393" t="s">
        <v>160</v>
      </c>
      <c r="E5" s="157" t="s">
        <v>27</v>
      </c>
      <c r="F5" s="157" t="s">
        <v>27</v>
      </c>
      <c r="G5" s="157" t="s">
        <v>13</v>
      </c>
      <c r="H5" s="81"/>
      <c r="I5" s="152">
        <f>F6</f>
        <v>1.0499999999999998</v>
      </c>
      <c r="J5" s="152">
        <f>F7</f>
        <v>0.90909090909090917</v>
      </c>
      <c r="K5" s="152">
        <f>F8</f>
        <v>0.83333333333333348</v>
      </c>
      <c r="L5" s="392">
        <f>IF(I5=0,0,1)+I5</f>
        <v>2.0499999999999998</v>
      </c>
      <c r="M5" s="392">
        <f>IF(J5=0,0,1)+J5</f>
        <v>1.9090909090909092</v>
      </c>
      <c r="N5" s="392"/>
      <c r="O5" s="392">
        <f>IF(K5=0,0,1)+K5</f>
        <v>1.8333333333333335</v>
      </c>
      <c r="P5" s="392">
        <f>IF(J5=0,0,(L5*J5)+L5)</f>
        <v>3.9136363636363631</v>
      </c>
      <c r="Q5" s="392">
        <f>IF(K5=0,0,(M5*K5)+M5)</f>
        <v>3.5000000000000004</v>
      </c>
      <c r="R5" s="392">
        <f>IF(I5=0,0,(O5*I5)+O5)</f>
        <v>3.7583333333333333</v>
      </c>
      <c r="S5" s="392">
        <f>IF(K5=0,0,(P5*K5)+P5)</f>
        <v>7.1749999999999998</v>
      </c>
      <c r="V5" t="s">
        <v>292</v>
      </c>
      <c r="W5" t="s">
        <v>423</v>
      </c>
    </row>
    <row r="6" spans="1:23" ht="16.149999999999999" thickBot="1">
      <c r="A6" s="77"/>
      <c r="B6" s="90" t="s">
        <v>438</v>
      </c>
      <c r="C6" s="158" t="s">
        <v>186</v>
      </c>
      <c r="D6" s="394">
        <f>INDEX(Picks!C:C,MATCH(B6,Picks!B:B,0))</f>
        <v>7</v>
      </c>
      <c r="E6" s="394">
        <f>INDEX(Picks!D:D,MATCH(B6,Picks!B:B,0))</f>
        <v>2.0499999999999998</v>
      </c>
      <c r="F6" s="394">
        <f>+((E6-1)*G6)</f>
        <v>1.0499999999999998</v>
      </c>
      <c r="G6" s="151">
        <v>1</v>
      </c>
      <c r="H6" s="81"/>
      <c r="I6" s="81"/>
      <c r="J6" s="81"/>
      <c r="K6" s="81"/>
      <c r="L6" s="390"/>
      <c r="M6" s="390"/>
      <c r="N6" s="390"/>
      <c r="O6" s="390"/>
      <c r="P6" s="390"/>
      <c r="Q6" s="390"/>
      <c r="R6" s="390"/>
      <c r="S6" s="390"/>
      <c r="V6" t="s">
        <v>292</v>
      </c>
      <c r="W6" t="s">
        <v>357</v>
      </c>
    </row>
    <row r="7" spans="1:23" ht="15.75">
      <c r="A7" s="77"/>
      <c r="B7" s="90" t="s">
        <v>172</v>
      </c>
      <c r="C7" s="158" t="s">
        <v>186</v>
      </c>
      <c r="D7" s="394">
        <f>INDEX(Picks!C:C,MATCH(B7,Picks!B:B,0))</f>
        <v>7</v>
      </c>
      <c r="E7" s="394">
        <f>INDEX(Picks!D:D,MATCH(B7,Picks!B:B,0))</f>
        <v>1.9090909090909092</v>
      </c>
      <c r="F7" s="394">
        <f>+((E7-1)*G7)</f>
        <v>0.90909090909090917</v>
      </c>
      <c r="G7" s="151">
        <v>1</v>
      </c>
      <c r="H7" s="81"/>
      <c r="I7" s="81"/>
      <c r="J7" s="81"/>
      <c r="K7" s="81"/>
      <c r="L7" s="5" t="s">
        <v>13</v>
      </c>
      <c r="M7" s="5" t="s">
        <v>28</v>
      </c>
      <c r="N7" s="395"/>
      <c r="O7" s="396" t="s">
        <v>18</v>
      </c>
      <c r="P7" s="399"/>
      <c r="Q7" s="390"/>
      <c r="R7" s="390"/>
      <c r="S7" s="390"/>
      <c r="V7" t="s">
        <v>306</v>
      </c>
      <c r="W7" t="s">
        <v>357</v>
      </c>
    </row>
    <row r="8" spans="1:23" ht="16.149999999999999" thickBot="1">
      <c r="A8" s="77"/>
      <c r="B8" s="90" t="s">
        <v>434</v>
      </c>
      <c r="C8" s="158" t="s">
        <v>186</v>
      </c>
      <c r="D8" s="394">
        <f>INDEX(Picks!C:C,MATCH(B8,Picks!B:B,0))</f>
        <v>7</v>
      </c>
      <c r="E8" s="394">
        <f>INDEX(Picks!D:D,MATCH(B8,Picks!B:B,0))</f>
        <v>1.8333333333333335</v>
      </c>
      <c r="F8" s="394">
        <f>+((E8-1)*G8)</f>
        <v>0.83333333333333348</v>
      </c>
      <c r="G8" s="151">
        <v>1</v>
      </c>
      <c r="H8" s="81"/>
      <c r="I8" s="81"/>
      <c r="J8" s="81"/>
      <c r="K8" s="81"/>
      <c r="L8" s="6">
        <f>SUM(G6:G8)</f>
        <v>3</v>
      </c>
      <c r="M8" s="7">
        <f>SUM(L5:S5)-7</f>
        <v>17.139393939393941</v>
      </c>
      <c r="N8" s="397"/>
      <c r="O8" s="398">
        <f>$M$3+M8</f>
        <v>-0.68652597402596882</v>
      </c>
      <c r="P8" s="399"/>
      <c r="Q8" s="390"/>
      <c r="R8" s="390"/>
      <c r="S8" s="390"/>
      <c r="V8" t="s">
        <v>306</v>
      </c>
      <c r="W8" t="s">
        <v>172</v>
      </c>
    </row>
    <row r="9" spans="1:23">
      <c r="A9" s="77"/>
      <c r="B9" s="77"/>
      <c r="C9" s="77"/>
      <c r="D9" s="81"/>
      <c r="E9" s="81"/>
      <c r="F9" s="81"/>
      <c r="G9" s="81"/>
      <c r="H9" s="81"/>
      <c r="I9" s="77"/>
      <c r="J9" s="77"/>
      <c r="K9" s="81"/>
      <c r="L9" s="81"/>
      <c r="M9" s="81"/>
      <c r="N9" s="81"/>
      <c r="O9" s="390"/>
      <c r="P9" s="390"/>
      <c r="Q9" s="390"/>
      <c r="R9" s="390"/>
      <c r="S9" s="390"/>
      <c r="V9" t="s">
        <v>306</v>
      </c>
      <c r="W9" t="s">
        <v>439</v>
      </c>
    </row>
    <row r="10" spans="1:23">
      <c r="A10" s="77"/>
      <c r="B10" s="77"/>
      <c r="C10" s="77"/>
      <c r="D10" s="81"/>
      <c r="E10" s="81"/>
      <c r="F10" s="81"/>
      <c r="G10" s="81"/>
      <c r="H10" s="81"/>
      <c r="I10" s="77"/>
      <c r="J10" s="77"/>
      <c r="K10" s="81"/>
      <c r="L10" s="390"/>
      <c r="M10" s="390"/>
      <c r="N10" s="390"/>
      <c r="O10" s="390"/>
      <c r="P10" s="390"/>
      <c r="Q10" s="390"/>
      <c r="R10" s="390"/>
      <c r="S10" s="390"/>
      <c r="V10" t="s">
        <v>293</v>
      </c>
      <c r="W10" t="s">
        <v>437</v>
      </c>
    </row>
    <row r="11" spans="1:23">
      <c r="A11" s="77"/>
      <c r="B11" s="77"/>
      <c r="C11" s="155" t="s">
        <v>25</v>
      </c>
      <c r="D11" s="403" t="s">
        <v>365</v>
      </c>
      <c r="E11" s="155" t="s">
        <v>183</v>
      </c>
      <c r="F11" s="155" t="s">
        <v>183</v>
      </c>
      <c r="G11" s="155" t="s">
        <v>25</v>
      </c>
      <c r="H11" s="81"/>
      <c r="I11" s="81"/>
      <c r="J11" s="81"/>
      <c r="K11" s="81"/>
      <c r="L11" s="390" t="s">
        <v>176</v>
      </c>
      <c r="M11" s="390" t="s">
        <v>177</v>
      </c>
      <c r="N11" s="390"/>
      <c r="O11" s="390" t="s">
        <v>178</v>
      </c>
      <c r="P11" s="390" t="s">
        <v>179</v>
      </c>
      <c r="Q11" s="390" t="s">
        <v>180</v>
      </c>
      <c r="R11" s="390" t="s">
        <v>181</v>
      </c>
      <c r="S11" s="390" t="s">
        <v>182</v>
      </c>
      <c r="V11" t="s">
        <v>293</v>
      </c>
      <c r="W11" t="s">
        <v>436</v>
      </c>
    </row>
    <row r="12" spans="1:23">
      <c r="A12" s="77"/>
      <c r="B12" s="77"/>
      <c r="C12" s="156" t="s">
        <v>184</v>
      </c>
      <c r="D12" s="393" t="s">
        <v>160</v>
      </c>
      <c r="E12" s="157" t="s">
        <v>27</v>
      </c>
      <c r="F12" s="157" t="s">
        <v>27</v>
      </c>
      <c r="G12" s="157" t="s">
        <v>13</v>
      </c>
      <c r="H12" s="81"/>
      <c r="I12" s="152">
        <f>F13</f>
        <v>1.0499999999999998</v>
      </c>
      <c r="J12" s="152">
        <f>F14</f>
        <v>0.90909090909090917</v>
      </c>
      <c r="K12" s="152">
        <f>F15</f>
        <v>0</v>
      </c>
      <c r="L12" s="392">
        <f>IF(I12=0,0,1)+I12</f>
        <v>2.0499999999999998</v>
      </c>
      <c r="M12" s="392">
        <f>IF(J12=0,0,1)+J12</f>
        <v>1.9090909090909092</v>
      </c>
      <c r="N12" s="392"/>
      <c r="O12" s="392">
        <f>IF(K12=0,0,1)+K12</f>
        <v>0</v>
      </c>
      <c r="P12" s="392">
        <f>IF(J12=0,0,(L12*J12)+L12)</f>
        <v>3.9136363636363631</v>
      </c>
      <c r="Q12" s="392">
        <f>IF(K12=0,0,(M12*K12)+M12)</f>
        <v>0</v>
      </c>
      <c r="R12" s="392">
        <f>IF(I12=0,0,(O12*I12)+O12)</f>
        <v>0</v>
      </c>
      <c r="S12" s="392">
        <f>IF(K12=0,0,(P12*K12)+P12)</f>
        <v>0</v>
      </c>
      <c r="V12" t="s">
        <v>293</v>
      </c>
      <c r="W12" t="s">
        <v>357</v>
      </c>
    </row>
    <row r="13" spans="1:23" ht="16.149999999999999" thickBot="1">
      <c r="A13" s="77"/>
      <c r="B13" s="90" t="str">
        <f>game1</f>
        <v>Spurs</v>
      </c>
      <c r="C13" s="158" t="s">
        <v>186</v>
      </c>
      <c r="D13" s="394">
        <f>INDEX(Picks!C:C,MATCH(B13,Picks!B:B,0))</f>
        <v>7</v>
      </c>
      <c r="E13" s="394">
        <f>INDEX(Picks!D:D,MATCH(B13,Picks!B:B,0))</f>
        <v>2.0499999999999998</v>
      </c>
      <c r="F13" s="394">
        <f>+((E13-1)*G13)</f>
        <v>1.0499999999999998</v>
      </c>
      <c r="G13" s="151">
        <v>1</v>
      </c>
      <c r="H13" s="81"/>
      <c r="I13" s="81"/>
      <c r="J13" s="81"/>
      <c r="K13" s="81"/>
      <c r="L13" s="81"/>
      <c r="M13" s="81"/>
      <c r="N13" s="81"/>
      <c r="O13" s="390"/>
      <c r="P13" s="390"/>
      <c r="Q13" s="390"/>
      <c r="R13" s="390"/>
      <c r="S13" s="390"/>
      <c r="V13" t="s">
        <v>309</v>
      </c>
      <c r="W13" t="s">
        <v>435</v>
      </c>
    </row>
    <row r="14" spans="1:23" ht="15.75">
      <c r="A14" s="77"/>
      <c r="B14" s="90" t="str">
        <f>game2</f>
        <v>Sunderland</v>
      </c>
      <c r="C14" s="158" t="s">
        <v>186</v>
      </c>
      <c r="D14" s="394">
        <f>INDEX(Picks!C:C,MATCH(B14,Picks!B:B,0))</f>
        <v>7</v>
      </c>
      <c r="E14" s="394">
        <f>INDEX(Picks!D:D,MATCH(B14,Picks!B:B,0))</f>
        <v>1.9090909090909092</v>
      </c>
      <c r="F14" s="394">
        <f>+((E14-1)*G14)</f>
        <v>0.90909090909090917</v>
      </c>
      <c r="G14" s="151">
        <v>1</v>
      </c>
      <c r="H14" s="81"/>
      <c r="I14" s="81"/>
      <c r="J14" s="81"/>
      <c r="K14" s="81"/>
      <c r="L14" s="5" t="s">
        <v>13</v>
      </c>
      <c r="M14" s="5" t="s">
        <v>28</v>
      </c>
      <c r="N14" s="395"/>
      <c r="O14" s="396" t="s">
        <v>18</v>
      </c>
      <c r="P14" s="399"/>
      <c r="Q14" s="390"/>
      <c r="R14" s="390"/>
      <c r="S14" s="390"/>
      <c r="V14" t="s">
        <v>309</v>
      </c>
      <c r="W14" t="s">
        <v>357</v>
      </c>
    </row>
    <row r="15" spans="1:23" ht="16.149999999999999" thickBot="1">
      <c r="A15" s="77"/>
      <c r="B15" s="90" t="str">
        <f>game3</f>
        <v>Sheff U</v>
      </c>
      <c r="C15" s="162" t="s">
        <v>185</v>
      </c>
      <c r="D15" s="394">
        <f>INDEX(Picks!C:C,MATCH(B15,Picks!B:B,0))</f>
        <v>7</v>
      </c>
      <c r="E15" s="394">
        <f>INDEX(Picks!D:D,MATCH(B15,Picks!B:B,0))</f>
        <v>1.8333333333333335</v>
      </c>
      <c r="F15" s="394">
        <f>+((E15-1)*G15)</f>
        <v>0</v>
      </c>
      <c r="G15" s="151">
        <v>0</v>
      </c>
      <c r="H15" s="81"/>
      <c r="I15" s="81"/>
      <c r="J15" s="81"/>
      <c r="K15" s="81"/>
      <c r="L15" s="6">
        <f>SUM(G13:G15)</f>
        <v>2</v>
      </c>
      <c r="M15" s="7">
        <f>SUM(L12:S12)-7</f>
        <v>0.87272727272727213</v>
      </c>
      <c r="N15" s="397"/>
      <c r="O15" s="398">
        <f>$M$3+M15</f>
        <v>-16.953192640692638</v>
      </c>
      <c r="P15" s="399"/>
      <c r="Q15" s="390"/>
      <c r="R15" s="390"/>
      <c r="S15" s="390"/>
      <c r="V15" t="s">
        <v>309</v>
      </c>
      <c r="W15" t="s">
        <v>434</v>
      </c>
    </row>
    <row r="16" spans="1:23">
      <c r="A16" s="77"/>
      <c r="B16" s="77"/>
      <c r="C16" s="77"/>
      <c r="D16" s="81"/>
      <c r="E16" s="81"/>
      <c r="F16" s="81"/>
      <c r="G16" s="81"/>
      <c r="H16" s="81"/>
      <c r="I16" s="77"/>
      <c r="J16" s="77"/>
      <c r="K16" s="81"/>
      <c r="L16" s="81"/>
      <c r="M16" s="81"/>
      <c r="N16" s="81"/>
      <c r="O16" s="390"/>
      <c r="P16" s="390"/>
      <c r="Q16" s="390"/>
      <c r="R16" s="390"/>
      <c r="S16" s="390"/>
      <c r="V16" t="s">
        <v>283</v>
      </c>
      <c r="W16" t="s">
        <v>438</v>
      </c>
    </row>
    <row r="17" spans="1:23">
      <c r="A17" s="77"/>
      <c r="B17" s="77"/>
      <c r="C17" s="77"/>
      <c r="D17" s="81" t="s">
        <v>187</v>
      </c>
      <c r="E17" s="81"/>
      <c r="F17" s="81"/>
      <c r="G17" s="81"/>
      <c r="H17" s="81"/>
      <c r="I17" s="77"/>
      <c r="J17" s="77"/>
      <c r="K17" s="81"/>
      <c r="L17" s="390"/>
      <c r="M17" s="390"/>
      <c r="N17" s="390"/>
      <c r="O17" s="390"/>
      <c r="P17" s="390"/>
      <c r="Q17" s="390"/>
      <c r="R17" s="390"/>
      <c r="S17" s="390"/>
      <c r="V17" t="s">
        <v>283</v>
      </c>
      <c r="W17" t="s">
        <v>172</v>
      </c>
    </row>
    <row r="18" spans="1:23">
      <c r="A18" s="77"/>
      <c r="B18" s="77"/>
      <c r="C18" s="155" t="s">
        <v>25</v>
      </c>
      <c r="D18" s="403" t="s">
        <v>365</v>
      </c>
      <c r="E18" s="155" t="s">
        <v>183</v>
      </c>
      <c r="F18" s="155" t="s">
        <v>183</v>
      </c>
      <c r="G18" s="155" t="s">
        <v>25</v>
      </c>
      <c r="H18" s="81"/>
      <c r="I18" s="81"/>
      <c r="J18" s="81"/>
      <c r="K18" s="81"/>
      <c r="L18" s="390" t="s">
        <v>176</v>
      </c>
      <c r="M18" s="390" t="s">
        <v>177</v>
      </c>
      <c r="N18" s="390"/>
      <c r="O18" s="390" t="s">
        <v>178</v>
      </c>
      <c r="P18" s="390" t="s">
        <v>179</v>
      </c>
      <c r="Q18" s="390" t="s">
        <v>180</v>
      </c>
      <c r="R18" s="390" t="s">
        <v>181</v>
      </c>
      <c r="S18" s="390" t="s">
        <v>182</v>
      </c>
      <c r="V18" t="s">
        <v>283</v>
      </c>
      <c r="W18" t="s">
        <v>434</v>
      </c>
    </row>
    <row r="19" spans="1:23">
      <c r="A19" s="77"/>
      <c r="B19" s="77"/>
      <c r="C19" s="156" t="s">
        <v>184</v>
      </c>
      <c r="D19" s="393" t="s">
        <v>160</v>
      </c>
      <c r="E19" s="157" t="s">
        <v>27</v>
      </c>
      <c r="F19" s="157" t="s">
        <v>27</v>
      </c>
      <c r="G19" s="157" t="s">
        <v>13</v>
      </c>
      <c r="H19" s="81"/>
      <c r="I19" s="152">
        <f>F20</f>
        <v>0</v>
      </c>
      <c r="J19" s="152">
        <f>F21</f>
        <v>0.90909090909090917</v>
      </c>
      <c r="K19" s="152">
        <f>F22</f>
        <v>0.83333333333333348</v>
      </c>
      <c r="L19" s="392">
        <f>IF(I19=0,0,1)+I19</f>
        <v>0</v>
      </c>
      <c r="M19" s="392">
        <f>IF(J19=0,0,1)+J19</f>
        <v>1.9090909090909092</v>
      </c>
      <c r="N19" s="392"/>
      <c r="O19" s="392">
        <f>IF(K19=0,0,1)+K19</f>
        <v>1.8333333333333335</v>
      </c>
      <c r="P19" s="392">
        <f>IF(J19=0,0,(L19*J19)+L19)</f>
        <v>0</v>
      </c>
      <c r="Q19" s="392">
        <f>IF(K19=0,0,(M19*K19)+M19)</f>
        <v>3.5000000000000004</v>
      </c>
      <c r="R19" s="392">
        <f>IF(I19=0,0,(O19*I19)+O19)</f>
        <v>0</v>
      </c>
      <c r="S19" s="392">
        <f>IF(K19=0,0,(P19*K19)+P19)</f>
        <v>0</v>
      </c>
    </row>
    <row r="20" spans="1:23" ht="16.149999999999999" thickBot="1">
      <c r="A20" s="77"/>
      <c r="B20" s="90" t="str">
        <f>game1</f>
        <v>Spurs</v>
      </c>
      <c r="C20" s="162" t="s">
        <v>185</v>
      </c>
      <c r="D20" s="394">
        <f>INDEX(Picks!C:C,MATCH(B20,Picks!B:B,0))</f>
        <v>7</v>
      </c>
      <c r="E20" s="394">
        <f>INDEX(Picks!D:D,MATCH(B20,Picks!B:B,0))</f>
        <v>2.0499999999999998</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186</v>
      </c>
      <c r="D21" s="394">
        <f>INDEX(Picks!C:C,MATCH(B21,Picks!B:B,0))</f>
        <v>7</v>
      </c>
      <c r="E21" s="394">
        <f>INDEX(Picks!D:D,MATCH(B21,Picks!B:B,0))</f>
        <v>1.9090909090909092</v>
      </c>
      <c r="F21" s="394">
        <f>+((E21-1)*G21)</f>
        <v>0.90909090909090917</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186</v>
      </c>
      <c r="D22" s="394">
        <f>INDEX(Picks!C:C,MATCH(B22,Picks!B:B,0))</f>
        <v>7</v>
      </c>
      <c r="E22" s="394">
        <f>INDEX(Picks!D:D,MATCH(B22,Picks!B:B,0))</f>
        <v>1.8333333333333335</v>
      </c>
      <c r="F22" s="394">
        <f>+((E22-1)*G22)</f>
        <v>0.83333333333333348</v>
      </c>
      <c r="G22" s="151">
        <v>1</v>
      </c>
      <c r="H22" s="81"/>
      <c r="I22" s="81"/>
      <c r="J22" s="81"/>
      <c r="K22" s="81"/>
      <c r="L22" s="6">
        <f>SUM(G20:G22)</f>
        <v>2</v>
      </c>
      <c r="M22" s="7">
        <f>SUM(L19:S19)-7</f>
        <v>0.2424242424242431</v>
      </c>
      <c r="N22" s="397"/>
      <c r="O22" s="398">
        <f>$M$3+M22</f>
        <v>-17.583495670995667</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365</v>
      </c>
      <c r="E25" s="155" t="s">
        <v>183</v>
      </c>
      <c r="F25" s="155" t="s">
        <v>183</v>
      </c>
      <c r="G25" s="155" t="s">
        <v>25</v>
      </c>
      <c r="H25" s="81"/>
      <c r="I25" s="81"/>
      <c r="J25" s="81"/>
      <c r="K25" s="81"/>
      <c r="L25" s="390" t="s">
        <v>176</v>
      </c>
      <c r="M25" s="390" t="s">
        <v>177</v>
      </c>
      <c r="N25" s="390"/>
      <c r="O25" s="390" t="s">
        <v>178</v>
      </c>
      <c r="P25" s="390" t="s">
        <v>179</v>
      </c>
      <c r="Q25" s="390" t="s">
        <v>180</v>
      </c>
      <c r="R25" s="390" t="s">
        <v>181</v>
      </c>
      <c r="S25" s="390" t="s">
        <v>182</v>
      </c>
    </row>
    <row r="26" spans="1:23">
      <c r="A26" s="77"/>
      <c r="B26" s="77"/>
      <c r="C26" s="156" t="s">
        <v>184</v>
      </c>
      <c r="D26" s="393" t="s">
        <v>160</v>
      </c>
      <c r="E26" s="157" t="s">
        <v>27</v>
      </c>
      <c r="F26" s="157" t="s">
        <v>27</v>
      </c>
      <c r="G26" s="157" t="s">
        <v>13</v>
      </c>
      <c r="H26" s="81"/>
      <c r="I26" s="152">
        <f>F27</f>
        <v>1.0499999999999998</v>
      </c>
      <c r="J26" s="152">
        <f>F28</f>
        <v>0</v>
      </c>
      <c r="K26" s="152">
        <f>F29</f>
        <v>0.83333333333333348</v>
      </c>
      <c r="L26" s="392">
        <f>IF(I26=0,0,1)+I26</f>
        <v>2.0499999999999998</v>
      </c>
      <c r="M26" s="392">
        <f>IF(J26=0,0,1)+J26</f>
        <v>0</v>
      </c>
      <c r="N26" s="392"/>
      <c r="O26" s="392">
        <f>IF(K26=0,0,1)+K26</f>
        <v>1.8333333333333335</v>
      </c>
      <c r="P26" s="392">
        <f>IF(J26=0,0,(L26*J26)+L26)</f>
        <v>0</v>
      </c>
      <c r="Q26" s="392">
        <f>IF(K26=0,0,(M26*K26)+M26)</f>
        <v>0</v>
      </c>
      <c r="R26" s="392">
        <f>IF(I26=0,0,(O26*I26)+O26)</f>
        <v>3.7583333333333333</v>
      </c>
      <c r="S26" s="392">
        <f>IF(K26=0,0,(P26*K26)+P26)</f>
        <v>0</v>
      </c>
    </row>
    <row r="27" spans="1:23" ht="16.149999999999999" thickBot="1">
      <c r="A27" s="77"/>
      <c r="B27" s="90" t="str">
        <f>game1</f>
        <v>Spurs</v>
      </c>
      <c r="C27" s="158" t="s">
        <v>186</v>
      </c>
      <c r="D27" s="394">
        <f>INDEX(Picks!C:C,MATCH(B27,Picks!B:B,0))</f>
        <v>7</v>
      </c>
      <c r="E27" s="394">
        <f>INDEX(Picks!D:D,MATCH(B27,Picks!B:B,0))</f>
        <v>2.0499999999999998</v>
      </c>
      <c r="F27" s="394">
        <f>+((E27-1)*G27)</f>
        <v>1.0499999999999998</v>
      </c>
      <c r="G27" s="151">
        <v>1</v>
      </c>
      <c r="H27" s="81"/>
      <c r="I27" s="81"/>
      <c r="J27" s="81"/>
      <c r="K27" s="81"/>
      <c r="L27" s="390"/>
      <c r="M27" s="390"/>
      <c r="N27" s="390"/>
      <c r="O27" s="390"/>
      <c r="P27" s="390"/>
      <c r="Q27" s="390"/>
      <c r="R27" s="390"/>
      <c r="S27" s="390"/>
    </row>
    <row r="28" spans="1:23" ht="15.75">
      <c r="A28" s="77"/>
      <c r="B28" s="90" t="str">
        <f>game2</f>
        <v>Sunderland</v>
      </c>
      <c r="C28" s="162" t="s">
        <v>185</v>
      </c>
      <c r="D28" s="394">
        <f>INDEX(Picks!C:C,MATCH(B28,Picks!B:B,0))</f>
        <v>7</v>
      </c>
      <c r="E28" s="394">
        <f>INDEX(Picks!D:D,MATCH(B28,Picks!B:B,0))</f>
        <v>1.9090909090909092</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186</v>
      </c>
      <c r="D29" s="394">
        <f>INDEX(Picks!C:C,MATCH(B29,Picks!B:B,0))</f>
        <v>7</v>
      </c>
      <c r="E29" s="394">
        <f>INDEX(Picks!D:D,MATCH(B29,Picks!B:B,0))</f>
        <v>1.8333333333333335</v>
      </c>
      <c r="F29" s="394">
        <f>+((E29-1)*G29)</f>
        <v>0.83333333333333348</v>
      </c>
      <c r="G29" s="151">
        <v>1</v>
      </c>
      <c r="H29" s="81"/>
      <c r="I29" s="81"/>
      <c r="J29" s="81"/>
      <c r="K29" s="81"/>
      <c r="L29" s="6">
        <f>SUM(G27:G29)</f>
        <v>2</v>
      </c>
      <c r="M29" s="7">
        <f>SUM(L26:S26)-7</f>
        <v>0.64166666666666661</v>
      </c>
      <c r="N29" s="397"/>
      <c r="O29" s="398">
        <f>$M$3+M29</f>
        <v>-17.184253246753244</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365</v>
      </c>
      <c r="E32" s="155" t="s">
        <v>183</v>
      </c>
      <c r="F32" s="155" t="s">
        <v>183</v>
      </c>
      <c r="G32" s="155" t="s">
        <v>25</v>
      </c>
      <c r="H32" s="81"/>
      <c r="I32" s="81"/>
      <c r="J32" s="81"/>
      <c r="K32" s="81"/>
      <c r="L32" s="390" t="s">
        <v>176</v>
      </c>
      <c r="M32" s="390" t="s">
        <v>177</v>
      </c>
      <c r="N32" s="390"/>
      <c r="O32" s="390" t="s">
        <v>178</v>
      </c>
      <c r="P32" s="390" t="s">
        <v>179</v>
      </c>
      <c r="Q32" s="390" t="s">
        <v>180</v>
      </c>
      <c r="R32" s="390" t="s">
        <v>181</v>
      </c>
      <c r="S32" s="390" t="s">
        <v>182</v>
      </c>
    </row>
    <row r="33" spans="1:19">
      <c r="A33" s="77"/>
      <c r="B33" s="77"/>
      <c r="C33" s="156" t="s">
        <v>184</v>
      </c>
      <c r="D33" s="393" t="s">
        <v>160</v>
      </c>
      <c r="E33" s="157" t="s">
        <v>27</v>
      </c>
      <c r="F33" s="157" t="s">
        <v>27</v>
      </c>
      <c r="G33" s="157" t="s">
        <v>13</v>
      </c>
      <c r="H33" s="81"/>
      <c r="I33" s="152">
        <f>F34</f>
        <v>1.0499999999999998</v>
      </c>
      <c r="J33" s="152">
        <f>F35</f>
        <v>0</v>
      </c>
      <c r="K33" s="152">
        <f>F36</f>
        <v>0</v>
      </c>
      <c r="L33" s="392">
        <f>IF(I33=0,0,1)+I33</f>
        <v>2.0499999999999998</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186</v>
      </c>
      <c r="D34" s="394">
        <f>INDEX(Picks!C:C,MATCH(B34,Picks!B:B,0))</f>
        <v>7</v>
      </c>
      <c r="E34" s="394">
        <f>INDEX(Picks!D:D,MATCH(B34,Picks!B:B,0))</f>
        <v>2.0499999999999998</v>
      </c>
      <c r="F34" s="394">
        <f>+((E34-1)*G34)</f>
        <v>1.0499999999999998</v>
      </c>
      <c r="G34" s="151">
        <v>1</v>
      </c>
      <c r="H34" s="81"/>
      <c r="I34" s="81"/>
      <c r="J34" s="81"/>
      <c r="K34" s="81"/>
      <c r="L34" s="81"/>
      <c r="M34" s="81"/>
      <c r="N34" s="81"/>
      <c r="O34" s="390"/>
      <c r="P34" s="390"/>
      <c r="Q34" s="390"/>
      <c r="R34" s="390"/>
      <c r="S34" s="390"/>
    </row>
    <row r="35" spans="1:19" ht="15.75">
      <c r="A35" s="77"/>
      <c r="B35" s="90" t="str">
        <f>game2</f>
        <v>Sunderland</v>
      </c>
      <c r="C35" s="162" t="s">
        <v>185</v>
      </c>
      <c r="D35" s="394">
        <f>INDEX(Picks!C:C,MATCH(B35,Picks!B:B,0))</f>
        <v>7</v>
      </c>
      <c r="E35" s="394">
        <f>INDEX(Picks!D:D,MATCH(B35,Picks!B:B,0))</f>
        <v>1.9090909090909092</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185</v>
      </c>
      <c r="D36" s="394">
        <f>INDEX(Picks!C:C,MATCH(B36,Picks!B:B,0))</f>
        <v>7</v>
      </c>
      <c r="E36" s="394">
        <f>INDEX(Picks!D:D,MATCH(B36,Picks!B:B,0))</f>
        <v>1.8333333333333335</v>
      </c>
      <c r="F36" s="394">
        <f>+((E36-1)*G36)</f>
        <v>0</v>
      </c>
      <c r="G36" s="151">
        <v>0</v>
      </c>
      <c r="H36" s="81"/>
      <c r="I36" s="81"/>
      <c r="J36" s="81"/>
      <c r="K36" s="81"/>
      <c r="L36" s="6">
        <f>SUM(G34:G36)</f>
        <v>1</v>
      </c>
      <c r="M36" s="7">
        <f>SUM(L33:S33)-7</f>
        <v>-4.95</v>
      </c>
      <c r="N36" s="397"/>
      <c r="O36" s="398">
        <f>$M$3+M36</f>
        <v>-22.775919913419909</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365</v>
      </c>
      <c r="E39" s="155" t="s">
        <v>183</v>
      </c>
      <c r="F39" s="155" t="s">
        <v>183</v>
      </c>
      <c r="G39" s="155" t="s">
        <v>25</v>
      </c>
      <c r="H39" s="81"/>
      <c r="I39" s="81"/>
      <c r="J39" s="81"/>
      <c r="K39" s="81"/>
      <c r="L39" s="390" t="s">
        <v>176</v>
      </c>
      <c r="M39" s="390" t="s">
        <v>177</v>
      </c>
      <c r="N39" s="390"/>
      <c r="O39" s="390" t="s">
        <v>178</v>
      </c>
      <c r="P39" s="390" t="s">
        <v>179</v>
      </c>
      <c r="Q39" s="390" t="s">
        <v>180</v>
      </c>
      <c r="R39" s="390" t="s">
        <v>181</v>
      </c>
      <c r="S39" s="390" t="s">
        <v>182</v>
      </c>
    </row>
    <row r="40" spans="1:19">
      <c r="A40" s="77"/>
      <c r="B40" s="77"/>
      <c r="C40" s="156" t="s">
        <v>184</v>
      </c>
      <c r="D40" s="393" t="s">
        <v>160</v>
      </c>
      <c r="E40" s="157" t="s">
        <v>27</v>
      </c>
      <c r="F40" s="157" t="s">
        <v>27</v>
      </c>
      <c r="G40" s="157" t="s">
        <v>13</v>
      </c>
      <c r="H40" s="81"/>
      <c r="I40" s="152">
        <f>F41</f>
        <v>0</v>
      </c>
      <c r="J40" s="152">
        <f>F42</f>
        <v>0.90909090909090917</v>
      </c>
      <c r="K40" s="152">
        <f>F43</f>
        <v>0</v>
      </c>
      <c r="L40" s="392">
        <f>IF(I40=0,0,1)+I40</f>
        <v>0</v>
      </c>
      <c r="M40" s="392">
        <f>IF(J40=0,0,1)+J40</f>
        <v>1.9090909090909092</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185</v>
      </c>
      <c r="D41" s="394">
        <f>INDEX(Picks!C:C,MATCH(B41,Picks!B:B,0))</f>
        <v>7</v>
      </c>
      <c r="E41" s="394">
        <f>INDEX(Picks!D:D,MATCH(B41,Picks!B:B,0))</f>
        <v>2.0499999999999998</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186</v>
      </c>
      <c r="D42" s="394">
        <f>INDEX(Picks!C:C,MATCH(B42,Picks!B:B,0))</f>
        <v>7</v>
      </c>
      <c r="E42" s="394">
        <f>INDEX(Picks!D:D,MATCH(B42,Picks!B:B,0))</f>
        <v>1.9090909090909092</v>
      </c>
      <c r="F42" s="394">
        <f>+((E42-1)*G42)</f>
        <v>0.90909090909090917</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185</v>
      </c>
      <c r="D43" s="394">
        <f>INDEX(Picks!C:C,MATCH(B43,Picks!B:B,0))</f>
        <v>7</v>
      </c>
      <c r="E43" s="394">
        <f>INDEX(Picks!D:D,MATCH(B43,Picks!B:B,0))</f>
        <v>1.8333333333333335</v>
      </c>
      <c r="F43" s="394">
        <f>+((E43-1)*G43)</f>
        <v>0</v>
      </c>
      <c r="G43" s="151">
        <v>0</v>
      </c>
      <c r="H43" s="81"/>
      <c r="I43" s="81"/>
      <c r="J43" s="81"/>
      <c r="K43" s="81"/>
      <c r="L43" s="6">
        <f>SUM(G41:G43)</f>
        <v>1</v>
      </c>
      <c r="M43" s="7">
        <f>SUM(L40:S40)-7</f>
        <v>-5.0909090909090908</v>
      </c>
      <c r="N43" s="397"/>
      <c r="O43" s="398">
        <f>$M$3+M43</f>
        <v>-22.916829004328999</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365</v>
      </c>
      <c r="E46" s="155" t="s">
        <v>183</v>
      </c>
      <c r="F46" s="155" t="s">
        <v>183</v>
      </c>
      <c r="G46" s="155" t="s">
        <v>25</v>
      </c>
      <c r="H46" s="81"/>
      <c r="I46" s="81"/>
      <c r="J46" s="81"/>
      <c r="K46" s="81"/>
      <c r="L46" s="390" t="s">
        <v>176</v>
      </c>
      <c r="M46" s="390" t="s">
        <v>177</v>
      </c>
      <c r="N46" s="390"/>
      <c r="O46" s="390" t="s">
        <v>178</v>
      </c>
      <c r="P46" s="390" t="s">
        <v>179</v>
      </c>
      <c r="Q46" s="390" t="s">
        <v>180</v>
      </c>
      <c r="R46" s="390" t="s">
        <v>181</v>
      </c>
      <c r="S46" s="390" t="s">
        <v>182</v>
      </c>
    </row>
    <row r="47" spans="1:19">
      <c r="A47" s="77"/>
      <c r="B47" s="77"/>
      <c r="C47" s="156" t="s">
        <v>184</v>
      </c>
      <c r="D47" s="393" t="s">
        <v>160</v>
      </c>
      <c r="E47" s="157" t="s">
        <v>27</v>
      </c>
      <c r="F47" s="157" t="s">
        <v>27</v>
      </c>
      <c r="G47" s="157" t="s">
        <v>13</v>
      </c>
      <c r="H47" s="81"/>
      <c r="I47" s="152">
        <f>F48</f>
        <v>0</v>
      </c>
      <c r="J47" s="152">
        <f>F49</f>
        <v>0</v>
      </c>
      <c r="K47" s="152">
        <f>F50</f>
        <v>0.83333333333333348</v>
      </c>
      <c r="L47" s="392">
        <f>IF(I47=0,0,1)+I47</f>
        <v>0</v>
      </c>
      <c r="M47" s="392">
        <f>IF(J47=0,0,1)+J47</f>
        <v>0</v>
      </c>
      <c r="N47" s="392"/>
      <c r="O47" s="392">
        <f>IF(K47=0,0,1)+K47</f>
        <v>1.8333333333333335</v>
      </c>
      <c r="P47" s="392">
        <f>IF(J47=0,0,(L47*J47)+L47)</f>
        <v>0</v>
      </c>
      <c r="Q47" s="392">
        <f>IF(K47=0,0,(M47*K47)+M47)</f>
        <v>0</v>
      </c>
      <c r="R47" s="392">
        <f>IF(I47=0,0,(O47*I47)+O47)</f>
        <v>0</v>
      </c>
      <c r="S47" s="392">
        <f>IF(K47=0,0,(P47*K47)+P47)</f>
        <v>0</v>
      </c>
    </row>
    <row r="48" spans="1:19" ht="16.149999999999999" thickBot="1">
      <c r="A48" s="77"/>
      <c r="B48" s="90" t="str">
        <f>game1</f>
        <v>Spurs</v>
      </c>
      <c r="C48" s="162" t="s">
        <v>185</v>
      </c>
      <c r="D48" s="394">
        <f>INDEX(Picks!C:C,MATCH(B48,Picks!B:B,0))</f>
        <v>7</v>
      </c>
      <c r="E48" s="394">
        <f>INDEX(Picks!D:D,MATCH(B48,Picks!B:B,0))</f>
        <v>2.0499999999999998</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185</v>
      </c>
      <c r="D49" s="394">
        <f>INDEX(Picks!C:C,MATCH(B49,Picks!B:B,0))</f>
        <v>7</v>
      </c>
      <c r="E49" s="394">
        <f>INDEX(Picks!D:D,MATCH(B49,Picks!B:B,0))</f>
        <v>1.9090909090909092</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186</v>
      </c>
      <c r="D50" s="394">
        <f>INDEX(Picks!C:C,MATCH(B50,Picks!B:B,0))</f>
        <v>7</v>
      </c>
      <c r="E50" s="394">
        <f>INDEX(Picks!D:D,MATCH(B50,Picks!B:B,0))</f>
        <v>1.8333333333333335</v>
      </c>
      <c r="F50" s="394">
        <f>+((E50-1)*G50)</f>
        <v>0.83333333333333348</v>
      </c>
      <c r="G50" s="151">
        <v>1</v>
      </c>
      <c r="H50" s="81"/>
      <c r="I50" s="81"/>
      <c r="J50" s="81"/>
      <c r="K50" s="81"/>
      <c r="L50" s="6">
        <f>SUM(G48:G50)</f>
        <v>1</v>
      </c>
      <c r="M50" s="7">
        <f>SUM(L47:S47)-7</f>
        <v>-5.1666666666666661</v>
      </c>
      <c r="N50" s="397"/>
      <c r="O50" s="398">
        <f>$M$3+M50</f>
        <v>-22.992586580086574</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351</v>
      </c>
    </row>
    <row r="2" spans="1:2" ht="45">
      <c r="B2" s="219" t="s">
        <v>200</v>
      </c>
    </row>
    <row r="3" spans="1:2">
      <c r="B3" s="221"/>
    </row>
    <row r="4" spans="1:2" ht="60.4">
      <c r="B4" s="222" t="s">
        <v>201</v>
      </c>
    </row>
    <row r="5" spans="1:2">
      <c r="B5" s="221"/>
    </row>
    <row r="6" spans="1:2" ht="45">
      <c r="B6" s="219" t="s">
        <v>202</v>
      </c>
    </row>
    <row r="7" spans="1:2">
      <c r="B7" s="221"/>
    </row>
    <row r="8" spans="1:2" ht="60">
      <c r="B8" s="219" t="s">
        <v>203</v>
      </c>
    </row>
    <row r="9" spans="1:2">
      <c r="B9" s="221"/>
    </row>
    <row r="10" spans="1:2" ht="30">
      <c r="B10" s="223" t="s">
        <v>197</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198</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199</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204</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205</v>
      </c>
    </row>
    <row r="47" spans="2:2">
      <c r="B47" s="221"/>
    </row>
    <row r="48" spans="2:2" ht="45">
      <c r="B48" s="219" t="s">
        <v>206</v>
      </c>
    </row>
    <row r="49" spans="2:2">
      <c r="B49" s="221"/>
    </row>
    <row r="50" spans="2:2" ht="45">
      <c r="B50" s="219" t="s">
        <v>207</v>
      </c>
    </row>
    <row r="51" spans="2:2">
      <c r="B51" s="221"/>
    </row>
    <row r="52" spans="2:2" ht="75">
      <c r="B52" s="219" t="s">
        <v>208</v>
      </c>
    </row>
    <row r="53" spans="2:2">
      <c r="B53" s="221"/>
    </row>
    <row r="54" spans="2:2" ht="45">
      <c r="B54" s="227" t="s">
        <v>217</v>
      </c>
    </row>
    <row r="55" spans="2:2">
      <c r="B55" s="221"/>
    </row>
    <row r="56" spans="2:2" ht="45">
      <c r="B56" s="219" t="s">
        <v>209</v>
      </c>
    </row>
    <row r="57" spans="2:2">
      <c r="B57" s="221"/>
    </row>
    <row r="58" spans="2:2" ht="30">
      <c r="B58" s="219" t="s">
        <v>210</v>
      </c>
    </row>
    <row r="59" spans="2:2">
      <c r="B59" s="221"/>
    </row>
    <row r="60" spans="2:2" ht="60">
      <c r="B60" s="219" t="s">
        <v>211</v>
      </c>
    </row>
    <row r="61" spans="2:2">
      <c r="B61" s="221"/>
    </row>
    <row r="62" spans="2:2" ht="60">
      <c r="B62" s="219" t="s">
        <v>212</v>
      </c>
    </row>
    <row r="63" spans="2:2">
      <c r="B63" s="221"/>
    </row>
    <row r="64" spans="2:2" ht="45">
      <c r="B64" s="219" t="s">
        <v>213</v>
      </c>
    </row>
    <row r="65" spans="2:2">
      <c r="B65" s="221"/>
    </row>
    <row r="66" spans="2:2" ht="30">
      <c r="B66" s="219" t="s">
        <v>214</v>
      </c>
    </row>
    <row r="67" spans="2:2">
      <c r="B67" s="221"/>
    </row>
    <row r="68" spans="2:2" ht="30">
      <c r="B68" s="219" t="s">
        <v>215</v>
      </c>
    </row>
    <row r="69" spans="2:2">
      <c r="B69" s="221"/>
    </row>
    <row r="70" spans="2:2" ht="60">
      <c r="B70" s="227" t="s">
        <v>218</v>
      </c>
    </row>
    <row r="71" spans="2:2">
      <c r="B71" s="221"/>
    </row>
    <row r="72" spans="2:2" ht="45">
      <c r="B72" s="219" t="s">
        <v>216</v>
      </c>
    </row>
    <row r="73" spans="2:2">
      <c r="B73" s="221"/>
    </row>
    <row r="74" spans="2:2" ht="30">
      <c r="B74" s="227" t="s">
        <v>219</v>
      </c>
    </row>
    <row r="75" spans="2:2">
      <c r="B75" s="221"/>
    </row>
    <row r="76" spans="2:2" ht="30">
      <c r="B76" s="227" t="s">
        <v>220</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Picks</vt:lpstr>
      <vt:lpstr>Match</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2023-02-08T18:22:28Z</cp:lastPrinted>
  <dcterms:created xsi:type="dcterms:W3CDTF">2002-08-12T11:42:50Z</dcterms:created>
  <dcterms:modified xsi:type="dcterms:W3CDTF">2023-02-13T20:07:04Z</dcterms:modified>
</cp:coreProperties>
</file>